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World Cup" sheetId="2" state="visible" r:id="rId3"/>
    <sheet name="Predictions_1" sheetId="3" state="hidden" r:id="rId4"/>
    <sheet name="PrSettings" sheetId="4" state="hidden" r:id="rId5"/>
    <sheet name="Resolve ties" sheetId="5" state="visible" r:id="rId6"/>
    <sheet name="Direct comparisons" sheetId="6" state="hidden" r:id="rId7"/>
    <sheet name="TimeZone" sheetId="7" state="hidden" r:id="rId8"/>
    <sheet name="Language" sheetId="8" state="hidden" r:id="rId9"/>
    <sheet name="Groups" sheetId="9" state="hidden" r:id="rId10"/>
    <sheet name="Matches" sheetId="10" state="hidden" r:id="rId11"/>
    <sheet name="Help" sheetId="11" state="hidden" r:id="rId12"/>
    <sheet name="Factors" sheetId="12" state="hidden" r:id="rId13"/>
    <sheet name="Distinctness" sheetId="13" state="hidden" r:id="rId14"/>
    <sheet name="References" sheetId="14" state="hidden" r:id="rId15"/>
    <sheet name="GrpA" sheetId="15" state="hidden" r:id="rId16"/>
    <sheet name="GrpB" sheetId="16" state="hidden" r:id="rId17"/>
    <sheet name="GrpC" sheetId="17" state="hidden" r:id="rId18"/>
    <sheet name="GrpD" sheetId="18" state="hidden" r:id="rId19"/>
    <sheet name="GrpE" sheetId="19" state="hidden" r:id="rId20"/>
    <sheet name="GrpF" sheetId="20" state="hidden" r:id="rId21"/>
    <sheet name="GrpG" sheetId="21" state="hidden" r:id="rId22"/>
    <sheet name="GrpH" sheetId="22" state="hidden" r:id="rId23"/>
    <sheet name="Rules" sheetId="23" state="visible" r:id="rId24"/>
  </sheets>
  <definedNames>
    <definedName function="false" hidden="false" name="FactorDirC2" vbProcedure="false">Factors!$B$8</definedName>
    <definedName function="false" hidden="false" name="FactorDirC3" vbProcedure="false">Factors!$B$7</definedName>
    <definedName function="false" hidden="false" name="FactorFairPlay" vbProcedure="false">Factors!$B$9</definedName>
    <definedName function="false" hidden="false" name="FactorFor" vbProcedure="false">Factors!$B$6</definedName>
    <definedName function="false" hidden="false" name="FactorGD" vbProcedure="false">Factors!$B$5</definedName>
    <definedName function="false" hidden="false" name="FactorPts" vbProcedure="false">Factors!$B$4</definedName>
    <definedName function="false" hidden="false" name="FactorRow" vbProcedure="false">Factors!$B$10</definedName>
    <definedName function="false" hidden="false" name="FairPlayPoints1" vbProcedure="false">'Resolve ties'!$C$6:$C$27</definedName>
    <definedName function="false" hidden="false" name="FairPlayPoints2" vbProcedure="false">'Resolve ties'!$F$6:$F$27</definedName>
    <definedName function="false" hidden="false" name="FairPlayTeams1" vbProcedure="false">'Resolve ties'!$B$6:$B$27</definedName>
    <definedName function="false" hidden="false" name="FairPlayTeams2" vbProcedure="false">'Resolve ties'!$E$6:$E$27</definedName>
    <definedName function="false" hidden="false" name="GDzero" vbProcedure="false">Factors!$D$5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<sst xmlns="http://schemas.openxmlformats.org/spreadsheetml/2006/main" count="2192" uniqueCount="1139">
  <si>
    <t xml:space="preserve">Step 1</t>
  </si>
  <si>
    <t xml:space="preserve">Alias</t>
  </si>
  <si>
    <t xml:space="preserve">&lt;write in your alias here&gt;</t>
  </si>
  <si>
    <t xml:space="preserve">Name</t>
  </si>
  <si>
    <t xml:space="preserve">&lt;write in your real name here&gt;</t>
  </si>
  <si>
    <t xml:space="preserve">Email</t>
  </si>
  <si>
    <t xml:space="preserve">&lt;write in your email address here&gt;</t>
  </si>
  <si>
    <t xml:space="preserve">Step 2</t>
  </si>
  <si>
    <t xml:space="preserve">Note:</t>
  </si>
  <si>
    <t xml:space="preserve">Go to the next page and fill in your predictions</t>
  </si>
  <si>
    <t xml:space="preserve">→</t>
  </si>
  <si>
    <t xml:space="preserve">For matches in the group stage, goals are important because points are allocated according to match scores.</t>
  </si>
  <si>
    <t xml:space="preserve">For matches in the round of 16 and later, goals are not important, only who advances to the next round. Feel free to use 1-0 or 0-1 scores in this stage.</t>
  </si>
  <si>
    <t xml:space="preserve">Step 3</t>
  </si>
  <si>
    <t xml:space="preserve">Save the file and email it to bolao_family_and_friends@outlook.com</t>
  </si>
  <si>
    <t xml:space="preserve">on or before 19 November 2022</t>
  </si>
  <si>
    <t xml:space="preserve">hb/vers. 1.8.6
2022-09-05</t>
  </si>
  <si>
    <t xml:space="preserve">1A</t>
  </si>
  <si>
    <t xml:space="preserve">1B</t>
  </si>
  <si>
    <t xml:space="preserve">1C</t>
  </si>
  <si>
    <t xml:space="preserve">1D</t>
  </si>
  <si>
    <t xml:space="preserve">1E</t>
  </si>
  <si>
    <t xml:space="preserve">1F</t>
  </si>
  <si>
    <t xml:space="preserve">1G</t>
  </si>
  <si>
    <t xml:space="preserve">1H</t>
  </si>
  <si>
    <t xml:space="preserve">2A</t>
  </si>
  <si>
    <t xml:space="preserve">2B</t>
  </si>
  <si>
    <t xml:space="preserve">2C</t>
  </si>
  <si>
    <t xml:space="preserve">2D</t>
  </si>
  <si>
    <t xml:space="preserve">2E</t>
  </si>
  <si>
    <t xml:space="preserve">2F</t>
  </si>
  <si>
    <t xml:space="preserve">2G</t>
  </si>
  <si>
    <t xml:space="preserve">2H</t>
  </si>
  <si>
    <t xml:space="preserve">3A</t>
  </si>
  <si>
    <t xml:space="preserve">3B</t>
  </si>
  <si>
    <t xml:space="preserve">3C</t>
  </si>
  <si>
    <t xml:space="preserve">3D</t>
  </si>
  <si>
    <t xml:space="preserve">3E</t>
  </si>
  <si>
    <t xml:space="preserve">3F</t>
  </si>
  <si>
    <t xml:space="preserve">3G</t>
  </si>
  <si>
    <t xml:space="preserve">3H</t>
  </si>
  <si>
    <t xml:space="preserve">4A</t>
  </si>
  <si>
    <t xml:space="preserve">4B</t>
  </si>
  <si>
    <t xml:space="preserve">4C</t>
  </si>
  <si>
    <t xml:space="preserve">4D</t>
  </si>
  <si>
    <t xml:space="preserve">4E</t>
  </si>
  <si>
    <t xml:space="preserve">4F</t>
  </si>
  <si>
    <t xml:space="preserve">4G</t>
  </si>
  <si>
    <t xml:space="preserve">4H</t>
  </si>
  <si>
    <t xml:space="preserve">Hermann Baum, Aug. 2021</t>
  </si>
  <si>
    <t xml:space="preserve">https://hermann-baum.de/excel/WorldCup2022/en</t>
  </si>
  <si>
    <t xml:space="preserve">●</t>
  </si>
  <si>
    <t xml:space="preserve">1.</t>
  </si>
  <si>
    <t xml:space="preserve">2.</t>
  </si>
  <si>
    <t xml:space="preserve">Resolve ties in the group phase</t>
  </si>
  <si>
    <t xml:space="preserve">If teams in a group are tied, a lottery chooses the ranking within a group. If you don’t want this, you can break ties by awarding bonus points here. </t>
  </si>
  <si>
    <t xml:space="preserve">A</t>
  </si>
  <si>
    <t xml:space="preserve">E</t>
  </si>
  <si>
    <t xml:space="preserve">B</t>
  </si>
  <si>
    <t xml:space="preserve">F</t>
  </si>
  <si>
    <t xml:space="preserve">C</t>
  </si>
  <si>
    <t xml:space="preserve">G</t>
  </si>
  <si>
    <t xml:space="preserve">D</t>
  </si>
  <si>
    <t xml:space="preserve">H</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</si>
  <si>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</si>
  <si>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</si>
  <si>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</si>
  <si>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</si>
  <si>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</si>
  <si>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</si>
  <si>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</si>
  <si>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</si>
  <si>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</si>
  <si>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</si>
  <si>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</si>
  <si>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UTC + 1</t>
  </si>
  <si>
    <t xml:space="preserve">←</t>
  </si>
  <si>
    <t xml:space="preserve">UTC - 12</t>
  </si>
  <si>
    <t xml:space="preserve">IDLW</t>
  </si>
  <si>
    <t xml:space="preserve">UTC - 11</t>
  </si>
  <si>
    <t xml:space="preserve">UTC + 3</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</si>
  <si>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</si>
  <si>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</si>
  <si>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</si>
  <si>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</si>
  <si>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</si>
  <si>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</si>
  <si>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</si>
  <si>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</si>
  <si>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</si>
  <si>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</si>
  <si>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</si>
  <si>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</si>
  <si>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</si>
  <si>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</si>
  <si>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</si>
  <si>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</si>
  <si>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</si>
  <si>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</si>
  <si>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</si>
  <si>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</si>
  <si>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</si>
  <si>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CET/WEST</t>
  </si>
  <si>
    <t xml:space="preserve">UTC + 2</t>
  </si>
  <si>
    <t xml:space="preserve">EET/CEST</t>
  </si>
  <si>
    <t xml:space="preserve">AST/EAT</t>
  </si>
  <si>
    <t xml:space="preserve">UTC+3:30</t>
  </si>
  <si>
    <t xml:space="preserve">IRT</t>
  </si>
  <si>
    <t xml:space="preserve">UTC+4</t>
  </si>
  <si>
    <t xml:space="preserve">UTC+4:30</t>
  </si>
  <si>
    <t xml:space="preserve">UTC+5</t>
  </si>
  <si>
    <t xml:space="preserve">UTC+5:30</t>
  </si>
  <si>
    <t xml:space="preserve">IST</t>
  </si>
  <si>
    <t xml:space="preserve">UTC+5:45</t>
  </si>
  <si>
    <t xml:space="preserve">UTC+6</t>
  </si>
  <si>
    <t xml:space="preserve">UTC+6:30</t>
  </si>
  <si>
    <t xml:space="preserve">UTC+7</t>
  </si>
  <si>
    <t xml:space="preserve">ICT</t>
  </si>
  <si>
    <t xml:space="preserve">UTC+8</t>
  </si>
  <si>
    <t xml:space="preserve">CNST</t>
  </si>
  <si>
    <t xml:space="preserve">UTC+9</t>
  </si>
  <si>
    <t xml:space="preserve">JST</t>
  </si>
  <si>
    <t xml:space="preserve">UTC+9:30</t>
  </si>
  <si>
    <t xml:space="preserve">ACST</t>
  </si>
  <si>
    <t xml:space="preserve">UTC+10</t>
  </si>
  <si>
    <t xml:space="preserve">UTC+10:30</t>
  </si>
  <si>
    <t xml:space="preserve">UTC+11</t>
  </si>
  <si>
    <t xml:space="preserve">UTC+12</t>
  </si>
  <si>
    <t xml:space="preserve">IDLE/NZST</t>
  </si>
  <si>
    <t xml:space="preserve">UTC+12:45</t>
  </si>
  <si>
    <t xml:space="preserve">UTC+13</t>
  </si>
  <si>
    <t xml:space="preserve">UTC+14</t>
  </si>
  <si>
    <t xml:space="preserve">Last update:</t>
  </si>
  <si>
    <t xml:space="preserve">english</t>
  </si>
  <si>
    <t xml:space="preserve">FIFA
rank</t>
  </si>
  <si>
    <t xml:space="preserve">spanish</t>
  </si>
  <si>
    <t xml:space="preserve">italian</t>
  </si>
  <si>
    <t xml:space="preserve">french</t>
  </si>
  <si>
    <t xml:space="preserve">german</t>
  </si>
  <si>
    <t xml:space="preserve">dutch</t>
  </si>
  <si>
    <t xml:space="preserve">my language</t>
  </si>
  <si>
    <t xml:space="preserve">Brazil</t>
  </si>
  <si>
    <t xml:space="preserve">Brasil</t>
  </si>
  <si>
    <t xml:space="preserve">Brasile</t>
  </si>
  <si>
    <t xml:space="preserve">Brésil</t>
  </si>
  <si>
    <t xml:space="preserve">Brasilien</t>
  </si>
  <si>
    <t xml:space="preserve">Brazilië</t>
  </si>
  <si>
    <t xml:space="preserve">Belgium</t>
  </si>
  <si>
    <t xml:space="preserve">Bélgica</t>
  </si>
  <si>
    <t xml:space="preserve">Belgio</t>
  </si>
  <si>
    <t xml:space="preserve">Belgique</t>
  </si>
  <si>
    <t xml:space="preserve">Belgien</t>
  </si>
  <si>
    <t xml:space="preserve">België</t>
  </si>
  <si>
    <t xml:space="preserve">France</t>
  </si>
  <si>
    <t xml:space="preserve">Francia</t>
  </si>
  <si>
    <t xml:space="preserve">Frankreich</t>
  </si>
  <si>
    <t xml:space="preserve">Frankrijk</t>
  </si>
  <si>
    <t xml:space="preserve">Argentina</t>
  </si>
  <si>
    <t xml:space="preserve">Argentine</t>
  </si>
  <si>
    <t xml:space="preserve">Argentinien</t>
  </si>
  <si>
    <t xml:space="preserve">Argentinië</t>
  </si>
  <si>
    <t xml:space="preserve">England</t>
  </si>
  <si>
    <t xml:space="preserve">Inglaterra</t>
  </si>
  <si>
    <t xml:space="preserve">Inghilterra</t>
  </si>
  <si>
    <t xml:space="preserve">Angleterre</t>
  </si>
  <si>
    <t xml:space="preserve">Engeland</t>
  </si>
  <si>
    <t xml:space="preserve">Italy</t>
  </si>
  <si>
    <t xml:space="preserve">Italia</t>
  </si>
  <si>
    <t xml:space="preserve">Italie</t>
  </si>
  <si>
    <t xml:space="preserve">Italien</t>
  </si>
  <si>
    <t xml:space="preserve">Italië</t>
  </si>
  <si>
    <t xml:space="preserve">Spain</t>
  </si>
  <si>
    <t xml:space="preserve">España</t>
  </si>
  <si>
    <t xml:space="preserve">Spagna</t>
  </si>
  <si>
    <t xml:space="preserve">Espagne</t>
  </si>
  <si>
    <t xml:space="preserve">Spanien</t>
  </si>
  <si>
    <t xml:space="preserve">Spanje</t>
  </si>
  <si>
    <t xml:space="preserve">Portugal</t>
  </si>
  <si>
    <t xml:space="preserve">Portogallo</t>
  </si>
  <si>
    <t xml:space="preserve">Mexico</t>
  </si>
  <si>
    <t xml:space="preserve">México</t>
  </si>
  <si>
    <t xml:space="preserve">Messico</t>
  </si>
  <si>
    <t xml:space="preserve">Mexique</t>
  </si>
  <si>
    <t xml:space="preserve">Mexiko</t>
  </si>
  <si>
    <t xml:space="preserve">Netherlands</t>
  </si>
  <si>
    <t xml:space="preserve">Países Bajos</t>
  </si>
  <si>
    <t xml:space="preserve">Paesi Bassi</t>
  </si>
  <si>
    <t xml:space="preserve">Pays-Bas</t>
  </si>
  <si>
    <t xml:space="preserve">Niederlande</t>
  </si>
  <si>
    <t xml:space="preserve">Nederland</t>
  </si>
  <si>
    <t xml:space="preserve">Denmark</t>
  </si>
  <si>
    <t xml:space="preserve">Dinamarca</t>
  </si>
  <si>
    <t xml:space="preserve">Danimarca</t>
  </si>
  <si>
    <t xml:space="preserve">Danemark</t>
  </si>
  <si>
    <t xml:space="preserve">Dänemark</t>
  </si>
  <si>
    <t xml:space="preserve">Denemarken</t>
  </si>
  <si>
    <t xml:space="preserve">Germany</t>
  </si>
  <si>
    <t xml:space="preserve">Alemania</t>
  </si>
  <si>
    <t xml:space="preserve">Germania</t>
  </si>
  <si>
    <t xml:space="preserve">Allemagne</t>
  </si>
  <si>
    <t xml:space="preserve">Deutschland</t>
  </si>
  <si>
    <t xml:space="preserve">Duitsland</t>
  </si>
  <si>
    <t xml:space="preserve">Uruguay</t>
  </si>
  <si>
    <t xml:space="preserve">Switzerland</t>
  </si>
  <si>
    <t xml:space="preserve">Suiza</t>
  </si>
  <si>
    <t xml:space="preserve">Svizzera</t>
  </si>
  <si>
    <t xml:space="preserve">Suisse</t>
  </si>
  <si>
    <t xml:space="preserve">Schweiz</t>
  </si>
  <si>
    <t xml:space="preserve">Zwitserland</t>
  </si>
  <si>
    <t xml:space="preserve">USA</t>
  </si>
  <si>
    <t xml:space="preserve">EE.UU.</t>
  </si>
  <si>
    <t xml:space="preserve">Croatia</t>
  </si>
  <si>
    <t xml:space="preserve">Croacia</t>
  </si>
  <si>
    <t xml:space="preserve">Croazia</t>
  </si>
  <si>
    <t xml:space="preserve">Croatie</t>
  </si>
  <si>
    <t xml:space="preserve">Kroatien</t>
  </si>
  <si>
    <t xml:space="preserve">Kroatië</t>
  </si>
  <si>
    <t xml:space="preserve">Colombia</t>
  </si>
  <si>
    <t xml:space="preserve">Colombie</t>
  </si>
  <si>
    <t xml:space="preserve">Kolumbien</t>
  </si>
  <si>
    <t xml:space="preserve">Wales</t>
  </si>
  <si>
    <t xml:space="preserve">Gales</t>
  </si>
  <si>
    <t xml:space="preserve">Galles</t>
  </si>
  <si>
    <t xml:space="preserve">Pays de Galles</t>
  </si>
  <si>
    <t xml:space="preserve">Sweden</t>
  </si>
  <si>
    <t xml:space="preserve">Suecia</t>
  </si>
  <si>
    <t xml:space="preserve">Svezia</t>
  </si>
  <si>
    <t xml:space="preserve">Suède</t>
  </si>
  <si>
    <t xml:space="preserve">Schweden</t>
  </si>
  <si>
    <t xml:space="preserve">Zweden</t>
  </si>
  <si>
    <t xml:space="preserve">Senegal</t>
  </si>
  <si>
    <t xml:space="preserve">Sénégal</t>
  </si>
  <si>
    <t xml:space="preserve">IR Iran</t>
  </si>
  <si>
    <t xml:space="preserve">Iran</t>
  </si>
  <si>
    <t xml:space="preserve">L'Iran</t>
  </si>
  <si>
    <t xml:space="preserve">Peru</t>
  </si>
  <si>
    <t xml:space="preserve">Perú</t>
  </si>
  <si>
    <t xml:space="preserve">Perù</t>
  </si>
  <si>
    <t xml:space="preserve">Pérou</t>
  </si>
  <si>
    <t xml:space="preserve">Japan</t>
  </si>
  <si>
    <t xml:space="preserve">Japón</t>
  </si>
  <si>
    <t xml:space="preserve">Giappone</t>
  </si>
  <si>
    <t xml:space="preserve">Japon</t>
  </si>
  <si>
    <t xml:space="preserve">Morocco</t>
  </si>
  <si>
    <t xml:space="preserve">Marruecos</t>
  </si>
  <si>
    <t xml:space="preserve">Marocco</t>
  </si>
  <si>
    <t xml:space="preserve">Maroc</t>
  </si>
  <si>
    <t xml:space="preserve">Marokko</t>
  </si>
  <si>
    <t xml:space="preserve">Serbia</t>
  </si>
  <si>
    <t xml:space="preserve">Serbie</t>
  </si>
  <si>
    <t xml:space="preserve">Serbien</t>
  </si>
  <si>
    <t xml:space="preserve">Servië</t>
  </si>
  <si>
    <t xml:space="preserve">Poland</t>
  </si>
  <si>
    <t xml:space="preserve">Polonia</t>
  </si>
  <si>
    <t xml:space="preserve">Pologne</t>
  </si>
  <si>
    <t xml:space="preserve">Polen</t>
  </si>
  <si>
    <t xml:space="preserve">Ukraine</t>
  </si>
  <si>
    <t xml:space="preserve">Ucrania</t>
  </si>
  <si>
    <t xml:space="preserve">Ucraina</t>
  </si>
  <si>
    <t xml:space="preserve">Oekraïne</t>
  </si>
  <si>
    <t xml:space="preserve">Chile</t>
  </si>
  <si>
    <t xml:space="preserve">Cile</t>
  </si>
  <si>
    <t xml:space="preserve">Chili</t>
  </si>
  <si>
    <t xml:space="preserve">South Korea</t>
  </si>
  <si>
    <t xml:space="preserve">Corea del Sur</t>
  </si>
  <si>
    <t xml:space="preserve">Corea del Sud</t>
  </si>
  <si>
    <t xml:space="preserve">Corée du Sud</t>
  </si>
  <si>
    <t xml:space="preserve">Südkorea</t>
  </si>
  <si>
    <t xml:space="preserve">Zuid-Korea</t>
  </si>
  <si>
    <t xml:space="preserve">Nigeria</t>
  </si>
  <si>
    <t xml:space="preserve">Costa Rica</t>
  </si>
  <si>
    <t xml:space="preserve">Egypt</t>
  </si>
  <si>
    <t xml:space="preserve">Egipto</t>
  </si>
  <si>
    <t xml:space="preserve">Egitto</t>
  </si>
  <si>
    <t xml:space="preserve">Egypte</t>
  </si>
  <si>
    <t xml:space="preserve">Ägypten</t>
  </si>
  <si>
    <t xml:space="preserve">Czechia</t>
  </si>
  <si>
    <t xml:space="preserve">Rep. Checa</t>
  </si>
  <si>
    <t xml:space="preserve">Rep. Ceca</t>
  </si>
  <si>
    <t xml:space="preserve">Rép. tchèque</t>
  </si>
  <si>
    <t xml:space="preserve">Tschechien</t>
  </si>
  <si>
    <t xml:space="preserve">Tsjechië</t>
  </si>
  <si>
    <t xml:space="preserve">Austria</t>
  </si>
  <si>
    <t xml:space="preserve">Autriche</t>
  </si>
  <si>
    <t xml:space="preserve">Österreich</t>
  </si>
  <si>
    <t xml:space="preserve">Oostenrijk</t>
  </si>
  <si>
    <t xml:space="preserve">Tunisia</t>
  </si>
  <si>
    <t xml:space="preserve">Túnez</t>
  </si>
  <si>
    <t xml:space="preserve">Tunisie</t>
  </si>
  <si>
    <t xml:space="preserve">Tunesien</t>
  </si>
  <si>
    <t xml:space="preserve">Tunesië</t>
  </si>
  <si>
    <t xml:space="preserve">Russia</t>
  </si>
  <si>
    <t xml:space="preserve">Rusia</t>
  </si>
  <si>
    <t xml:space="preserve">Russie</t>
  </si>
  <si>
    <t xml:space="preserve">Russland</t>
  </si>
  <si>
    <t xml:space="preserve">Rusland</t>
  </si>
  <si>
    <t xml:space="preserve">Cameroon</t>
  </si>
  <si>
    <t xml:space="preserve">Camerún</t>
  </si>
  <si>
    <t xml:space="preserve">Camerun</t>
  </si>
  <si>
    <t xml:space="preserve">Cameroun</t>
  </si>
  <si>
    <t xml:space="preserve">Kamerun</t>
  </si>
  <si>
    <t xml:space="preserve">Kameroen</t>
  </si>
  <si>
    <t xml:space="preserve">Canada</t>
  </si>
  <si>
    <t xml:space="preserve">Canadá</t>
  </si>
  <si>
    <t xml:space="preserve">Kanada</t>
  </si>
  <si>
    <t xml:space="preserve">Scotland</t>
  </si>
  <si>
    <t xml:space="preserve">Escocia</t>
  </si>
  <si>
    <t xml:space="preserve">Scozia</t>
  </si>
  <si>
    <t xml:space="preserve">Écosse</t>
  </si>
  <si>
    <t xml:space="preserve">Schottland</t>
  </si>
  <si>
    <t xml:space="preserve">Schotland</t>
  </si>
  <si>
    <t xml:space="preserve">Hungary</t>
  </si>
  <si>
    <t xml:space="preserve">Hungría</t>
  </si>
  <si>
    <t xml:space="preserve">Ungheria</t>
  </si>
  <si>
    <t xml:space="preserve">Hongrie</t>
  </si>
  <si>
    <t xml:space="preserve">Ungarn</t>
  </si>
  <si>
    <t xml:space="preserve">Hongarije</t>
  </si>
  <si>
    <t xml:space="preserve">Norway</t>
  </si>
  <si>
    <t xml:space="preserve">Noruega</t>
  </si>
  <si>
    <t xml:space="preserve">Norvegia</t>
  </si>
  <si>
    <t xml:space="preserve">Norvège</t>
  </si>
  <si>
    <t xml:space="preserve">Norwegen</t>
  </si>
  <si>
    <t xml:space="preserve">Noorwegen</t>
  </si>
  <si>
    <t xml:space="preserve">Australia</t>
  </si>
  <si>
    <t xml:space="preserve">Australie</t>
  </si>
  <si>
    <t xml:space="preserve">Australien</t>
  </si>
  <si>
    <t xml:space="preserve">Australië</t>
  </si>
  <si>
    <t xml:space="preserve">Turkey</t>
  </si>
  <si>
    <t xml:space="preserve">Turquía</t>
  </si>
  <si>
    <t xml:space="preserve">Turchia</t>
  </si>
  <si>
    <t xml:space="preserve">Turquie</t>
  </si>
  <si>
    <t xml:space="preserve">Türkei</t>
  </si>
  <si>
    <t xml:space="preserve">Turkije</t>
  </si>
  <si>
    <t xml:space="preserve">Algeria</t>
  </si>
  <si>
    <t xml:space="preserve">Argelia</t>
  </si>
  <si>
    <t xml:space="preserve">Algérie</t>
  </si>
  <si>
    <t xml:space="preserve">Algerien</t>
  </si>
  <si>
    <t xml:space="preserve">Algerije</t>
  </si>
  <si>
    <t xml:space="preserve">Slovakia</t>
  </si>
  <si>
    <t xml:space="preserve">Eslovaquia</t>
  </si>
  <si>
    <t xml:space="preserve">Slovacchia</t>
  </si>
  <si>
    <t xml:space="preserve">Slovaquie</t>
  </si>
  <si>
    <t xml:space="preserve">Slowakei</t>
  </si>
  <si>
    <t xml:space="preserve">Slowakije</t>
  </si>
  <si>
    <t xml:space="preserve">Ecuador</t>
  </si>
  <si>
    <t xml:space="preserve">Équateur</t>
  </si>
  <si>
    <t xml:space="preserve">Ireland</t>
  </si>
  <si>
    <t xml:space="preserve">Irlanda</t>
  </si>
  <si>
    <t xml:space="preserve">Irlande</t>
  </si>
  <si>
    <t xml:space="preserve">Irland</t>
  </si>
  <si>
    <t xml:space="preserve">Ierland</t>
  </si>
  <si>
    <t xml:space="preserve">Romania</t>
  </si>
  <si>
    <t xml:space="preserve">Rumanía</t>
  </si>
  <si>
    <t xml:space="preserve">Roumanie</t>
  </si>
  <si>
    <t xml:space="preserve">Rumänien</t>
  </si>
  <si>
    <t xml:space="preserve">Roemenië</t>
  </si>
  <si>
    <t xml:space="preserve">Saudi Arabia</t>
  </si>
  <si>
    <t xml:space="preserve">Arabia Saudita</t>
  </si>
  <si>
    <t xml:space="preserve">Arabie Saoudite</t>
  </si>
  <si>
    <t xml:space="preserve">Saudi-Arabien</t>
  </si>
  <si>
    <t xml:space="preserve">Saudie-Arabië</t>
  </si>
  <si>
    <t xml:space="preserve">Paraguay</t>
  </si>
  <si>
    <t xml:space="preserve">Qatar</t>
  </si>
  <si>
    <t xml:space="preserve">Katar</t>
  </si>
  <si>
    <t xml:space="preserve">Mali</t>
  </si>
  <si>
    <t xml:space="preserve">Ivory Coast</t>
  </si>
  <si>
    <t xml:space="preserve">Costa de Marfil</t>
  </si>
  <si>
    <t xml:space="preserve">Costa d'Avorio</t>
  </si>
  <si>
    <t xml:space="preserve">Côte d'Ivoire</t>
  </si>
  <si>
    <t xml:space="preserve">Elfenbeinküste</t>
  </si>
  <si>
    <t xml:space="preserve">Ivoorkust</t>
  </si>
  <si>
    <t xml:space="preserve">Northern Ireland</t>
  </si>
  <si>
    <t xml:space="preserve">Irlanda del Norte</t>
  </si>
  <si>
    <t xml:space="preserve">Irlanda del Nord</t>
  </si>
  <si>
    <t xml:space="preserve">Irlande du Nord</t>
  </si>
  <si>
    <t xml:space="preserve">Nordirland</t>
  </si>
  <si>
    <t xml:space="preserve">Noord-Ierland</t>
  </si>
  <si>
    <t xml:space="preserve">Greece</t>
  </si>
  <si>
    <t xml:space="preserve">Grecia</t>
  </si>
  <si>
    <t xml:space="preserve">Grèce</t>
  </si>
  <si>
    <t xml:space="preserve">Griechenland</t>
  </si>
  <si>
    <t xml:space="preserve">Griekenland</t>
  </si>
  <si>
    <t xml:space="preserve">Burkina Faso</t>
  </si>
  <si>
    <t xml:space="preserve">Finland</t>
  </si>
  <si>
    <t xml:space="preserve">Finlandia</t>
  </si>
  <si>
    <t xml:space="preserve">Finlande</t>
  </si>
  <si>
    <t xml:space="preserve">Finnland</t>
  </si>
  <si>
    <t xml:space="preserve">Venezuela</t>
  </si>
  <si>
    <t xml:space="preserve">Bosnia a. Herzeg.</t>
  </si>
  <si>
    <t xml:space="preserve">Bosnia y Herzeg.</t>
  </si>
  <si>
    <t xml:space="preserve">Bosnia ed Erzeg.</t>
  </si>
  <si>
    <t xml:space="preserve">Bosnie-Herzég.</t>
  </si>
  <si>
    <t xml:space="preserve">Bosnien/Herzeg.</t>
  </si>
  <si>
    <t xml:space="preserve">Bosnië/Herzegow.</t>
  </si>
  <si>
    <t xml:space="preserve">Ghana</t>
  </si>
  <si>
    <t xml:space="preserve">Panama</t>
  </si>
  <si>
    <t xml:space="preserve">Panamá</t>
  </si>
  <si>
    <t xml:space="preserve">North Macedonia</t>
  </si>
  <si>
    <t xml:space="preserve">Macedonia Norte</t>
  </si>
  <si>
    <t xml:space="preserve">Nord Macedonia</t>
  </si>
  <si>
    <t xml:space="preserve">Macédoine Nord</t>
  </si>
  <si>
    <t xml:space="preserve">Nordmazedonien</t>
  </si>
  <si>
    <t xml:space="preserve">Noord-Macedonië</t>
  </si>
  <si>
    <t xml:space="preserve">Iceland</t>
  </si>
  <si>
    <t xml:space="preserve">Islandia</t>
  </si>
  <si>
    <t xml:space="preserve">Islanda</t>
  </si>
  <si>
    <t xml:space="preserve">Islande</t>
  </si>
  <si>
    <t xml:space="preserve">Island</t>
  </si>
  <si>
    <t xml:space="preserve">IJsland</t>
  </si>
  <si>
    <t xml:space="preserve">Jamaica</t>
  </si>
  <si>
    <t xml:space="preserve">Giamaica</t>
  </si>
  <si>
    <t xml:space="preserve">Jamaïque</t>
  </si>
  <si>
    <t xml:space="preserve">Jamaika</t>
  </si>
  <si>
    <t xml:space="preserve">Slovenia</t>
  </si>
  <si>
    <t xml:space="preserve">Eslovenia</t>
  </si>
  <si>
    <t xml:space="preserve">Slovénie</t>
  </si>
  <si>
    <t xml:space="preserve">Slowenien</t>
  </si>
  <si>
    <t xml:space="preserve">Slovenië</t>
  </si>
  <si>
    <t xml:space="preserve">Albania</t>
  </si>
  <si>
    <t xml:space="preserve">Albanie</t>
  </si>
  <si>
    <t xml:space="preserve">Albanien</t>
  </si>
  <si>
    <t xml:space="preserve">Albanië</t>
  </si>
  <si>
    <t xml:space="preserve">Congo</t>
  </si>
  <si>
    <t xml:space="preserve">Kongo</t>
  </si>
  <si>
    <t xml:space="preserve">Un. Ar. Emirates</t>
  </si>
  <si>
    <t xml:space="preserve">Emiratos Ár. Un.</t>
  </si>
  <si>
    <t xml:space="preserve">Emirati Ar. Un.</t>
  </si>
  <si>
    <t xml:space="preserve">Emirats Ar. Un.</t>
  </si>
  <si>
    <t xml:space="preserve">Ver. Arab. Emirate</t>
  </si>
  <si>
    <t xml:space="preserve">Ver. Arab. Emiraten</t>
  </si>
  <si>
    <t xml:space="preserve">South Africa</t>
  </si>
  <si>
    <t xml:space="preserve">Sudáfrica</t>
  </si>
  <si>
    <t xml:space="preserve">Sudafrica</t>
  </si>
  <si>
    <t xml:space="preserve">Afrique du Sud</t>
  </si>
  <si>
    <t xml:space="preserve">Südafrika</t>
  </si>
  <si>
    <t xml:space="preserve">Zuid-Afrika</t>
  </si>
  <si>
    <t xml:space="preserve">Montenegro</t>
  </si>
  <si>
    <t xml:space="preserve">Monténégro</t>
  </si>
  <si>
    <t xml:space="preserve">Iraq</t>
  </si>
  <si>
    <t xml:space="preserve">Irak</t>
  </si>
  <si>
    <t xml:space="preserve">Bulgaria</t>
  </si>
  <si>
    <t xml:space="preserve">Bulgarie</t>
  </si>
  <si>
    <t xml:space="preserve">Bulgarien</t>
  </si>
  <si>
    <t xml:space="preserve">Bulgarije</t>
  </si>
  <si>
    <t xml:space="preserve">Israel</t>
  </si>
  <si>
    <t xml:space="preserve">Israele</t>
  </si>
  <si>
    <t xml:space="preserve">Israël</t>
  </si>
  <si>
    <t xml:space="preserve">China</t>
  </si>
  <si>
    <t xml:space="preserve">Cina</t>
  </si>
  <si>
    <t xml:space="preserve">Chine</t>
  </si>
  <si>
    <t xml:space="preserve">Bolivia</t>
  </si>
  <si>
    <t xml:space="preserve">Bolivie</t>
  </si>
  <si>
    <t xml:space="preserve">Bolivien</t>
  </si>
  <si>
    <t xml:space="preserve">Bolivië</t>
  </si>
  <si>
    <t xml:space="preserve">Honduras</t>
  </si>
  <si>
    <t xml:space="preserve">Bahrain</t>
  </si>
  <si>
    <t xml:space="preserve">Bahrein</t>
  </si>
  <si>
    <t xml:space="preserve">Bahreïn</t>
  </si>
  <si>
    <t xml:space="preserve">Armenia</t>
  </si>
  <si>
    <t xml:space="preserve">Arménie</t>
  </si>
  <si>
    <t xml:space="preserve">Armenien</t>
  </si>
  <si>
    <t xml:space="preserve">Armenië</t>
  </si>
  <si>
    <t xml:space="preserve">Belarus</t>
  </si>
  <si>
    <t xml:space="preserve">Bielorrusia</t>
  </si>
  <si>
    <t xml:space="preserve">Bielorussia</t>
  </si>
  <si>
    <t xml:space="preserve">Bélarus</t>
  </si>
  <si>
    <t xml:space="preserve">Weißrussland</t>
  </si>
  <si>
    <t xml:space="preserve">Wit-Rusland</t>
  </si>
  <si>
    <t xml:space="preserve">Uzbekistan</t>
  </si>
  <si>
    <t xml:space="preserve">Uzbekistán</t>
  </si>
  <si>
    <t xml:space="preserve">Ouzbékistan</t>
  </si>
  <si>
    <t xml:space="preserve">Usbekistan</t>
  </si>
  <si>
    <t xml:space="preserve">Oezbekistan</t>
  </si>
  <si>
    <t xml:space="preserve">Haiti</t>
  </si>
  <si>
    <t xml:space="preserve">Haití</t>
  </si>
  <si>
    <t xml:space="preserve">Haïti</t>
  </si>
  <si>
    <t xml:space="preserve">El Salvador</t>
  </si>
  <si>
    <t xml:space="preserve">Oman</t>
  </si>
  <si>
    <t xml:space="preserve">Omán</t>
  </si>
  <si>
    <t xml:space="preserve">Kosovo</t>
  </si>
  <si>
    <t xml:space="preserve">Georgia</t>
  </si>
  <si>
    <t xml:space="preserve">Géorgie</t>
  </si>
  <si>
    <t xml:space="preserve">Georgien</t>
  </si>
  <si>
    <t xml:space="preserve">Georgië</t>
  </si>
  <si>
    <t xml:space="preserve">New Zealand</t>
  </si>
  <si>
    <t xml:space="preserve">Nueva Zelanda</t>
  </si>
  <si>
    <t xml:space="preserve">Nuova Zelanda</t>
  </si>
  <si>
    <t xml:space="preserve">Nouvelle-Zélande</t>
  </si>
  <si>
    <t xml:space="preserve">Neuseeland</t>
  </si>
  <si>
    <t xml:space="preserve">Nieuw-Zeeland</t>
  </si>
  <si>
    <t xml:space="preserve">Playoff UEFA</t>
  </si>
  <si>
    <t xml:space="preserve">Playoff Int. 1</t>
  </si>
  <si>
    <t xml:space="preserve">Playoff Int. 2</t>
  </si>
  <si>
    <t xml:space="preserve">Venue
no.</t>
  </si>
  <si>
    <t xml:space="preserve">Venues</t>
  </si>
  <si>
    <t xml:space="preserve">Al Bayt</t>
  </si>
  <si>
    <t xml:space="preserve">Khalifa Internat.</t>
  </si>
  <si>
    <t xml:space="preserve">Al Thumama</t>
  </si>
  <si>
    <t xml:space="preserve">Ahmad Bin Ali</t>
  </si>
  <si>
    <t xml:space="preserve">Lusail</t>
  </si>
  <si>
    <t xml:space="preserve">Stadium 974</t>
  </si>
  <si>
    <t xml:space="preserve">Estadio 974</t>
  </si>
  <si>
    <t xml:space="preserve">Stadio 974</t>
  </si>
  <si>
    <t xml:space="preserve">Stade 974</t>
  </si>
  <si>
    <t xml:space="preserve">Stadion 974</t>
  </si>
  <si>
    <t xml:space="preserve">Education City</t>
  </si>
  <si>
    <t xml:space="preserve">Al Janoub</t>
  </si>
  <si>
    <t xml:space="preserve">Titles</t>
  </si>
  <si>
    <t xml:space="preserve">World Cup 2022 in Qatar</t>
  </si>
  <si>
    <t xml:space="preserve">Copa del Mundo 2022 en Qatar</t>
  </si>
  <si>
    <t xml:space="preserve">Mondiali 2022 in Qatar</t>
  </si>
  <si>
    <t xml:space="preserve">Coupe du monde 2022 au Qatar</t>
  </si>
  <si>
    <t xml:space="preserve">WM 2022 in Katar</t>
  </si>
  <si>
    <t xml:space="preserve">WK voetbal 2022 - Qatar</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</si>
  <si>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</si>
  <si>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</si>
  <si>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</si>
  <si>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</si>
  <si>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</si>
  <si>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</si>
  <si>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Fair play and drawing lots</t>
  </si>
  <si>
    <t xml:space="preserve">Fair-play et tirage au sort</t>
  </si>
  <si>
    <t xml:space="preserve">Fair play e sorteggio</t>
  </si>
  <si>
    <t xml:space="preserve">Fair-Play und Losentscheid</t>
  </si>
  <si>
    <t xml:space="preserve">Fair-Play en loting</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</si>
  <si>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</si>
  <si>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</si>
  <si>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</si>
  <si>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</si>
  <si>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</si>
  <si>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</si>
  <si>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Matches</t>
  </si>
  <si>
    <t xml:space="preserve">Partidos</t>
  </si>
  <si>
    <t xml:space="preserve">Partite</t>
  </si>
  <si>
    <t xml:space="preserve">Matchs</t>
  </si>
  <si>
    <t xml:space="preserve">Spiele</t>
  </si>
  <si>
    <t xml:space="preserve">Wedstrijden</t>
  </si>
  <si>
    <t xml:space="preserve">Choose language</t>
  </si>
  <si>
    <t xml:space="preserve">Elección de la lengua</t>
  </si>
  <si>
    <t xml:space="preserve">Scelta della lingua</t>
  </si>
  <si>
    <t xml:space="preserve">Choix de langue</t>
  </si>
  <si>
    <t xml:space="preserve">Wahl der Sprache</t>
  </si>
  <si>
    <t xml:space="preserve">Kies taal</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</si>
  <si>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</si>
  <si>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</si>
  <si>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</si>
  <si>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</si>
  <si>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</si>
  <si>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</si>
  <si>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Captions</t>
  </si>
  <si>
    <t xml:space="preserve">Group</t>
  </si>
  <si>
    <t xml:space="preserve">Grupo</t>
  </si>
  <si>
    <t xml:space="preserve">Gruppo</t>
  </si>
  <si>
    <t xml:space="preserve">Groupe</t>
  </si>
  <si>
    <t xml:space="preserve">Gruppe</t>
  </si>
  <si>
    <t xml:space="preserve">Groep</t>
  </si>
  <si>
    <t xml:space="preserve">Pts.</t>
  </si>
  <si>
    <t xml:space="preserve">Pt.</t>
  </si>
  <si>
    <t xml:space="preserve">Pkt.</t>
  </si>
  <si>
    <t xml:space="preserve">Ptn.</t>
  </si>
  <si>
    <t xml:space="preserve">Diff.</t>
  </si>
  <si>
    <t xml:space="preserve">Dif.</t>
  </si>
  <si>
    <t xml:space="preserve">Doels.</t>
  </si>
  <si>
    <t xml:space="preserve">Goals</t>
  </si>
  <si>
    <t xml:space="preserve">Goles</t>
  </si>
  <si>
    <t xml:space="preserve">Gol</t>
  </si>
  <si>
    <t xml:space="preserve">Buts</t>
  </si>
  <si>
    <t xml:space="preserve">Tore</t>
  </si>
  <si>
    <t xml:space="preserve">Doelpunten</t>
  </si>
  <si>
    <r>
      <rPr>
        <sz val="11"/>
        <color rgb="FF000000"/>
        <rFont val="Calibri"/>
        <family val="2"/>
        <charset val="1"/>
      </rPr>
      <t xml:space="preserve">  </t>
    </r>
    <r>
      <rPr>
        <b val="true"/>
        <sz val="11"/>
        <color rgb="FF000000"/>
        <rFont val="Calibri"/>
        <family val="2"/>
        <charset val="1"/>
      </rPr>
      <t xml:space="preserve">Pts.</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</si>
  <si>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</si>
  <si>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</si>
  <si>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</si>
  <si>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t>
    </r>
    <r>
      <rPr>
        <sz val="11"/>
        <color rgb="FF000000"/>
        <rFont val="Calibri"/>
        <family val="2"/>
        <charset val="1"/>
      </rPr>
      <t xml:space="preserve">     Tore</t>
    </r>
  </si>
  <si>
    <t xml:space="preserve">  Ptn.     Doelp.</t>
  </si>
  <si>
    <t xml:space="preserve">Total</t>
  </si>
  <si>
    <t xml:space="preserve">Totale</t>
  </si>
  <si>
    <t xml:space="preserve">Totaal</t>
  </si>
  <si>
    <t xml:space="preserve">Fair Play/Lot</t>
  </si>
  <si>
    <t xml:space="preserve">Fair Play/Sort.</t>
  </si>
  <si>
    <t xml:space="preserve">Fair-Play/Sort</t>
  </si>
  <si>
    <t xml:space="preserve">Fair-Play/Los</t>
  </si>
  <si>
    <t xml:space="preserve">Fair Play/Loting</t>
  </si>
  <si>
    <t xml:space="preserve">Not clear</t>
  </si>
  <si>
    <t xml:space="preserve">No es claro</t>
  </si>
  <si>
    <t xml:space="preserve">Non chiaro</t>
  </si>
  <si>
    <t xml:space="preserve">Pas clair</t>
  </si>
  <si>
    <t xml:space="preserve">Nicht klar</t>
  </si>
  <si>
    <t xml:space="preserve">Niet duidelijk</t>
  </si>
  <si>
    <t xml:space="preserve">Dir. Conp.(2)</t>
  </si>
  <si>
    <t xml:space="preserve">Comp. dir.(2)</t>
  </si>
  <si>
    <t xml:space="preserve">Confr. dir.(2)</t>
  </si>
  <si>
    <t xml:space="preserve">Dir. Vergl.(2)</t>
  </si>
  <si>
    <t xml:space="preserve">Dir. Comp.(3)</t>
  </si>
  <si>
    <t xml:space="preserve">Comp. dir.(3)</t>
  </si>
  <si>
    <t xml:space="preserve">Confr. dir.(3)</t>
  </si>
  <si>
    <t xml:space="preserve">Dir. Vergl.(3)</t>
  </si>
  <si>
    <t xml:space="preserve">Final table</t>
  </si>
  <si>
    <t xml:space="preserve">Mesa final</t>
  </si>
  <si>
    <t xml:space="preserve">Tavolo finale</t>
  </si>
  <si>
    <t xml:space="preserve">Tableau final</t>
  </si>
  <si>
    <t xml:space="preserve">Schlusstabelle</t>
  </si>
  <si>
    <t xml:space="preserve">Eindstand groep</t>
  </si>
  <si>
    <t xml:space="preserve">World Champion 2022:</t>
  </si>
  <si>
    <t xml:space="preserve">Campeón del Mundo 2022:</t>
  </si>
  <si>
    <t xml:space="preserve">Campione del mondo 2022:</t>
  </si>
  <si>
    <t xml:space="preserve">Champion du monde 2022:</t>
  </si>
  <si>
    <t xml:space="preserve">Weltmeister 2022:</t>
  </si>
  <si>
    <t xml:space="preserve">Wereldkampioen 2022:</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</si>
  <si>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</si>
  <si>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</si>
  <si>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</si>
  <si>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</si>
  <si>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</si>
  <si>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</si>
  <si>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</si>
  <si>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</si>
  <si>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</si>
  <si>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</si>
  <si>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</si>
  <si>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</si>
  <si>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</si>
  <si>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</si>
  <si>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</si>
  <si>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</si>
  <si>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</si>
  <si>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</si>
  <si>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</si>
  <si>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</si>
  <si>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</si>
  <si>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</si>
  <si>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</si>
  <si>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</si>
  <si>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</si>
  <si>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</si>
  <si>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</si>
  <si>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</si>
  <si>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</si>
  <si>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</si>
  <si>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</si>
  <si>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</si>
  <si>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</si>
  <si>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</si>
  <si>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</si>
  <si>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</si>
  <si>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</si>
  <si>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</si>
  <si>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</si>
  <si>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</si>
  <si>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</si>
  <si>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</si>
  <si>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</si>
  <si>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</si>
  <si>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</si>
  <si>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</si>
  <si>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</si>
  <si>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</si>
  <si>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</si>
  <si>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</si>
  <si>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</si>
  <si>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</si>
  <si>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</si>
  <si>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</si>
  <si>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</si>
  <si>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</si>
  <si>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</si>
  <si>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</si>
  <si>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</si>
  <si>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</si>
  <si>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</si>
  <si>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</si>
  <si>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</si>
  <si>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</si>
  <si>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</si>
  <si>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</si>
  <si>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</si>
  <si>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</si>
  <si>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</si>
  <si>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</si>
  <si>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</si>
  <si>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</si>
  <si>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Semi-Final 1</t>
  </si>
  <si>
    <t xml:space="preserve">Semifinales 1</t>
  </si>
  <si>
    <t xml:space="preserve">Semifinali 1</t>
  </si>
  <si>
    <t xml:space="preserve">Demi-finales 1</t>
  </si>
  <si>
    <t xml:space="preserve">Halbfinale 1</t>
  </si>
  <si>
    <t xml:space="preserve">Halve finale 1</t>
  </si>
  <si>
    <t xml:space="preserve">Semi-Final 2</t>
  </si>
  <si>
    <t xml:space="preserve">Semifinales 2</t>
  </si>
  <si>
    <t xml:space="preserve">Semifinali 2</t>
  </si>
  <si>
    <t xml:space="preserve">Demi-finales 2</t>
  </si>
  <si>
    <t xml:space="preserve">Halbfinale 2</t>
  </si>
  <si>
    <t xml:space="preserve">Halve finale 2</t>
  </si>
  <si>
    <t xml:space="preserve">Third place</t>
  </si>
  <si>
    <t xml:space="preserve">Tercer lugar</t>
  </si>
  <si>
    <t xml:space="preserve">Terzo posto</t>
  </si>
  <si>
    <t xml:space="preserve">Troisième place</t>
  </si>
  <si>
    <t xml:space="preserve">Dritter Platz</t>
  </si>
  <si>
    <t xml:space="preserve">Derde plaats</t>
  </si>
  <si>
    <t xml:space="preserve">Final</t>
  </si>
  <si>
    <t xml:space="preserve">Finale</t>
  </si>
  <si>
    <t xml:space="preserve">Bonus</t>
  </si>
  <si>
    <t xml:space="preserve">Prima</t>
  </si>
  <si>
    <t xml:space="preserve">Prime</t>
  </si>
  <si>
    <t xml:space="preserve">Penalty shoot-out:</t>
  </si>
  <si>
    <t xml:space="preserve">Tiro de penalti:</t>
  </si>
  <si>
    <t xml:space="preserve">Tiro di rigore:</t>
  </si>
  <si>
    <t xml:space="preserve">Tirs au but :</t>
  </si>
  <si>
    <t xml:space="preserve">Elfmeterschießen:</t>
  </si>
  <si>
    <t xml:space="preserve">Penalties:</t>
  </si>
  <si>
    <t xml:space="preserve">Nombre</t>
  </si>
  <si>
    <t xml:space="preserve">Nome</t>
  </si>
  <si>
    <t xml:space="preserve">Nom</t>
  </si>
  <si>
    <t xml:space="preserve">Naam</t>
  </si>
  <si>
    <t xml:space="preserve">Message</t>
  </si>
  <si>
    <t xml:space="preserve">Groups with fair play valuation or drawing lots:</t>
  </si>
  <si>
    <t xml:space="preserve">Grupos con valoración de fair play o sorteo:</t>
  </si>
  <si>
    <t xml:space="preserve">Gruppi con valutazione fair play o sorteggio:</t>
  </si>
  <si>
    <t xml:space="preserve">Groupes avec valorisation fair-play ou tirage au sort :</t>
  </si>
  <si>
    <t xml:space="preserve">Gruppen mit Fair-Play-Wertung oder Losentscheid:</t>
  </si>
  <si>
    <t xml:space="preserve">Groepen met Fair-Play score of geloot:</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</si>
  <si>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</si>
  <si>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</si>
  <si>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</si>
  <si>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</si>
  <si>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</si>
  <si>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</si>
  <si>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 and </t>
  </si>
  <si>
    <t xml:space="preserve"> y </t>
  </si>
  <si>
    <t xml:space="preserve"> e </t>
  </si>
  <si>
    <t xml:space="preserve"> et </t>
  </si>
  <si>
    <t xml:space="preserve"> und </t>
  </si>
  <si>
    <t xml:space="preserve">en</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</si>
  <si>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</si>
  <si>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</si>
  <si>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</si>
  <si>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</si>
  <si>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</si>
  <si>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</si>
  <si>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In the case of two teams, if the fair play evaluation or the lottery decides on the better placement in the group, a "1" is entered here for the better team.</t>
  </si>
  <si>
    <t xml:space="preserve">En el caso de dos equipos, si la clasificación de juego limpio o la lotería deciden la mejor ubicación en el grupo, aquí se ingresa un "1" para el mejor equipo.</t>
  </si>
  <si>
    <t xml:space="preserve">Nel caso di due squadre, se la valutazione del fair play o la lotteria decidono il miglior piazzamento nel girone, qui viene inserito un "1" per la squadra migliore.</t>
  </si>
  <si>
    <t xml:space="preserve">Dans le cas de deux équipes, si le classement du fair-play ou la loterie décide du meilleur placement dans le groupe, un "1" est inscrit ici pour la meilleure équipe.</t>
  </si>
  <si>
    <t xml:space="preserve">Entscheidet bei zwei Mannschaften die Fair-Play-Wertung oder das Los über die bessere Platzierung in der Gruppe, so wird hier für die bessere Mannschaft eine "1" eingetragen.</t>
  </si>
  <si>
    <t xml:space="preserve">In het geval van twee teams, als door toepassing van Fair-Play of loting bepaald wordt voor de betere kwalificatie in de groep, wordt hier een '1' geplaatst voor het betere team.</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</si>
  <si>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</si>
  <si>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</si>
  <si>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</si>
  <si>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</si>
  <si>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</si>
  <si>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</si>
  <si>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</si>
  <si>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</si>
  <si>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</si>
  <si>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</si>
  <si>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</si>
  <si>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</si>
  <si>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</si>
  <si>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</si>
  <si>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</si>
  <si>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</si>
  <si>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</si>
  <si>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</si>
  <si>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 - </t>
  </si>
  <si>
    <t xml:space="preserve"> : </t>
  </si>
  <si>
    <t xml:space="preserve">For summer time, the time zone must be increased by 1 (e.g. UTC+2 instead of UTC+1)</t>
  </si>
  <si>
    <t xml:space="preserve">Para el horario de verano, la zona horaria debe incrementarse en 1 (por ejemplo, UTC+2 en lugar de UTC+1)</t>
  </si>
  <si>
    <t xml:space="preserve">Per l'ora legale, il fuso orario deve essere aumentato di 1 (ad esempio UTC+2 invece di UTC+1)</t>
  </si>
  <si>
    <t xml:space="preserve">Pour l'heure d'été, le fuseau horaire doit être augmenté
de 1 (par exemple, UTC+2 au lieu de UTC+1)</t>
  </si>
  <si>
    <t xml:space="preserve">Bei Sommerzeit muss die Zeitzone um 1 erhöht werden
(z. B. UTC+2 statt UTC+1)</t>
  </si>
  <si>
    <t xml:space="preserve">In geval van landen die zomertijd gebruiken moet de tijdzone met 1 opgehoogd worden (b.v. UTC+2 in plaats van UTC+1).</t>
  </si>
  <si>
    <t xml:space="preserve">Predictions</t>
  </si>
  <si>
    <t xml:space="preserve">Predicciones</t>
  </si>
  <si>
    <t xml:space="preserve">Predizioni</t>
  </si>
  <si>
    <t xml:space="preserve">Prédictions</t>
  </si>
  <si>
    <t xml:space="preserve">Vorhersagen</t>
  </si>
  <si>
    <t xml:space="preserve">Voorspellingen</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</si>
  <si>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</si>
  <si>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</si>
  <si>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</si>
  <si>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</si>
  <si>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</si>
  <si>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</si>
  <si>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Result</t>
  </si>
  <si>
    <t xml:space="preserve">result.</t>
  </si>
  <si>
    <t xml:space="preserve">risult.</t>
  </si>
  <si>
    <t xml:space="preserve">résult.</t>
  </si>
  <si>
    <t xml:space="preserve">Ergebn.</t>
  </si>
  <si>
    <t xml:space="preserve">Resultaten</t>
  </si>
  <si>
    <t xml:space="preserve">With factor:</t>
  </si>
  <si>
    <t xml:space="preserve">Con factor:</t>
  </si>
  <si>
    <t xml:space="preserve">Con fattore:</t>
  </si>
  <si>
    <t xml:space="preserve">Avec facteur:</t>
  </si>
  <si>
    <t xml:space="preserve">Mit Faktor:</t>
  </si>
  <si>
    <t xml:space="preserve">Met factor:</t>
  </si>
  <si>
    <t xml:space="preserve">Sum:</t>
  </si>
  <si>
    <t xml:space="preserve">Total:</t>
  </si>
  <si>
    <t xml:space="preserve">Totale:</t>
  </si>
  <si>
    <t xml:space="preserve">Summe:</t>
  </si>
  <si>
    <t xml:space="preserve">Totaal:</t>
  </si>
  <si>
    <t xml:space="preserve">result</t>
  </si>
  <si>
    <t xml:space="preserve">Result.</t>
  </si>
  <si>
    <t xml:space="preserve">Risult.</t>
  </si>
  <si>
    <t xml:space="preserve">Résult.</t>
  </si>
  <si>
    <t xml:space="preserve">Resultaat</t>
  </si>
  <si>
    <t xml:space="preserve">W/D/L</t>
  </si>
  <si>
    <t xml:space="preserve">G/E/P</t>
  </si>
  <si>
    <t xml:space="preserve">V/P/S</t>
  </si>
  <si>
    <t xml:space="preserve">G/N/D</t>
  </si>
  <si>
    <t xml:space="preserve">G/U/V</t>
  </si>
  <si>
    <t xml:space="preserve">W/G/V</t>
  </si>
  <si>
    <t xml:space="preserve">DDG</t>
  </si>
  <si>
    <t xml:space="preserve">DR</t>
  </si>
  <si>
    <t xml:space="preserve">DDB</t>
  </si>
  <si>
    <t xml:space="preserve">TD</t>
  </si>
  <si>
    <t xml:space="preserve">DS</t>
  </si>
  <si>
    <t xml:space="preserve">exact</t>
  </si>
  <si>
    <t xml:space="preserve">exact.</t>
  </si>
  <si>
    <t xml:space="preserve">esatt.</t>
  </si>
  <si>
    <t xml:space="preserve">exakt</t>
  </si>
  <si>
    <t xml:space="preserve">teams</t>
  </si>
  <si>
    <t xml:space="preserve">equip.</t>
  </si>
  <si>
    <t xml:space="preserve">squad.</t>
  </si>
  <si>
    <t xml:space="preserve">équip.</t>
  </si>
  <si>
    <t xml:space="preserve">Teams</t>
  </si>
  <si>
    <t xml:space="preserve">Round of 16</t>
  </si>
  <si>
    <t xml:space="preserve">Octavos de final</t>
  </si>
  <si>
    <t xml:space="preserve">Ottavi di finale</t>
  </si>
  <si>
    <t xml:space="preserve">huitièmes de finale</t>
  </si>
  <si>
    <t xml:space="preserve">Achtelfinale</t>
  </si>
  <si>
    <t xml:space="preserve">Achtste finale</t>
  </si>
  <si>
    <t xml:space="preserve">Quarter final</t>
  </si>
  <si>
    <t xml:space="preserve">Cuartos de final</t>
  </si>
  <si>
    <t xml:space="preserve">Quarti di finale</t>
  </si>
  <si>
    <t xml:space="preserve">Quarts de finale</t>
  </si>
  <si>
    <t xml:space="preserve">Viertelfinale</t>
  </si>
  <si>
    <t xml:space="preserve">Kwart finale</t>
  </si>
  <si>
    <t xml:space="preserve">Semi-Final</t>
  </si>
  <si>
    <t xml:space="preserve">Semifinales</t>
  </si>
  <si>
    <t xml:space="preserve">Semifinali</t>
  </si>
  <si>
    <t xml:space="preserve">Demi-finales</t>
  </si>
  <si>
    <t xml:space="preserve">Halbfinale</t>
  </si>
  <si>
    <t xml:space="preserve">Halve finale</t>
  </si>
  <si>
    <t xml:space="preserve">Hint</t>
  </si>
  <si>
    <t xml:space="preserve">Noticia</t>
  </si>
  <si>
    <t xml:space="preserve">Avviso</t>
  </si>
  <si>
    <t xml:space="preserve">Avis</t>
  </si>
  <si>
    <t xml:space="preserve">Hinweis</t>
  </si>
  <si>
    <t xml:space="preserve">Opmerking:</t>
  </si>
  <si>
    <t xml:space="preserve">Factors</t>
  </si>
  <si>
    <t xml:space="preserve">Factores</t>
  </si>
  <si>
    <t xml:space="preserve">Fattori</t>
  </si>
  <si>
    <t xml:space="preserve">Facteurs</t>
  </si>
  <si>
    <t xml:space="preserve">Faktoren</t>
  </si>
  <si>
    <t xml:space="preserve">Factoren</t>
  </si>
  <si>
    <t xml:space="preserve">Settings</t>
  </si>
  <si>
    <t xml:space="preserve">Ajustes</t>
  </si>
  <si>
    <t xml:space="preserve">Impostazioni</t>
  </si>
  <si>
    <t xml:space="preserve">paramètres</t>
  </si>
  <si>
    <t xml:space="preserve">Einstellungen</t>
  </si>
  <si>
    <t xml:space="preserve">Instellingen</t>
  </si>
  <si>
    <t xml:space="preserve">many g.</t>
  </si>
  <si>
    <t xml:space="preserve">gr. cant.</t>
  </si>
  <si>
    <t xml:space="preserve">gr. num.</t>
  </si>
  <si>
    <t xml:space="preserve">gr. nom.</t>
  </si>
  <si>
    <t xml:space="preserve">gr. Anz.</t>
  </si>
  <si>
    <t xml:space="preserve">grote aant.</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</si>
  <si>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</si>
  <si>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</si>
  <si>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</si>
  <si>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</si>
  <si>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</si>
  <si>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</si>
  <si>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</si>
  <si>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</si>
  <si>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</si>
  <si>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</si>
  <si>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</si>
  <si>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</si>
  <si>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</si>
  <si>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</si>
  <si>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</si>
  <si>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</si>
  <si>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</si>
  <si>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</si>
  <si>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</si>
  <si>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</si>
  <si>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</si>
  <si>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</si>
  <si>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</si>
  <si>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</si>
  <si>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</si>
  <si>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</si>
  <si>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</si>
  <si>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</si>
  <si>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</si>
  <si>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</si>
  <si>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</si>
  <si>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</si>
  <si>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</si>
  <si>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</si>
  <si>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</si>
  <si>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</si>
  <si>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</si>
  <si>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</si>
  <si>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</si>
  <si>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</si>
  <si>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</si>
  <si>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</si>
  <si>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</si>
  <si>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</si>
  <si>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</si>
  <si>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</si>
  <si>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</si>
  <si>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</si>
  <si>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</si>
  <si>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</si>
  <si>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</si>
  <si>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</si>
  <si>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</si>
  <si>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</si>
  <si>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Worksheet</t>
  </si>
  <si>
    <t xml:space="preserve">Hoja de cálculo</t>
  </si>
  <si>
    <t xml:space="preserve">Foglio di calcolo</t>
  </si>
  <si>
    <t xml:space="preserve">Feuille de calcul</t>
  </si>
  <si>
    <t xml:space="preserve">Tabellenblatt</t>
  </si>
  <si>
    <t xml:space="preserve">Tabblad</t>
  </si>
  <si>
    <t xml:space="preserve">Final/Third-Place Winner:</t>
  </si>
  <si>
    <t xml:space="preserve">Ganador final/tercer lugar:</t>
  </si>
  <si>
    <t xml:space="preserve">Vincitore finale/terzo posto:</t>
  </si>
  <si>
    <t xml:space="preserve">Gagnant de la finale/troisième place:</t>
  </si>
  <si>
    <t xml:space="preserve">Gewinner im Finale/Dritter Platz:</t>
  </si>
  <si>
    <t xml:space="preserve">Finale/derde plaats winnaar:</t>
  </si>
  <si>
    <t xml:space="preserve">Points for goal difference in the event of a tie:</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</si>
  <si>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</si>
  <si>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</si>
  <si>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</si>
  <si>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</si>
  <si>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</si>
  <si>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yes</t>
  </si>
  <si>
    <t xml:space="preserve">sí</t>
  </si>
  <si>
    <t xml:space="preserve">sì</t>
  </si>
  <si>
    <t xml:space="preserve">oui</t>
  </si>
  <si>
    <t xml:space="preserve">ja</t>
  </si>
  <si>
    <t xml:space="preserve">no</t>
  </si>
  <si>
    <t xml:space="preserve">non</t>
  </si>
  <si>
    <t xml:space="preserve">nein</t>
  </si>
  <si>
    <t xml:space="preserve">nee</t>
  </si>
  <si>
    <t xml:space="preserve">Minimum number for 'Many Goals' in the event of a tie:</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</si>
  <si>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</si>
  <si>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</si>
  <si>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</si>
  <si>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</si>
  <si>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</si>
  <si>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</si>
  <si>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</si>
  <si>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</si>
  <si>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</si>
  <si>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</si>
  <si>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</si>
  <si>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</si>
  <si>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 xml:space="preserve">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</si>
  <si>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 xml:space="preserve">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</si>
  <si>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 xml:space="preserve">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</si>
  <si>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 xml:space="preserve">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</si>
  <si>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 xml:space="preserve">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</si>
  <si>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 xml:space="preserve">In the event of a tie,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</si>
  <si>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</si>
  <si>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</si>
  <si>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</si>
  <si>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</si>
  <si>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</si>
  <si>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</si>
  <si>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</si>
  <si>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</si>
  <si>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</si>
  <si>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</si>
  <si>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</si>
  <si>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</si>
  <si>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</si>
  <si>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</si>
  <si>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</si>
  <si>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</si>
  <si>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</si>
  <si>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Groups</t>
  </si>
  <si>
    <t xml:space="preserve">Team</t>
  </si>
  <si>
    <t xml:space="preserve">Team
no.</t>
  </si>
  <si>
    <t xml:space="preserve">A1</t>
  </si>
  <si>
    <t xml:space="preserve">A2</t>
  </si>
  <si>
    <t xml:space="preserve">A3</t>
  </si>
  <si>
    <t xml:space="preserve">A4</t>
  </si>
  <si>
    <t xml:space="preserve">B1</t>
  </si>
  <si>
    <t xml:space="preserve">B2</t>
  </si>
  <si>
    <t xml:space="preserve">B3</t>
  </si>
  <si>
    <t xml:space="preserve">B4</t>
  </si>
  <si>
    <t xml:space="preserve">C1</t>
  </si>
  <si>
    <t xml:space="preserve">C2</t>
  </si>
  <si>
    <t xml:space="preserve">C3</t>
  </si>
  <si>
    <t xml:space="preserve">C4</t>
  </si>
  <si>
    <t xml:space="preserve">D1</t>
  </si>
  <si>
    <t xml:space="preserve">D2</t>
  </si>
  <si>
    <t xml:space="preserve">D3</t>
  </si>
  <si>
    <t xml:space="preserve">D4</t>
  </si>
  <si>
    <t xml:space="preserve">E1</t>
  </si>
  <si>
    <t xml:space="preserve">E2</t>
  </si>
  <si>
    <t xml:space="preserve">E3</t>
  </si>
  <si>
    <t xml:space="preserve">E4</t>
  </si>
  <si>
    <t xml:space="preserve">F1</t>
  </si>
  <si>
    <t xml:space="preserve">F2</t>
  </si>
  <si>
    <t xml:space="preserve">F3</t>
  </si>
  <si>
    <t xml:space="preserve">F4</t>
  </si>
  <si>
    <t xml:space="preserve">G1</t>
  </si>
  <si>
    <t xml:space="preserve">G2</t>
  </si>
  <si>
    <t xml:space="preserve">G3</t>
  </si>
  <si>
    <t xml:space="preserve">G4</t>
  </si>
  <si>
    <t xml:space="preserve">H1</t>
  </si>
  <si>
    <t xml:space="preserve">H2</t>
  </si>
  <si>
    <t xml:space="preserve">H3</t>
  </si>
  <si>
    <t xml:space="preserve">H4</t>
  </si>
  <si>
    <t xml:space="preserve">Match No.</t>
  </si>
  <si>
    <t xml:space="preserve">Date   (local time host)</t>
  </si>
  <si>
    <t xml:space="preserve">Date   (my time)</t>
  </si>
  <si>
    <t xml:space="preserve">Venue</t>
  </si>
  <si>
    <t xml:space="preserve">Team 1</t>
  </si>
  <si>
    <t xml:space="preserve">Team 2</t>
  </si>
  <si>
    <t xml:space="preserve">Order of headings</t>
  </si>
  <si>
    <t xml:space="preserve">1/8 finals</t>
  </si>
  <si>
    <t xml:space="preserve">1/4 finals</t>
  </si>
  <si>
    <t xml:space="preserve">W49</t>
  </si>
  <si>
    <t xml:space="preserve">W50</t>
  </si>
  <si>
    <t xml:space="preserve">W53</t>
  </si>
  <si>
    <t xml:space="preserve">W54</t>
  </si>
  <si>
    <t xml:space="preserve">W51</t>
  </si>
  <si>
    <t xml:space="preserve">W52</t>
  </si>
  <si>
    <t xml:space="preserve">W55</t>
  </si>
  <si>
    <t xml:space="preserve">W56</t>
  </si>
  <si>
    <t xml:space="preserve">1/2 finals</t>
  </si>
  <si>
    <t xml:space="preserve">W57</t>
  </si>
  <si>
    <t xml:space="preserve">W58</t>
  </si>
  <si>
    <t xml:space="preserve">W59</t>
  </si>
  <si>
    <t xml:space="preserve">W60</t>
  </si>
  <si>
    <t xml:space="preserve">Third Place</t>
  </si>
  <si>
    <t xml:space="preserve">RU61</t>
  </si>
  <si>
    <t xml:space="preserve">RU62</t>
  </si>
  <si>
    <t xml:space="preserve">W61</t>
  </si>
  <si>
    <t xml:space="preserve">W62</t>
  </si>
  <si>
    <t xml:space="preserve">Hints</t>
  </si>
  <si>
    <t xml:space="preserve">Hinweise</t>
  </si>
  <si>
    <t xml:space="preserve">Steps to use this Excel schedule</t>
  </si>
  <si>
    <t xml:space="preserve">Erste Schritte zur Benutzung dieses Spielplans</t>
  </si>
  <si>
    <t xml:space="preserve">Click on the sheet "Language" and select a language.</t>
  </si>
  <si>
    <t xml:space="preserve">Klicke auf das Tabellenblatt "Language" und wähle eine Sprache aus.</t>
  </si>
  <si>
    <t xml:space="preserve">Click on the sheet "TimeZone" and select your time zone.</t>
  </si>
  <si>
    <t xml:space="preserve">Klicke auf das Tabellenblatt "TimeZone" und wähle deine Zeitzone aus.</t>
  </si>
  <si>
    <t xml:space="preserve">If the rank of two teams is not clear in the group table and fair play or lot decides,</t>
  </si>
  <si>
    <t xml:space="preserve">Wenn der Rang zweier Teams in der Gruppentabelle nicht klar ist und es entscheidet Fair-Play oder Los,</t>
  </si>
  <si>
    <t xml:space="preserve">click on the sheet "Fair play and lot" and enter a "1" für the better team.</t>
  </si>
  <si>
    <t xml:space="preserve">klicke auf das Tabellenblatt "Fair play and lot" und trage eine "1" für das bessere Team ein.</t>
  </si>
  <si>
    <t xml:space="preserve">In the knockout round, in the event of extra time, the remark "a.e.t." can be entered</t>
  </si>
  <si>
    <t xml:space="preserve">In der KO-Runde kann man im Fall einer Verlängerung rechts vom Spielergebnis den Vermerk "n.V."</t>
  </si>
  <si>
    <t xml:space="preserve">to the right of the match result. In case of a penalty shoot-out, enter the result after 120 minutes</t>
  </si>
  <si>
    <t xml:space="preserve">eintragen. Trage im Fall eines Elfmeterschießens das Ergebnis nach 120 Minuten und das Ergebnis</t>
  </si>
  <si>
    <t xml:space="preserve">and the result of the penalty shoot-out.</t>
  </si>
  <si>
    <t xml:space="preserve">des Elfmeterschießens ein.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</si>
  <si>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</si>
  <si>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</si>
  <si>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</si>
  <si>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</si>
  <si>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</si>
  <si>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</si>
  <si>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Predict game outcomes</t>
  </si>
  <si>
    <t xml:space="preserve">Tipp-Spiel</t>
  </si>
  <si>
    <t xml:space="preserve">If you enjoy predicting game outcomes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</si>
  <si>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</si>
  <si>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</si>
  <si>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</si>
  <si>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Category</t>
  </si>
  <si>
    <t xml:space="preserve">Goal difference</t>
  </si>
  <si>
    <t xml:space="preserve">Goal difference zero</t>
  </si>
  <si>
    <t xml:space="preserve">Goals scored</t>
  </si>
  <si>
    <t xml:space="preserve">direct Comp. 3</t>
  </si>
  <si>
    <t xml:space="preserve">direct Comp. 2</t>
  </si>
  <si>
    <t xml:space="preserve">Fair play</t>
  </si>
  <si>
    <t xml:space="preserve">Row number</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</si>
  <si>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</si>
  <si>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</si>
  <si>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</si>
  <si>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</si>
  <si>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</si>
  <si>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</si>
  <si>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</si>
  <si>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World Cup</t>
  </si>
  <si>
    <t xml:space="preserve">References</t>
  </si>
  <si>
    <t xml:space="preserve">Referenced columns</t>
  </si>
  <si>
    <t xml:space="preserve">Row number teams</t>
  </si>
  <si>
    <t xml:space="preserve">Row number scores</t>
  </si>
  <si>
    <t xml:space="preserve">I</t>
  </si>
  <si>
    <t xml:space="preserve">K</t>
  </si>
  <si>
    <t xml:space="preserve">L</t>
  </si>
  <si>
    <t xml:space="preserve">N</t>
  </si>
  <si>
    <t xml:space="preserve">O</t>
  </si>
  <si>
    <t xml:space="preserve">Q</t>
  </si>
  <si>
    <t xml:space="preserve">R</t>
  </si>
  <si>
    <t xml:space="preserve">T</t>
  </si>
  <si>
    <t xml:space="preserve">U</t>
  </si>
  <si>
    <t xml:space="preserve">W</t>
  </si>
  <si>
    <t xml:space="preserve">X</t>
  </si>
  <si>
    <t xml:space="preserve">Match</t>
  </si>
  <si>
    <t xml:space="preserve">Score</t>
  </si>
  <si>
    <t xml:space="preserve">valid</t>
  </si>
  <si>
    <t xml:space="preserve">Forced</t>
  </si>
  <si>
    <t xml:space="preserve">Accepted</t>
  </si>
  <si>
    <t xml:space="preserve">Coefficient</t>
  </si>
  <si>
    <t xml:space="preserve">Dir. Comp. (2)</t>
  </si>
  <si>
    <t xml:space="preserve">match count &gt; 0</t>
  </si>
  <si>
    <t xml:space="preserve">Pts/GD/For</t>
  </si>
  <si>
    <t xml:space="preserve">Sorted list</t>
  </si>
  <si>
    <t xml:space="preserve">Red point</t>
  </si>
  <si>
    <t xml:space="preserve">Dir. Comp.(2)</t>
  </si>
  <si>
    <t xml:space="preserve">Rank Column T</t>
  </si>
  <si>
    <t xml:space="preserve">Dir. C.?</t>
  </si>
  <si>
    <t xml:space="preserve">RULES</t>
  </si>
  <si>
    <t xml:space="preserve">Stage 1</t>
  </si>
  <si>
    <t xml:space="preserve">Participants forecast scores for all the games (48 games).</t>
  </si>
  <si>
    <t xml:space="preserve">Points for correct predictions:</t>
  </si>
  <si>
    <t xml:space="preserve">- 6 points for correctly predicting the game winner (if there is a winner) or the tie,</t>
  </si>
  <si>
    <t xml:space="preserve">- 2 points for correctly predicting each team's goal count, contingent on correctly predicting the winner or tie,</t>
  </si>
  <si>
    <t xml:space="preserve">- 3 points for correctly predicting each country advancing to the Round of 16.</t>
  </si>
  <si>
    <t xml:space="preserve">- 2 additional points for predicting who is first and second in a group.</t>
  </si>
  <si>
    <t xml:space="preserve">Maximum points in Stage 1: 48 x 10 + 16 x 5 = 560 </t>
  </si>
  <si>
    <t xml:space="preserve">Stage 2</t>
  </si>
  <si>
    <t xml:space="preserve">Participants forecast who advances in each game of Stage 2, (including winners in the final and in the 3rd place game).</t>
  </si>
  <si>
    <t xml:space="preserve">All the predictions must be consistent across rounds.</t>
  </si>
  <si>
    <t xml:space="preserve">- 10 for each country in the Quarter-Finals (8 countries),</t>
  </si>
  <si>
    <t xml:space="preserve">- 10 for each country in the Semi-Finals (4 countries),</t>
  </si>
  <si>
    <t xml:space="preserve">- 10 for each country in the Final (2 countries),</t>
  </si>
  <si>
    <t xml:space="preserve">- 10 for the 3rd place,</t>
  </si>
  <si>
    <t xml:space="preserve">- 30 for the champion.</t>
  </si>
  <si>
    <t xml:space="preserve">Maximum points in Stage 2: 8 x 10 + 4 x 10 + 2 x 10 + 40 = 180</t>
  </si>
</sst>
</file>

<file path=xl/styles.xml><?xml version="1.0" encoding="utf-8"?>
<styleSheet xmlns="http://schemas.openxmlformats.org/spreadsheetml/2006/main">
  <numFmts count="11">
    <numFmt numFmtId="164" formatCode="General"/>
    <numFmt numFmtId="165" formatCode="@"/>
    <numFmt numFmtId="166" formatCode="ddd&quot;, &quot;dd/mm/yyyy&quot;         &quot;hh:mm"/>
    <numFmt numFmtId="167" formatCode="[$-407]ddd/&quot;, &quot;d/mm/yy"/>
    <numFmt numFmtId="168" formatCode="General"/>
    <numFmt numFmtId="169" formatCode=";;;"/>
    <numFmt numFmtId="170" formatCode="0.00"/>
    <numFmt numFmtId="171" formatCode="m/d/yyyy\ h:mm"/>
    <numFmt numFmtId="172" formatCode="ddd&quot;, &quot;dd/mm/yyyy&quot;      &quot;hh:mm"/>
    <numFmt numFmtId="173" formatCode="m/d/yyyy"/>
    <numFmt numFmtId="174" formatCode="0.000000"/>
  </numFmts>
  <fonts count="7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b val="true"/>
      <sz val="9"/>
      <color rgb="FF000000"/>
      <name val="Calibri"/>
      <family val="2"/>
      <charset val="1"/>
    </font>
    <font>
      <sz val="9"/>
      <color rgb="FF000000"/>
      <name val="Calibri"/>
      <family val="2"/>
      <charset val="1"/>
    </font>
    <font>
      <b val="true"/>
      <sz val="44"/>
      <color rgb="FFC00000"/>
      <name val="AR CENA"/>
      <family val="0"/>
      <charset val="1"/>
    </font>
    <font>
      <b val="true"/>
      <sz val="44"/>
      <color rgb="FF99223F"/>
      <name val="AR CENA"/>
      <family val="0"/>
      <charset val="1"/>
    </font>
    <font>
      <sz val="11"/>
      <color rgb="FF99223F"/>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0"/>
      <name val="Calibri"/>
      <family val="2"/>
      <charset val="1"/>
    </font>
    <font>
      <b val="true"/>
      <sz val="10"/>
      <name val="Calibri"/>
      <family val="2"/>
      <charset val="1"/>
    </font>
    <font>
      <sz val="10"/>
      <color rgb="FF27776C"/>
      <name val="Calibri"/>
      <family val="2"/>
      <charset val="1"/>
    </font>
    <font>
      <b val="true"/>
      <sz val="12"/>
      <color rgb="FFC00000"/>
      <name val="Calibri"/>
      <family val="2"/>
      <charset val="1"/>
    </font>
    <font>
      <sz val="8"/>
      <color rgb="FF000000"/>
      <name val="Calibri"/>
      <family val="2"/>
      <charset val="1"/>
    </font>
    <font>
      <b val="true"/>
      <sz val="14"/>
      <color rgb="FFFFFFFF"/>
      <name val="Calibri"/>
      <family val="2"/>
      <charset val="1"/>
    </font>
    <font>
      <b val="true"/>
      <sz val="14"/>
      <color rgb="FF000000"/>
      <name val="Calibri"/>
      <family val="2"/>
      <charset val="1"/>
    </font>
    <font>
      <sz val="9"/>
      <color rgb="FF8C1737"/>
      <name val="Calibri"/>
      <family val="2"/>
      <charset val="1"/>
    </font>
    <font>
      <sz val="10"/>
      <color rgb="FF000000"/>
      <name val="Calibri"/>
      <family val="2"/>
      <charset val="1"/>
    </font>
    <font>
      <b val="true"/>
      <sz val="10"/>
      <color rgb="FF000000"/>
      <name val="Calibri"/>
      <family val="2"/>
      <charset val="1"/>
    </font>
    <font>
      <b val="true"/>
      <sz val="11"/>
      <color rgb="FF000000"/>
      <name val="Calibri"/>
      <family val="2"/>
      <charset val="1"/>
    </font>
    <font>
      <b val="true"/>
      <sz val="11"/>
      <color rgb="FF329A8B"/>
      <name val="Calibri"/>
      <family val="2"/>
      <charset val="1"/>
    </font>
    <font>
      <sz val="10"/>
      <color rgb="FF3B3838"/>
      <name val="Calibri"/>
      <family val="2"/>
      <charset val="1"/>
    </font>
    <font>
      <sz val="11"/>
      <color rgb="FF767171"/>
      <name val="Calibri"/>
      <family val="2"/>
      <charset val="1"/>
    </font>
    <font>
      <b val="true"/>
      <sz val="12"/>
      <color rgb="FFFFFFFF"/>
      <name val="Calibri"/>
      <family val="2"/>
      <charset val="1"/>
    </font>
    <font>
      <sz val="8"/>
      <color rgb="FF928E8E"/>
      <name val="Calibri"/>
      <family val="2"/>
      <charset val="1"/>
    </font>
    <font>
      <sz val="11"/>
      <color rgb="FFA6A6A6"/>
      <name val="Calibri"/>
      <family val="2"/>
      <charset val="1"/>
    </font>
    <font>
      <sz val="8"/>
      <color rgb="FF595959"/>
      <name val="Calibri"/>
      <family val="2"/>
      <charset val="1"/>
    </font>
    <font>
      <sz val="8"/>
      <color rgb="FFC00000"/>
      <name val="Calibri"/>
      <family val="2"/>
      <charset val="1"/>
    </font>
    <font>
      <sz val="9"/>
      <color rgb="FF595959"/>
      <name val="Calibri"/>
      <family val="2"/>
      <charset val="1"/>
    </font>
    <font>
      <b val="true"/>
      <sz val="24"/>
      <color rgb="FFFFFFFF"/>
      <name val="Calibri"/>
      <family val="2"/>
      <charset val="1"/>
    </font>
    <font>
      <b val="true"/>
      <sz val="16"/>
      <color rgb="FF8C1737"/>
      <name val="Arial"/>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name val="Calibri"/>
      <family val="2"/>
      <charset val="1"/>
    </font>
    <font>
      <b val="true"/>
      <sz val="22"/>
      <color rgb="FF4472C4"/>
      <name val="Calibri"/>
      <family val="2"/>
      <charset val="1"/>
    </font>
    <font>
      <b val="true"/>
      <sz val="22"/>
      <color rgb="FF000000"/>
      <name val="Calibri"/>
      <family val="2"/>
      <charset val="1"/>
    </font>
    <font>
      <sz val="11"/>
      <name val="Calibri"/>
      <family val="2"/>
      <charset val="1"/>
    </font>
    <font>
      <b val="true"/>
      <sz val="11"/>
      <name val="Calibri"/>
      <family val="2"/>
      <charset val="1"/>
    </font>
    <font>
      <b val="true"/>
      <sz val="12"/>
      <name val="Calibri"/>
      <family val="2"/>
      <charset val="1"/>
    </font>
    <font>
      <sz val="18"/>
      <color rgb="FF000000"/>
      <name val="Calibri"/>
      <family val="2"/>
      <charset val="1"/>
    </font>
    <font>
      <b val="true"/>
      <sz val="20"/>
      <color rgb="FF8C1737"/>
      <name val="Calibri"/>
      <family val="2"/>
      <charset val="1"/>
    </font>
    <font>
      <sz val="11"/>
      <color rgb="FF8C1737"/>
      <name val="Calibri"/>
      <family val="2"/>
      <charset val="1"/>
    </font>
    <font>
      <sz val="11"/>
      <color rgb="FFBFBFBF"/>
      <name val="Calibri"/>
      <family val="2"/>
      <charset val="1"/>
    </font>
    <font>
      <sz val="11"/>
      <color rgb="FF000000"/>
      <name val="Wingdings 2"/>
      <family val="1"/>
      <charset val="2"/>
    </font>
    <font>
      <sz val="14"/>
      <color rgb="FF4472C4"/>
      <name val="Wingdings 2"/>
      <family val="1"/>
      <charset val="2"/>
    </font>
    <font>
      <sz val="10"/>
      <color rgb="FFC55A11"/>
      <name val="Calibri"/>
      <family val="2"/>
      <charset val="1"/>
    </font>
    <font>
      <b val="true"/>
      <sz val="12"/>
      <color rgb="FF3762AF"/>
      <name val="Calibri"/>
      <family val="2"/>
      <charset val="1"/>
    </font>
    <font>
      <sz val="11"/>
      <color rgb="FFC00000"/>
      <name val="Calibri"/>
      <family val="2"/>
      <charset val="1"/>
    </font>
    <font>
      <b val="true"/>
      <sz val="12"/>
      <color rgb="FF4472C4"/>
      <name val="Calibri"/>
      <family val="2"/>
      <charset val="1"/>
    </font>
    <font>
      <b val="true"/>
      <sz val="22"/>
      <color rgb="FF8C1737"/>
      <name val="Calibri"/>
      <family val="2"/>
      <charset val="1"/>
    </font>
    <font>
      <sz val="14"/>
      <color rgb="FF000000"/>
      <name val="Calibri"/>
      <family val="2"/>
      <charset val="1"/>
    </font>
    <font>
      <b val="true"/>
      <sz val="16"/>
      <color rgb="FF8C1737"/>
      <name val="Calibri"/>
      <family val="2"/>
      <charset val="1"/>
    </font>
    <font>
      <sz val="11"/>
      <color rgb="FF3762AF"/>
      <name val="Calibri"/>
      <family val="2"/>
      <charset val="1"/>
    </font>
    <font>
      <sz val="7"/>
      <color rgb="FF000000"/>
      <name val="Calibri"/>
      <family val="2"/>
      <charset val="1"/>
    </font>
    <font>
      <sz val="22"/>
      <color rgb="FF000000"/>
      <name val="Calibri"/>
      <family val="2"/>
      <charset val="1"/>
    </font>
    <font>
      <sz val="11"/>
      <color rgb="FFFF0000"/>
      <name val="Calibri"/>
      <family val="2"/>
      <charset val="1"/>
    </font>
    <font>
      <b val="true"/>
      <sz val="12"/>
      <color rgb="FF000000"/>
      <name val="Calibri"/>
      <family val="2"/>
      <charset val="1"/>
    </font>
    <font>
      <sz val="12"/>
      <color rgb="FF000000"/>
      <name val="Calibri"/>
      <family val="2"/>
      <charset val="1"/>
    </font>
    <font>
      <b val="true"/>
      <sz val="22"/>
      <color rgb="FF329A8B"/>
      <name val="Calibri"/>
      <family val="2"/>
      <charset val="1"/>
    </font>
    <font>
      <sz val="9"/>
      <color rgb="FFC55A11"/>
      <name val="Calibri"/>
      <family val="2"/>
      <charset val="1"/>
    </font>
    <font>
      <b val="true"/>
      <sz val="20"/>
      <color rgb="FFC00000"/>
      <name val="Calibri"/>
      <family val="2"/>
      <charset val="1"/>
    </font>
    <font>
      <b val="true"/>
      <sz val="14"/>
      <color rgb="FF0070C0"/>
      <name val="Calibri"/>
      <family val="2"/>
      <charset val="1"/>
    </font>
    <font>
      <b val="true"/>
      <sz val="18"/>
      <color rgb="FF4472C4"/>
      <name val="Calibri"/>
      <family val="2"/>
      <charset val="1"/>
    </font>
    <font>
      <sz val="10"/>
      <color rgb="FFBF9000"/>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BF9000"/>
      <name val="Calibri"/>
      <family val="2"/>
      <charset val="1"/>
    </font>
  </fonts>
  <fills count="26">
    <fill>
      <patternFill patternType="none"/>
    </fill>
    <fill>
      <patternFill patternType="gray125"/>
    </fill>
    <fill>
      <patternFill patternType="solid">
        <fgColor rgb="FF666666"/>
        <bgColor rgb="FF767171"/>
      </patternFill>
    </fill>
    <fill>
      <patternFill patternType="solid">
        <fgColor rgb="FFFFFFFF"/>
        <bgColor rgb="FFF9F9F9"/>
      </patternFill>
    </fill>
    <fill>
      <patternFill patternType="solid">
        <fgColor rgb="FFE8FFEC"/>
        <bgColor rgb="FFF8F8F8"/>
      </patternFill>
    </fill>
    <fill>
      <patternFill patternType="solid">
        <fgColor rgb="FFFFF5F8"/>
        <bgColor rgb="FFF8F8F8"/>
      </patternFill>
    </fill>
    <fill>
      <patternFill patternType="solid">
        <fgColor rgb="FF8C1737"/>
        <bgColor rgb="FF99223F"/>
      </patternFill>
    </fill>
    <fill>
      <patternFill patternType="solid">
        <fgColor rgb="FFFBF7C9"/>
        <bgColor rgb="FFFFF2CC"/>
      </patternFill>
    </fill>
    <fill>
      <patternFill patternType="solid">
        <fgColor rgb="FFF8F8F8"/>
        <bgColor rgb="FFF9F9F9"/>
      </patternFill>
    </fill>
    <fill>
      <patternFill patternType="solid">
        <fgColor rgb="FFD9D9D9"/>
        <bgColor rgb="FFD0CECE"/>
      </patternFill>
    </fill>
    <fill>
      <patternFill patternType="solid">
        <fgColor rgb="FF329A8B"/>
        <bgColor rgb="FF5786B1"/>
      </patternFill>
    </fill>
    <fill>
      <patternFill patternType="solid">
        <fgColor rgb="FFECECEC"/>
        <bgColor rgb="FFF2F2F2"/>
      </patternFill>
    </fill>
    <fill>
      <patternFill patternType="solid">
        <fgColor rgb="FFFFF2CC"/>
        <bgColor rgb="FFFBF7C9"/>
      </patternFill>
    </fill>
    <fill>
      <patternFill patternType="solid">
        <fgColor rgb="FFDEEBF7"/>
        <bgColor rgb="FFDAE3F3"/>
      </patternFill>
    </fill>
    <fill>
      <patternFill patternType="solid">
        <fgColor rgb="FFFFFFCC"/>
        <bgColor rgb="FFFBF7C9"/>
      </patternFill>
    </fill>
    <fill>
      <patternFill patternType="solid">
        <fgColor rgb="FF70AD47"/>
        <bgColor rgb="FF548235"/>
      </patternFill>
    </fill>
    <fill>
      <patternFill patternType="solid">
        <fgColor rgb="FFF2F2F2"/>
        <bgColor rgb="FFF8F8F8"/>
      </patternFill>
    </fill>
    <fill>
      <patternFill patternType="solid">
        <fgColor rgb="FFF6E6EB"/>
        <bgColor rgb="FFECECEC"/>
      </patternFill>
    </fill>
    <fill>
      <patternFill patternType="solid">
        <fgColor rgb="FFF9F9F9"/>
        <bgColor rgb="FFF8F8F8"/>
      </patternFill>
    </fill>
    <fill>
      <patternFill patternType="solid">
        <fgColor rgb="FFFBE5D6"/>
        <bgColor rgb="FFF6E6EB"/>
      </patternFill>
    </fill>
    <fill>
      <patternFill patternType="solid">
        <fgColor rgb="FFE2F0D9"/>
        <bgColor rgb="FFECECEC"/>
      </patternFill>
    </fill>
    <fill>
      <patternFill patternType="solid">
        <fgColor rgb="FFFEF6E8"/>
        <bgColor rgb="FFFFF5F8"/>
      </patternFill>
    </fill>
    <fill>
      <patternFill patternType="solid">
        <fgColor rgb="FFBDD7EE"/>
        <bgColor rgb="FFD0CECE"/>
      </patternFill>
    </fill>
    <fill>
      <patternFill patternType="solid">
        <fgColor rgb="FFFFFF99"/>
        <bgColor rgb="FFEDFBC1"/>
      </patternFill>
    </fill>
    <fill>
      <patternFill patternType="solid">
        <fgColor rgb="FFEDFBC1"/>
        <bgColor rgb="FFFBF7C9"/>
      </patternFill>
    </fill>
    <fill>
      <patternFill patternType="solid">
        <fgColor rgb="FFDAE3F3"/>
        <bgColor rgb="FFDEEBF7"/>
      </patternFill>
    </fill>
  </fills>
  <borders count="209">
    <border diagonalUp="false" diagonalDown="false">
      <left/>
      <right/>
      <top/>
      <bottom/>
      <diagonal/>
    </border>
    <border diagonalUp="false" diagonalDown="false">
      <left style="thin">
        <color rgb="FFF6CAD6"/>
      </left>
      <right/>
      <top style="thin">
        <color rgb="FFF6CAD6"/>
      </top>
      <bottom/>
      <diagonal/>
    </border>
    <border diagonalUp="false" diagonalDown="false">
      <left/>
      <right style="thin">
        <color rgb="FFF6CAD6"/>
      </right>
      <top style="thin">
        <color rgb="FFF6CAD6"/>
      </top>
      <bottom/>
      <diagonal/>
    </border>
    <border diagonalUp="false" diagonalDown="false">
      <left style="thin">
        <color rgb="FFF6CAD6"/>
      </left>
      <right/>
      <top/>
      <bottom/>
      <diagonal/>
    </border>
    <border diagonalUp="false" diagonalDown="false">
      <left/>
      <right style="thin">
        <color rgb="FFF6CAD6"/>
      </right>
      <top/>
      <bottom/>
      <diagonal/>
    </border>
    <border diagonalUp="false" diagonalDown="false">
      <left style="thin">
        <color rgb="FFF6CAD6"/>
      </left>
      <right/>
      <top/>
      <bottom style="thin">
        <color rgb="FFF6CAD6"/>
      </bottom>
      <diagonal/>
    </border>
    <border diagonalUp="false" diagonalDown="false">
      <left/>
      <right style="thin">
        <color rgb="FFF6CAD6"/>
      </right>
      <top/>
      <bottom style="thin">
        <color rgb="FFF6CAD6"/>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style="thin">
        <color rgb="FF7F7F7F"/>
      </left>
      <right style="thin">
        <color rgb="FFFFFFFF"/>
      </right>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AFABAB"/>
      </left>
      <right/>
      <top/>
      <bottom/>
      <diagonal/>
    </border>
    <border diagonalUp="false" diagonalDown="false">
      <left/>
      <right style="thick">
        <color rgb="FFAFABAB"/>
      </right>
      <top/>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ck">
        <color rgb="FFAFABAB"/>
      </left>
      <right/>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67171"/>
      </left>
      <right style="thin">
        <color rgb="FF767171"/>
      </right>
      <top style="thin">
        <color rgb="FF767171"/>
      </top>
      <bottom style="medium">
        <color rgb="FF767171"/>
      </bottom>
      <diagonal/>
    </border>
    <border diagonalUp="false" diagonalDown="false">
      <left style="thin">
        <color rgb="FF767171"/>
      </left>
      <right style="thin">
        <color rgb="FF767171"/>
      </right>
      <top/>
      <bottom style="thin">
        <color rgb="FF767171"/>
      </bottom>
      <diagonal/>
    </border>
    <border diagonalUp="false" diagonalDown="false">
      <left style="thin">
        <color rgb="FF767171"/>
      </left>
      <right style="thin">
        <color rgb="FF767171"/>
      </right>
      <top style="thin">
        <color rgb="FF767171"/>
      </top>
      <bottom style="thin">
        <color rgb="FF767171"/>
      </bottom>
      <diagonal/>
    </border>
    <border diagonalUp="false" diagonalDown="false">
      <left style="medium">
        <color rgb="FF8C1737"/>
      </left>
      <right/>
      <top style="medium">
        <color rgb="FF8C1737"/>
      </top>
      <bottom style="medium">
        <color rgb="FF8C1737"/>
      </bottom>
      <diagonal/>
    </border>
    <border diagonalUp="false" diagonalDown="false">
      <left/>
      <right/>
      <top style="medium">
        <color rgb="FF8C1737"/>
      </top>
      <bottom style="medium">
        <color rgb="FF8C1737"/>
      </bottom>
      <diagonal/>
    </border>
    <border diagonalUp="false" diagonalDown="false">
      <left/>
      <right style="medium">
        <color rgb="FF8C1737"/>
      </right>
      <top style="medium">
        <color rgb="FF8C1737"/>
      </top>
      <bottom style="medium">
        <color rgb="FF8C1737"/>
      </bottom>
      <diagonal/>
    </border>
    <border diagonalUp="false" diagonalDown="false">
      <left/>
      <right/>
      <top style="medium">
        <color rgb="FF8C1737"/>
      </top>
      <bottom/>
      <diagonal/>
    </border>
    <border diagonalUp="false" diagonalDown="false">
      <left style="thin">
        <color rgb="FFA6A6A6"/>
      </left>
      <right/>
      <top style="thin">
        <color rgb="FFA6A6A6"/>
      </top>
      <bottom style="thin">
        <color rgb="FFA6A6A6"/>
      </bottom>
      <diagonal/>
    </border>
    <border diagonalUp="false" diagonalDown="false">
      <left/>
      <right style="medium">
        <color rgb="FF329A8B"/>
      </right>
      <top style="thin">
        <color rgb="FFA6A6A6"/>
      </top>
      <bottom style="thin">
        <color rgb="FFA6A6A6"/>
      </bottom>
      <diagonal/>
    </border>
    <border diagonalUp="false" diagonalDown="false">
      <left style="medium">
        <color rgb="FF329A8B"/>
      </left>
      <right style="thin">
        <color rgb="FF329A8B"/>
      </right>
      <top style="medium">
        <color rgb="FF329A8B"/>
      </top>
      <bottom style="thin">
        <color rgb="FFA6A6A6"/>
      </bottom>
      <diagonal/>
    </border>
    <border diagonalUp="false" diagonalDown="false">
      <left style="thin">
        <color rgb="FF329A8B"/>
      </left>
      <right style="thin">
        <color rgb="FF329A8B"/>
      </right>
      <top style="medium">
        <color rgb="FF329A8B"/>
      </top>
      <bottom style="thin">
        <color rgb="FFA6A6A6"/>
      </bottom>
      <diagonal/>
    </border>
    <border diagonalUp="false" diagonalDown="false">
      <left style="thin">
        <color rgb="FF329A8B"/>
      </left>
      <right/>
      <top style="medium">
        <color rgb="FF329A8B"/>
      </top>
      <bottom style="thin">
        <color rgb="FFA6A6A6"/>
      </bottom>
      <diagonal/>
    </border>
    <border diagonalUp="false" diagonalDown="false">
      <left/>
      <right/>
      <top style="medium">
        <color rgb="FF329A8B"/>
      </top>
      <bottom style="thin">
        <color rgb="FFA6A6A6"/>
      </bottom>
      <diagonal/>
    </border>
    <border diagonalUp="false" diagonalDown="false">
      <left/>
      <right style="medium">
        <color rgb="FF329A8B"/>
      </right>
      <top style="medium">
        <color rgb="FF329A8B"/>
      </top>
      <bottom style="thin">
        <color rgb="FFA6A6A6"/>
      </bottom>
      <diagonal/>
    </border>
    <border diagonalUp="false" diagonalDown="false">
      <left style="medium">
        <color rgb="FF329A8B"/>
      </left>
      <right style="medium">
        <color rgb="FF329A8B"/>
      </right>
      <top style="medium">
        <color rgb="FF329A8B"/>
      </top>
      <bottom style="thin">
        <color rgb="FFA6A6A6"/>
      </bottom>
      <diagonal/>
    </border>
    <border diagonalUp="false" diagonalDown="false">
      <left style="thin">
        <color rgb="FF329A8B"/>
      </left>
      <right style="medium">
        <color rgb="FF329A8B"/>
      </right>
      <top style="medium">
        <color rgb="FF329A8B"/>
      </top>
      <bottom style="thin">
        <color rgb="FFA6A6A6"/>
      </bottom>
      <diagonal/>
    </border>
    <border diagonalUp="false" diagonalDown="false">
      <left style="medium">
        <color rgb="FF329A8B"/>
      </left>
      <right style="thin">
        <color rgb="FF329A8B"/>
      </right>
      <top style="thin">
        <color rgb="FFA6A6A6"/>
      </top>
      <bottom style="thin">
        <color rgb="FFA6A6A6"/>
      </bottom>
      <diagonal/>
    </border>
    <border diagonalUp="false" diagonalDown="false">
      <left style="thin">
        <color rgb="FF329A8B"/>
      </left>
      <right style="thin">
        <color rgb="FF329A8B"/>
      </right>
      <top style="thin">
        <color rgb="FFA6A6A6"/>
      </top>
      <bottom style="thin">
        <color rgb="FFA6A6A6"/>
      </bottom>
      <diagonal/>
    </border>
    <border diagonalUp="false" diagonalDown="false">
      <left style="thin">
        <color rgb="FF329A8B"/>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329A8B"/>
      </left>
      <right style="medium">
        <color rgb="FF329A8B"/>
      </right>
      <top style="thin">
        <color rgb="FFA6A6A6"/>
      </top>
      <bottom style="thin">
        <color rgb="FFA6A6A6"/>
      </bottom>
      <diagonal/>
    </border>
    <border diagonalUp="false" diagonalDown="false">
      <left style="thin">
        <color rgb="FF329A8B"/>
      </left>
      <right style="medium">
        <color rgb="FF329A8B"/>
      </right>
      <top style="thin">
        <color rgb="FFA6A6A6"/>
      </top>
      <bottom style="thin">
        <color rgb="FFA6A6A6"/>
      </bottom>
      <diagonal/>
    </border>
    <border diagonalUp="false" diagonalDown="false">
      <left style="medium">
        <color rgb="FF329A8B"/>
      </left>
      <right style="thin">
        <color rgb="FF329A8B"/>
      </right>
      <top style="thin">
        <color rgb="FFA6A6A6"/>
      </top>
      <bottom style="medium">
        <color rgb="FF329A8B"/>
      </bottom>
      <diagonal/>
    </border>
    <border diagonalUp="false" diagonalDown="false">
      <left style="thin">
        <color rgb="FF329A8B"/>
      </left>
      <right style="thin">
        <color rgb="FF329A8B"/>
      </right>
      <top style="thin">
        <color rgb="FFA6A6A6"/>
      </top>
      <bottom style="medium">
        <color rgb="FF329A8B"/>
      </bottom>
      <diagonal/>
    </border>
    <border diagonalUp="false" diagonalDown="false">
      <left style="thin">
        <color rgb="FF329A8B"/>
      </left>
      <right/>
      <top style="thin">
        <color rgb="FFA6A6A6"/>
      </top>
      <bottom style="medium">
        <color rgb="FF329A8B"/>
      </bottom>
      <diagonal/>
    </border>
    <border diagonalUp="false" diagonalDown="false">
      <left/>
      <right/>
      <top style="thin">
        <color rgb="FFA6A6A6"/>
      </top>
      <bottom style="medium">
        <color rgb="FF329A8B"/>
      </bottom>
      <diagonal/>
    </border>
    <border diagonalUp="false" diagonalDown="false">
      <left/>
      <right style="medium">
        <color rgb="FF329A8B"/>
      </right>
      <top style="thin">
        <color rgb="FFA6A6A6"/>
      </top>
      <bottom style="medium">
        <color rgb="FF329A8B"/>
      </bottom>
      <diagonal/>
    </border>
    <border diagonalUp="false" diagonalDown="false">
      <left style="medium">
        <color rgb="FF329A8B"/>
      </left>
      <right style="medium">
        <color rgb="FF329A8B"/>
      </right>
      <top style="thin">
        <color rgb="FFA6A6A6"/>
      </top>
      <bottom style="medium">
        <color rgb="FF329A8B"/>
      </bottom>
      <diagonal/>
    </border>
    <border diagonalUp="false" diagonalDown="false">
      <left style="thin">
        <color rgb="FF329A8B"/>
      </left>
      <right style="medium">
        <color rgb="FF329A8B"/>
      </right>
      <top style="thin">
        <color rgb="FFA6A6A6"/>
      </top>
      <bottom style="medium">
        <color rgb="FF329A8B"/>
      </bottom>
      <diagonal/>
    </border>
    <border diagonalUp="false" diagonalDown="false">
      <left/>
      <right/>
      <top style="medium"/>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n">
        <color rgb="FF767171"/>
      </left>
      <right style="thin">
        <color rgb="FFD0CECE"/>
      </right>
      <top style="thin">
        <color rgb="FF767171"/>
      </top>
      <bottom style="thin">
        <color rgb="FFD0CECE"/>
      </bottom>
      <diagonal/>
    </border>
    <border diagonalUp="false" diagonalDown="false">
      <left style="thin">
        <color rgb="FFD0CECE"/>
      </left>
      <right style="thin">
        <color rgb="FF767171"/>
      </right>
      <top style="thin">
        <color rgb="FF767171"/>
      </top>
      <bottom style="thin">
        <color rgb="FFD0CECE"/>
      </bottom>
      <diagonal/>
    </border>
    <border diagonalUp="false" diagonalDown="false">
      <left style="thin">
        <color rgb="FF767171"/>
      </left>
      <right style="thin">
        <color rgb="FFD0CECE"/>
      </right>
      <top style="thin">
        <color rgb="FFD0CECE"/>
      </top>
      <bottom style="thin">
        <color rgb="FFD0CECE"/>
      </bottom>
      <diagonal/>
    </border>
    <border diagonalUp="false" diagonalDown="false">
      <left style="thin">
        <color rgb="FFD0CECE"/>
      </left>
      <right style="thin">
        <color rgb="FF767171"/>
      </right>
      <top style="thin">
        <color rgb="FFD0CECE"/>
      </top>
      <bottom style="thin">
        <color rgb="FFD0CECE"/>
      </bottom>
      <diagonal/>
    </border>
    <border diagonalUp="false" diagonalDown="false">
      <left style="thin">
        <color rgb="FF767171"/>
      </left>
      <right style="thin">
        <color rgb="FFD0CECE"/>
      </right>
      <top style="thin">
        <color rgb="FFD0CECE"/>
      </top>
      <bottom style="thin">
        <color rgb="FF767171"/>
      </bottom>
      <diagonal/>
    </border>
    <border diagonalUp="false" diagonalDown="false">
      <left style="thin">
        <color rgb="FFD0CECE"/>
      </left>
      <right style="thin">
        <color rgb="FF767171"/>
      </right>
      <top style="thin">
        <color rgb="FFD0CECE"/>
      </top>
      <bottom style="thin">
        <color rgb="FF767171"/>
      </bottom>
      <diagonal/>
    </border>
    <border diagonalUp="false" diagonalDown="false">
      <left/>
      <right style="medium">
        <color rgb="FF5B9BD5"/>
      </right>
      <top/>
      <bottom/>
      <diagonal/>
    </border>
    <border diagonalUp="false" diagonalDown="false">
      <left style="thick">
        <color rgb="FF5B9BD5"/>
      </left>
      <right style="thick">
        <color rgb="FF5B9BD5"/>
      </right>
      <top style="thick">
        <color rgb="FF5B9BD5"/>
      </top>
      <bottom style="thin">
        <color rgb="FF767171"/>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67171"/>
      </bottom>
      <diagonal/>
    </border>
    <border diagonalUp="false" diagonalDown="false">
      <left style="thin">
        <color rgb="FFAFABAB"/>
      </left>
      <right style="thin">
        <color rgb="FFAFABAB"/>
      </right>
      <top style="thick">
        <color rgb="FF5B9BD5"/>
      </top>
      <bottom style="thin">
        <color rgb="FF767171"/>
      </bottom>
      <diagonal/>
    </border>
    <border diagonalUp="false" diagonalDown="false">
      <left style="thin">
        <color rgb="FFAFABAB"/>
      </left>
      <right style="thick">
        <color rgb="FF5B9BD5"/>
      </right>
      <top style="thick">
        <color rgb="FF5B9BD5"/>
      </top>
      <bottom style="thin">
        <color rgb="FF767171"/>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medium">
        <color rgb="FFD9D9D9"/>
      </left>
      <right style="medium">
        <color rgb="FFD9D9D9"/>
      </right>
      <top/>
      <bottom/>
      <diagonal/>
    </border>
    <border diagonalUp="false" diagonalDown="false">
      <left style="medium">
        <color rgb="FFD9D9D9"/>
      </left>
      <right style="thick">
        <color rgb="FF5B9BD5"/>
      </right>
      <top/>
      <bottom/>
      <diagonal/>
    </border>
    <border diagonalUp="false" diagonalDown="false">
      <left style="medium">
        <color rgb="FFD9D9D9"/>
      </left>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right/>
      <top style="thin">
        <color rgb="FFD9D9D9"/>
      </top>
      <bottom style="thick">
        <color rgb="FF5B9BD5"/>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n">
        <color rgb="FFBFBFBF"/>
      </left>
      <right style="thin">
        <color rgb="FFBFBFBF"/>
      </right>
      <top style="thin">
        <color rgb="FFBFBFBF"/>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n">
        <color rgb="FFBFBFBF"/>
      </left>
      <right style="thin">
        <color rgb="FFBFBFBF"/>
      </right>
      <top/>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style="thin">
        <color rgb="FF767171"/>
      </left>
      <right style="thin">
        <color rgb="FF767171"/>
      </right>
      <top style="thin">
        <color rgb="FF767171"/>
      </top>
      <bottom style="thick">
        <color rgb="FF767171"/>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n"/>
      <right style="thin"/>
      <top style="thin"/>
      <bottom style="thin"/>
      <diagonal/>
    </border>
    <border diagonalUp="false" diagonalDown="false">
      <left style="medium">
        <color rgb="FF767171"/>
      </left>
      <right style="thin">
        <color rgb="FF767171"/>
      </right>
      <top style="medium">
        <color rgb="FF767171"/>
      </top>
      <bottom style="medium">
        <color rgb="FF767171"/>
      </bottom>
      <diagonal/>
    </border>
    <border diagonalUp="false" diagonalDown="false">
      <left style="thin">
        <color rgb="FF767171"/>
      </left>
      <right style="medium">
        <color rgb="FF767171"/>
      </right>
      <top style="medium">
        <color rgb="FF767171"/>
      </top>
      <bottom style="medium">
        <color rgb="FF767171"/>
      </bottom>
      <diagonal/>
    </border>
    <border diagonalUp="false" diagonalDown="false">
      <left style="medium">
        <color rgb="FF767171"/>
      </left>
      <right style="thin">
        <color rgb="FF767171"/>
      </right>
      <top style="medium">
        <color rgb="FF767171"/>
      </top>
      <bottom style="thin">
        <color rgb="FF767171"/>
      </bottom>
      <diagonal/>
    </border>
    <border diagonalUp="false" diagonalDown="false">
      <left style="thin">
        <color rgb="FF767171"/>
      </left>
      <right style="medium">
        <color rgb="FF767171"/>
      </right>
      <top style="medium">
        <color rgb="FF767171"/>
      </top>
      <bottom style="thin">
        <color rgb="FF767171"/>
      </bottom>
      <diagonal/>
    </border>
    <border diagonalUp="false" diagonalDown="false">
      <left style="medium">
        <color rgb="FF767171"/>
      </left>
      <right style="thin">
        <color rgb="FF767171"/>
      </right>
      <top/>
      <bottom style="thin">
        <color rgb="FFD0CECE"/>
      </bottom>
      <diagonal/>
    </border>
    <border diagonalUp="false" diagonalDown="false">
      <left style="thin">
        <color rgb="FF767171"/>
      </left>
      <right style="thin">
        <color rgb="FF767171"/>
      </right>
      <top/>
      <bottom style="thin">
        <color rgb="FFD0CECE"/>
      </bottom>
      <diagonal/>
    </border>
    <border diagonalUp="false" diagonalDown="false">
      <left style="thin">
        <color rgb="FF767171"/>
      </left>
      <right style="medium">
        <color rgb="FF767171"/>
      </right>
      <top/>
      <bottom style="thin">
        <color rgb="FFD0CECE"/>
      </bottom>
      <diagonal/>
    </border>
    <border diagonalUp="false" diagonalDown="false">
      <left style="medium">
        <color rgb="FF767171"/>
      </left>
      <right style="thin">
        <color rgb="FF767171"/>
      </right>
      <top style="thin">
        <color rgb="FF767171"/>
      </top>
      <bottom style="thin">
        <color rgb="FFD0CECE"/>
      </bottom>
      <diagonal/>
    </border>
    <border diagonalUp="false" diagonalDown="false">
      <left style="thin">
        <color rgb="FF767171"/>
      </left>
      <right style="medium">
        <color rgb="FF767171"/>
      </right>
      <top style="thin">
        <color rgb="FF767171"/>
      </top>
      <bottom style="thin">
        <color rgb="FFD0CECE"/>
      </bottom>
      <diagonal/>
    </border>
    <border diagonalUp="false" diagonalDown="false">
      <left style="medium">
        <color rgb="FF767171"/>
      </left>
      <right style="thin">
        <color rgb="FF767171"/>
      </right>
      <top style="thin">
        <color rgb="FFD0CECE"/>
      </top>
      <bottom style="thin">
        <color rgb="FFD0CECE"/>
      </bottom>
      <diagonal/>
    </border>
    <border diagonalUp="false" diagonalDown="false">
      <left style="thin">
        <color rgb="FF767171"/>
      </left>
      <right style="thin">
        <color rgb="FF767171"/>
      </right>
      <top style="thin">
        <color rgb="FFD0CECE"/>
      </top>
      <bottom style="thin">
        <color rgb="FFD0CECE"/>
      </bottom>
      <diagonal/>
    </border>
    <border diagonalUp="false" diagonalDown="false">
      <left style="thin">
        <color rgb="FF767171"/>
      </left>
      <right style="medium">
        <color rgb="FF767171"/>
      </right>
      <top style="thin">
        <color rgb="FFD0CECE"/>
      </top>
      <bottom style="thin">
        <color rgb="FFD0CECE"/>
      </bottom>
      <diagonal/>
    </border>
    <border diagonalUp="false" diagonalDown="false">
      <left style="medium">
        <color rgb="FF767171"/>
      </left>
      <right style="thin">
        <color rgb="FF767171"/>
      </right>
      <top style="thin">
        <color rgb="FFD0CECE"/>
      </top>
      <bottom style="medium">
        <color rgb="FF767171"/>
      </bottom>
      <diagonal/>
    </border>
    <border diagonalUp="false" diagonalDown="false">
      <left style="thin">
        <color rgb="FF767171"/>
      </left>
      <right style="medium">
        <color rgb="FF767171"/>
      </right>
      <top style="thin">
        <color rgb="FFD0CECE"/>
      </top>
      <bottom style="medium">
        <color rgb="FF767171"/>
      </bottom>
      <diagonal/>
    </border>
    <border diagonalUp="false" diagonalDown="false">
      <left style="thin">
        <color rgb="FF767171"/>
      </left>
      <right style="thin">
        <color rgb="FF767171"/>
      </right>
      <top style="thin">
        <color rgb="FFD0CECE"/>
      </top>
      <bottom style="medium">
        <color rgb="FF767171"/>
      </bottom>
      <diagonal/>
    </border>
    <border diagonalUp="false" diagonalDown="false">
      <left/>
      <right/>
      <top/>
      <bottom style="thin"/>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thick">
        <color rgb="FFFFC000"/>
      </left>
      <right/>
      <top style="thick">
        <color rgb="FFFFC000"/>
      </top>
      <bottom style="thick">
        <color rgb="FFFFC000"/>
      </bottom>
      <diagonal/>
    </border>
    <border diagonalUp="false" diagonalDown="false">
      <left style="thick">
        <color rgb="FFFFC000"/>
      </left>
      <right style="thick">
        <color rgb="FFFFC000"/>
      </right>
      <top style="thick">
        <color rgb="FFFFC000"/>
      </top>
      <bottom/>
      <diagonal/>
    </border>
    <border diagonalUp="false" diagonalDown="false">
      <left style="thick">
        <color rgb="FFFFC000"/>
      </left>
      <right style="thick">
        <color rgb="FFFFC000"/>
      </right>
      <top/>
      <bottom/>
      <diagonal/>
    </border>
    <border diagonalUp="false" diagonalDown="false">
      <left style="thick">
        <color rgb="FFFFC000"/>
      </left>
      <right style="thick">
        <color rgb="FFFFC000"/>
      </right>
      <top/>
      <bottom style="thick">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cellStyleXfs>
  <cellXfs count="5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right" vertical="top" textRotation="0" wrapText="true" indent="0" shrinkToFit="false"/>
      <protection locked="true" hidden="false"/>
    </xf>
    <xf numFmtId="165" fontId="11"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15" fillId="4" borderId="1" xfId="0" applyFont="true" applyBorder="true" applyAlignment="true" applyProtection="true">
      <alignment horizontal="center" vertical="center" textRotation="0" wrapText="false" indent="0" shrinkToFit="false"/>
      <protection locked="true" hidden="false"/>
    </xf>
    <xf numFmtId="164" fontId="15" fillId="4" borderId="2" xfId="0" applyFont="true" applyBorder="true" applyAlignment="true" applyProtection="true">
      <alignment horizontal="left" vertical="center" textRotation="0" wrapText="false" indent="0" shrinkToFit="false"/>
      <protection locked="true" hidden="false"/>
    </xf>
    <xf numFmtId="164" fontId="16" fillId="0" borderId="0"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15" fillId="4" borderId="3" xfId="0" applyFont="true" applyBorder="true" applyAlignment="true" applyProtection="true">
      <alignment horizontal="center" vertical="center" textRotation="0" wrapText="false" indent="0" shrinkToFit="false"/>
      <protection locked="true" hidden="false"/>
    </xf>
    <xf numFmtId="164" fontId="15" fillId="4" borderId="4" xfId="0" applyFont="true" applyBorder="true" applyAlignment="true" applyProtection="true">
      <alignment horizontal="left" vertical="center" textRotation="0" wrapText="false" indent="0" shrinkToFit="false"/>
      <protection locked="true" hidden="false"/>
    </xf>
    <xf numFmtId="164" fontId="15" fillId="5" borderId="3" xfId="0" applyFont="true" applyBorder="true" applyAlignment="true" applyProtection="true">
      <alignment horizontal="center" vertical="center" textRotation="0" wrapText="false" indent="0" shrinkToFit="false"/>
      <protection locked="true" hidden="false"/>
    </xf>
    <xf numFmtId="164" fontId="15" fillId="5" borderId="4" xfId="0" applyFont="true" applyBorder="true" applyAlignment="true" applyProtection="true">
      <alignment horizontal="left" vertical="center" textRotation="0" wrapText="false" indent="0" shrinkToFit="false"/>
      <protection locked="true" hidden="false"/>
    </xf>
    <xf numFmtId="164" fontId="15" fillId="0" borderId="0" xfId="0" applyFont="true" applyBorder="false" applyAlignment="true" applyProtection="true">
      <alignment horizontal="center" vertical="top" textRotation="0" wrapText="false" indent="0" shrinkToFit="false"/>
      <protection locked="true" hidden="false"/>
    </xf>
    <xf numFmtId="164" fontId="15" fillId="5" borderId="5" xfId="0" applyFont="true" applyBorder="true" applyAlignment="true" applyProtection="true">
      <alignment horizontal="center" vertical="center" textRotation="0" wrapText="false" indent="0" shrinkToFit="false"/>
      <protection locked="true" hidden="false"/>
    </xf>
    <xf numFmtId="164" fontId="15" fillId="5" borderId="6" xfId="0" applyFont="true" applyBorder="true" applyAlignment="true" applyProtection="true">
      <alignment horizontal="left" vertical="top" textRotation="0" wrapText="false" indent="0" shrinkToFit="false"/>
      <protection locked="true" hidden="false"/>
    </xf>
    <xf numFmtId="164" fontId="16" fillId="0" borderId="0" xfId="0" applyFont="true" applyBorder="tru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20" fillId="6" borderId="8"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1"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false"/>
    </xf>
    <xf numFmtId="164" fontId="0" fillId="7" borderId="9" xfId="0" applyFont="false" applyBorder="true" applyAlignment="true" applyProtection="true">
      <alignment horizontal="center" vertical="bottom" textRotation="0" wrapText="false" indent="0" shrinkToFit="false"/>
      <protection locked="true" hidden="false"/>
    </xf>
    <xf numFmtId="166" fontId="23" fillId="8" borderId="10" xfId="0" applyFont="true" applyBorder="true" applyAlignment="true" applyProtection="true">
      <alignment horizontal="center" vertical="bottom" textRotation="0" wrapText="false" indent="0" shrinkToFit="false"/>
      <protection locked="true" hidden="false"/>
    </xf>
    <xf numFmtId="164" fontId="24" fillId="8" borderId="11" xfId="0" applyFont="true" applyBorder="true" applyAlignment="true" applyProtection="true">
      <alignment horizontal="center" vertical="center" textRotation="0" wrapText="false" indent="0" shrinkToFit="false"/>
      <protection locked="true" hidden="false"/>
    </xf>
    <xf numFmtId="164" fontId="24" fillId="8" borderId="12" xfId="0" applyFont="true" applyBorder="true" applyAlignment="true" applyProtection="true">
      <alignment horizontal="center" vertical="center" textRotation="0" wrapText="false" indent="0" shrinkToFit="false"/>
      <protection locked="true" hidden="false"/>
    </xf>
    <xf numFmtId="164" fontId="0" fillId="9" borderId="13" xfId="0" applyFont="false" applyBorder="true" applyAlignment="true" applyProtection="true">
      <alignment horizontal="center" vertical="center" textRotation="0" wrapText="false" indent="0" shrinkToFit="false"/>
      <protection locked="false" hidden="false"/>
    </xf>
    <xf numFmtId="164" fontId="0" fillId="9" borderId="14"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18"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4" fillId="6" borderId="15"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right" vertical="bottom" textRotation="0" wrapText="false" indent="0" shrinkToFit="false"/>
      <protection locked="true" hidden="false"/>
    </xf>
    <xf numFmtId="164" fontId="27" fillId="4" borderId="15" xfId="0" applyFont="true" applyBorder="true" applyAlignment="true" applyProtection="true">
      <alignment horizontal="left" vertical="bottom" textRotation="0" wrapText="false" indent="1"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28" fillId="0" borderId="0" xfId="0" applyFont="true" applyBorder="false" applyAlignment="true" applyProtection="true">
      <alignment horizontal="right" vertical="bottom" textRotation="0" wrapText="false" indent="0" shrinkToFit="false"/>
      <protection locked="true" hidden="false"/>
    </xf>
    <xf numFmtId="164" fontId="27" fillId="5" borderId="15" xfId="0" applyFont="true" applyBorder="true" applyAlignment="true" applyProtection="true">
      <alignment horizontal="left" vertical="bottom" textRotation="0" wrapText="false" indent="1" shrinkToFit="false"/>
      <protection locked="true" hidden="false"/>
    </xf>
    <xf numFmtId="164" fontId="29" fillId="10" borderId="16" xfId="0" applyFont="true" applyBorder="true" applyAlignment="true" applyProtection="true">
      <alignment horizontal="center" vertical="center" textRotation="0" wrapText="false" indent="0" shrinkToFit="false"/>
      <protection locked="true" hidden="false"/>
    </xf>
    <xf numFmtId="167" fontId="23" fillId="0" borderId="11" xfId="0" applyFont="true" applyBorder="true" applyAlignment="true" applyProtection="true">
      <alignment horizontal="center" vertical="bottom" textRotation="0" wrapText="false" indent="0" shrinkToFit="false"/>
      <protection locked="true" hidden="false"/>
    </xf>
    <xf numFmtId="165" fontId="7" fillId="8" borderId="10" xfId="0" applyFont="true" applyBorder="true" applyAlignment="true" applyProtection="true">
      <alignment horizontal="left" vertical="bottom" textRotation="0" wrapText="false" indent="0" shrinkToFit="false"/>
      <protection locked="false" hidden="false"/>
    </xf>
    <xf numFmtId="164" fontId="30" fillId="8" borderId="10" xfId="0" applyFont="true" applyBorder="true" applyAlignment="true" applyProtection="true">
      <alignment horizontal="center" vertical="center" textRotation="0" wrapText="false" indent="0" shrinkToFit="false"/>
      <protection locked="true" hidden="false"/>
    </xf>
    <xf numFmtId="164" fontId="31" fillId="11" borderId="17" xfId="0" applyFont="true" applyBorder="true" applyAlignment="true" applyProtection="true">
      <alignment horizontal="center" vertical="center" textRotation="0" wrapText="false" indent="0" shrinkToFit="false"/>
      <protection locked="false" hidden="false"/>
    </xf>
    <xf numFmtId="164" fontId="31" fillId="11" borderId="1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center" vertical="center" textRotation="0" wrapText="false" indent="0" shrinkToFit="false"/>
      <protection locked="true" hidden="false"/>
    </xf>
    <xf numFmtId="164" fontId="32" fillId="0" borderId="0" xfId="0" applyFont="true" applyBorder="false" applyAlignment="true" applyProtection="true">
      <alignment horizontal="center" vertical="center" textRotation="0" wrapText="false" indent="0" shrinkToFit="false"/>
      <protection locked="true" hidden="false"/>
    </xf>
    <xf numFmtId="164" fontId="33" fillId="0" borderId="0"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29" fillId="10" borderId="18" xfId="0" applyFont="true" applyBorder="true" applyAlignment="true" applyProtection="true">
      <alignment horizontal="center" vertical="center" textRotation="0" wrapText="false" indent="0" shrinkToFit="false"/>
      <protection locked="true" hidden="false"/>
    </xf>
    <xf numFmtId="164" fontId="0" fillId="7" borderId="10" xfId="0" applyFont="false" applyBorder="true" applyAlignment="true" applyProtection="true">
      <alignment horizontal="center" vertical="bottom" textRotation="0" wrapText="false" indent="0" shrinkToFit="false"/>
      <protection locked="true" hidden="false"/>
    </xf>
    <xf numFmtId="164" fontId="24" fillId="0" borderId="11" xfId="0" applyFont="true" applyBorder="true" applyAlignment="true" applyProtection="true">
      <alignment horizontal="center" vertical="center" textRotation="0" wrapText="false" indent="0" shrinkToFit="false"/>
      <protection locked="true" hidden="false"/>
    </xf>
    <xf numFmtId="164" fontId="24" fillId="0" borderId="12"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false" applyProtection="true">
      <alignment horizontal="general" vertical="bottom" textRotation="0" wrapText="false" indent="0" shrinkToFit="false"/>
      <protection locked="true" hidden="false"/>
    </xf>
    <xf numFmtId="164" fontId="0" fillId="9" borderId="20" xfId="0" applyFont="false" applyBorder="true" applyAlignment="true" applyProtection="true">
      <alignment horizontal="center" vertical="center" textRotation="0" wrapText="false" indent="0" shrinkToFit="false"/>
      <protection locked="false" hidden="false"/>
    </xf>
    <xf numFmtId="165" fontId="7" fillId="8" borderId="11" xfId="0" applyFont="true" applyBorder="true" applyAlignment="true" applyProtection="true">
      <alignment horizontal="left" vertical="bottom" textRotation="0" wrapText="false" indent="0" shrinkToFit="false"/>
      <protection locked="false" hidden="false"/>
    </xf>
    <xf numFmtId="164" fontId="30" fillId="8" borderId="9" xfId="0" applyFont="true" applyBorder="true" applyAlignment="true" applyProtection="true">
      <alignment horizontal="center" vertical="center" textRotation="0" wrapText="false" indent="0" shrinkToFit="false"/>
      <protection locked="true" hidden="false"/>
    </xf>
    <xf numFmtId="164" fontId="31" fillId="11" borderId="13" xfId="0" applyFont="true" applyBorder="true" applyAlignment="true" applyProtection="true">
      <alignment horizontal="center" vertical="center" textRotation="0" wrapText="false" indent="0" shrinkToFit="false"/>
      <protection locked="false" hidden="false"/>
    </xf>
    <xf numFmtId="164" fontId="31" fillId="11" borderId="20" xfId="0" applyFont="true" applyBorder="true" applyAlignment="true" applyProtection="true">
      <alignment horizontal="center" vertical="center" textRotation="0" wrapText="false" indent="0" shrinkToFit="false"/>
      <protection locked="false" hidden="false"/>
    </xf>
    <xf numFmtId="164" fontId="32" fillId="0" borderId="0" xfId="0" applyFont="true" applyBorder="fals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33" fillId="0" borderId="0"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7" fontId="23" fillId="0" borderId="0" xfId="0" applyFont="true" applyBorder="true" applyAlignment="true" applyProtection="true">
      <alignment horizontal="center" vertical="bottom" textRotation="0" wrapText="false" indent="0" shrinkToFit="false"/>
      <protection locked="true" hidden="false"/>
    </xf>
    <xf numFmtId="164" fontId="31" fillId="0" borderId="19" xfId="0" applyFont="true" applyBorder="tru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34" fillId="0" borderId="0" xfId="0" applyFont="true" applyBorder="false" applyAlignment="false" applyProtection="true">
      <alignment horizontal="general" vertical="bottom" textRotation="0" wrapText="false" indent="0" shrinkToFit="false"/>
      <protection locked="true" hidden="false"/>
    </xf>
    <xf numFmtId="164" fontId="35" fillId="10" borderId="8" xfId="0" applyFont="true" applyBorder="true" applyAlignment="true" applyProtection="true">
      <alignment horizontal="center" vertical="center" textRotation="0" wrapText="false" indent="0" shrinkToFit="false"/>
      <protection locked="true" hidden="false"/>
    </xf>
    <xf numFmtId="164" fontId="36" fillId="12" borderId="0" xfId="0" applyFont="true" applyBorder="true" applyAlignment="true" applyProtection="true">
      <alignment horizontal="center" vertical="center" textRotation="0" wrapText="false" indent="0" shrinkToFit="false"/>
      <protection locked="true" hidden="false"/>
    </xf>
    <xf numFmtId="164" fontId="37" fillId="12" borderId="0"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true" applyAlignment="true" applyProtection="true">
      <alignment horizontal="right" vertical="bottom" textRotation="0" wrapText="false" indent="0" shrinkToFit="false"/>
      <protection locked="true" hidden="false"/>
    </xf>
    <xf numFmtId="164" fontId="38" fillId="0" borderId="0" xfId="0" applyFont="true" applyBorder="true" applyAlignment="true" applyProtection="true">
      <alignment horizontal="general" vertical="bottom" textRotation="0" wrapText="false" indent="0" shrinkToFit="false"/>
      <protection locked="true" hidden="false"/>
    </xf>
    <xf numFmtId="164" fontId="39" fillId="0" borderId="0" xfId="20" applyFont="true" applyBorder="true" applyAlignment="true" applyProtection="true">
      <alignment horizontal="right" vertical="bottom" textRotation="0" wrapText="false" indent="0" shrinkToFit="false"/>
      <protection locked="false" hidden="false"/>
    </xf>
    <xf numFmtId="164" fontId="4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bottom" textRotation="0" wrapText="false" indent="0" shrinkToFit="false"/>
      <protection locked="true" hidden="false"/>
    </xf>
    <xf numFmtId="164" fontId="40" fillId="0" borderId="0" xfId="0" applyFont="true" applyBorder="false" applyAlignment="true" applyProtection="true">
      <alignment horizontal="center" vertical="center" textRotation="0" wrapText="true" indent="0" shrinkToFit="false"/>
      <protection locked="true" hidden="false"/>
    </xf>
    <xf numFmtId="164" fontId="42" fillId="0" borderId="0" xfId="0" applyFont="true" applyBorder="false" applyAlignment="true" applyProtection="true">
      <alignment horizontal="center" vertical="bottom" textRotation="0" wrapText="false" indent="0" shrinkToFit="false"/>
      <protection locked="true" hidden="false"/>
    </xf>
    <xf numFmtId="164" fontId="21" fillId="0" borderId="21" xfId="0" applyFont="true" applyBorder="true" applyAlignment="true" applyProtection="true">
      <alignment horizontal="center" vertical="center" textRotation="0" wrapText="false" indent="0" shrinkToFit="false"/>
      <protection locked="true" hidden="false"/>
    </xf>
    <xf numFmtId="164" fontId="40" fillId="0" borderId="22" xfId="0" applyFont="true" applyBorder="true" applyAlignment="true" applyProtection="true">
      <alignment horizontal="center" vertical="center" textRotation="0" wrapText="true" indent="0" shrinkToFit="false"/>
      <protection locked="true" hidden="false"/>
    </xf>
    <xf numFmtId="164" fontId="25" fillId="0" borderId="23" xfId="0" applyFont="true" applyBorder="true" applyAlignment="true" applyProtection="true">
      <alignment horizontal="left" vertical="center" textRotation="0" wrapText="false" indent="1" shrinkToFit="false"/>
      <protection locked="true" hidden="false"/>
    </xf>
    <xf numFmtId="164" fontId="25" fillId="0" borderId="24" xfId="0" applyFont="true" applyBorder="true" applyAlignment="true" applyProtection="true">
      <alignment horizontal="left" vertical="center" textRotation="0" wrapText="false" indent="1" shrinkToFit="false"/>
      <protection locked="true" hidden="false"/>
    </xf>
    <xf numFmtId="164" fontId="25" fillId="0" borderId="25" xfId="0" applyFont="true" applyBorder="true" applyAlignment="true" applyProtection="true">
      <alignment horizontal="center" vertical="center"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1" fillId="13" borderId="26"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false" applyProtection="true">
      <alignment horizontal="general" vertical="bottom" textRotation="0" wrapText="false" indent="0" shrinkToFit="false"/>
      <protection locked="true" hidden="false"/>
    </xf>
    <xf numFmtId="164" fontId="21" fillId="13" borderId="27"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true" applyProtection="true">
      <alignment horizontal="left" vertical="bottom" textRotation="0" wrapText="false" indent="1" shrinkToFit="false"/>
      <protection locked="true" hidden="false"/>
    </xf>
    <xf numFmtId="164" fontId="0" fillId="13" borderId="27" xfId="0" applyFont="false" applyBorder="true" applyAlignment="true" applyProtection="true">
      <alignment horizontal="center" vertical="center" textRotation="0" wrapText="false" indent="0" shrinkToFit="false"/>
      <protection locked="true" hidden="false"/>
    </xf>
    <xf numFmtId="164" fontId="0" fillId="13" borderId="28" xfId="0" applyFont="false" applyBorder="true" applyAlignment="true" applyProtection="true">
      <alignment horizontal="left" vertical="center" textRotation="0" wrapText="false" indent="0" shrinkToFit="false"/>
      <protection locked="true" hidden="false"/>
    </xf>
    <xf numFmtId="168" fontId="0" fillId="0" borderId="29" xfId="0" applyFont="false" applyBorder="true" applyAlignment="true" applyProtection="true">
      <alignment horizontal="center" vertical="bottom" textRotation="0" wrapText="false" indent="0" shrinkToFit="false"/>
      <protection locked="true" hidden="false"/>
    </xf>
    <xf numFmtId="164" fontId="0" fillId="0" borderId="30" xfId="0" applyFont="false" applyBorder="true" applyAlignment="true" applyProtection="true">
      <alignment horizontal="left" vertical="bottom" textRotation="0" wrapText="false" indent="1" shrinkToFit="false"/>
      <protection locked="true" hidden="false"/>
    </xf>
    <xf numFmtId="168" fontId="0" fillId="0" borderId="30" xfId="0" applyFont="false" applyBorder="true" applyAlignment="true" applyProtection="true">
      <alignment horizontal="center" vertical="bottom" textRotation="0" wrapText="false" indent="0" shrinkToFit="false"/>
      <protection locked="true" hidden="false"/>
    </xf>
    <xf numFmtId="164" fontId="44" fillId="0" borderId="30" xfId="0" applyFont="true" applyBorder="true" applyAlignment="true" applyProtection="true">
      <alignment horizontal="center" vertical="center" textRotation="0" wrapText="false" indent="0" shrinkToFit="false"/>
      <protection locked="true" hidden="false"/>
    </xf>
    <xf numFmtId="164" fontId="44" fillId="0" borderId="31" xfId="0" applyFont="true" applyBorder="true" applyAlignment="true" applyProtection="true">
      <alignment horizontal="center" vertical="center" textRotation="0" wrapText="false" indent="0" shrinkToFit="false"/>
      <protection locked="true" hidden="false"/>
    </xf>
    <xf numFmtId="164" fontId="0" fillId="13" borderId="27" xfId="0" applyFont="false" applyBorder="true" applyAlignment="true" applyProtection="true">
      <alignment horizontal="center" vertical="bottom" textRotation="0" wrapText="false" indent="0" shrinkToFit="false"/>
      <protection locked="true" hidden="false"/>
    </xf>
    <xf numFmtId="164" fontId="44" fillId="13" borderId="27" xfId="0" applyFont="true" applyBorder="true" applyAlignment="true" applyProtection="true">
      <alignment horizontal="center" vertical="center" textRotation="0" wrapText="false" indent="0" shrinkToFit="false"/>
      <protection locked="true" hidden="false"/>
    </xf>
    <xf numFmtId="164" fontId="44" fillId="13" borderId="28" xfId="0" applyFont="true" applyBorder="true" applyAlignment="true" applyProtection="true">
      <alignment horizontal="left" vertical="center" textRotation="0" wrapText="false" indent="0" shrinkToFit="false"/>
      <protection locked="true" hidden="false"/>
    </xf>
    <xf numFmtId="164" fontId="0" fillId="0" borderId="32" xfId="0" applyFont="false" applyBorder="true" applyAlignment="true" applyProtection="true">
      <alignment horizontal="center" vertical="bottom" textRotation="0" wrapText="false" indent="0" shrinkToFit="false"/>
      <protection locked="true" hidden="false"/>
    </xf>
    <xf numFmtId="164" fontId="0" fillId="0" borderId="33" xfId="0" applyFont="false" applyBorder="true" applyAlignment="true" applyProtection="true">
      <alignment horizontal="left" vertical="bottom" textRotation="0" wrapText="false" indent="1"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0" fillId="0" borderId="33" xfId="0" applyFont="false" applyBorder="true" applyAlignment="true" applyProtection="true">
      <alignment horizontal="left" vertical="center" textRotation="0" wrapText="false" indent="1" shrinkToFit="false"/>
      <protection locked="true" hidden="false"/>
    </xf>
    <xf numFmtId="164" fontId="44" fillId="0" borderId="33" xfId="0" applyFont="true" applyBorder="true" applyAlignment="true" applyProtection="true">
      <alignment horizontal="center" vertical="center" textRotation="0" wrapText="false" indent="0" shrinkToFit="false"/>
      <protection locked="true" hidden="false"/>
    </xf>
    <xf numFmtId="164" fontId="44" fillId="0" borderId="34" xfId="0" applyFont="true" applyBorder="true" applyAlignment="true" applyProtection="true">
      <alignment horizontal="center" vertical="center" textRotation="0" wrapText="false" indent="0" shrinkToFit="false"/>
      <protection locked="true" hidden="false"/>
    </xf>
    <xf numFmtId="164" fontId="25" fillId="0" borderId="35" xfId="0" applyFont="true" applyBorder="true" applyAlignment="true" applyProtection="true">
      <alignment horizontal="left" vertical="center" textRotation="0" wrapText="false" indent="0" shrinkToFit="false"/>
      <protection locked="true" hidden="false"/>
    </xf>
    <xf numFmtId="164" fontId="0" fillId="0" borderId="36" xfId="0" applyFont="false" applyBorder="true" applyAlignment="true" applyProtection="true">
      <alignment horizontal="left" vertical="center" textRotation="0" wrapText="true" indent="1" shrinkToFit="false"/>
      <protection locked="true" hidden="false"/>
    </xf>
    <xf numFmtId="164" fontId="0" fillId="0" borderId="37" xfId="0" applyFont="false" applyBorder="true" applyAlignment="true" applyProtection="true">
      <alignment horizontal="left" vertical="center" textRotation="0" wrapText="true" indent="1" shrinkToFit="false"/>
      <protection locked="true" hidden="false"/>
    </xf>
    <xf numFmtId="164" fontId="0" fillId="0" borderId="38" xfId="0" applyFont="false" applyBorder="true" applyAlignment="true" applyProtection="true">
      <alignment horizontal="left" vertical="center" textRotation="0" wrapText="true" indent="1" shrinkToFit="false"/>
      <protection locked="true" hidden="false"/>
    </xf>
    <xf numFmtId="164" fontId="41" fillId="0" borderId="0" xfId="0" applyFont="true" applyBorder="true" applyAlignment="true" applyProtection="true">
      <alignment horizontal="left" vertical="bottom" textRotation="0" wrapText="false" indent="0" shrinkToFit="false"/>
      <protection locked="true" hidden="false"/>
    </xf>
    <xf numFmtId="164" fontId="45" fillId="0" borderId="35" xfId="0" applyFont="true" applyBorder="true" applyAlignment="true" applyProtection="true">
      <alignment horizontal="left" vertical="center" textRotation="0" wrapText="false" indent="0" shrinkToFit="false"/>
      <protection locked="true" hidden="false"/>
    </xf>
    <xf numFmtId="164" fontId="0" fillId="0" borderId="39" xfId="0" applyFont="false" applyBorder="true" applyAlignment="true" applyProtection="true">
      <alignment horizontal="right" vertical="center" textRotation="0" wrapText="false" indent="1" shrinkToFit="false"/>
      <protection locked="true" hidden="false"/>
    </xf>
    <xf numFmtId="164" fontId="0" fillId="14" borderId="25" xfId="0" applyFont="false" applyBorder="true" applyAlignment="true" applyProtection="true">
      <alignment horizontal="center" vertical="center" textRotation="0" wrapText="false" indent="0" shrinkToFit="false"/>
      <protection locked="false" hidden="false"/>
    </xf>
    <xf numFmtId="164" fontId="40" fillId="0" borderId="40" xfId="0" applyFont="true" applyBorder="true" applyAlignment="true" applyProtection="true">
      <alignment horizontal="right" vertical="center" textRotation="0" wrapText="false" indent="1" shrinkToFit="false"/>
      <protection locked="true" hidden="false"/>
    </xf>
    <xf numFmtId="164" fontId="46" fillId="14" borderId="41" xfId="0" applyFont="true" applyBorder="true" applyAlignment="true" applyProtection="true">
      <alignment horizontal="center" vertical="center" textRotation="0" wrapText="false" indent="0" shrinkToFit="false"/>
      <protection locked="false" hidden="false"/>
    </xf>
    <xf numFmtId="164" fontId="0" fillId="0" borderId="42" xfId="0" applyFont="false" applyBorder="true" applyAlignment="true" applyProtection="true">
      <alignment horizontal="center" vertical="bottom" textRotation="0" wrapText="false" indent="0" shrinkToFit="false"/>
      <protection locked="true" hidden="false"/>
    </xf>
    <xf numFmtId="164" fontId="0" fillId="0" borderId="43" xfId="0" applyFont="false" applyBorder="true" applyAlignment="true" applyProtection="true">
      <alignment horizontal="center" vertical="center" textRotation="0" wrapText="false" indent="0" shrinkToFit="false"/>
      <protection locked="true" hidden="false"/>
    </xf>
    <xf numFmtId="164" fontId="0" fillId="0" borderId="29" xfId="0" applyFont="false" applyBorder="true" applyAlignment="true" applyProtection="true">
      <alignment horizontal="right" vertical="center" textRotation="0" wrapText="false" indent="1" shrinkToFit="false"/>
      <protection locked="true" hidden="false"/>
    </xf>
    <xf numFmtId="164" fontId="0" fillId="14" borderId="31" xfId="0" applyFont="false" applyBorder="true" applyAlignment="true" applyProtection="true">
      <alignment horizontal="center" vertical="center" textRotation="0" wrapText="false" indent="0" shrinkToFit="false"/>
      <protection locked="false" hidden="false"/>
    </xf>
    <xf numFmtId="164" fontId="0" fillId="0" borderId="44" xfId="0" applyFont="false" applyBorder="true" applyAlignment="true" applyProtection="true">
      <alignment horizontal="center" vertical="center" textRotation="0" wrapText="false" indent="0" shrinkToFit="false"/>
      <protection locked="true" hidden="false"/>
    </xf>
    <xf numFmtId="164" fontId="0" fillId="0" borderId="45" xfId="0" applyFont="false" applyBorder="true" applyAlignment="true" applyProtection="true">
      <alignment horizontal="right" vertical="center" textRotation="0" wrapText="false" indent="1" shrinkToFit="false"/>
      <protection locked="true" hidden="false"/>
    </xf>
    <xf numFmtId="164" fontId="0" fillId="14" borderId="46" xfId="0" applyFont="false" applyBorder="true" applyAlignment="true" applyProtection="true">
      <alignment horizontal="center" vertical="center" textRotation="0" wrapText="false" indent="0" shrinkToFit="false"/>
      <protection locked="false" hidden="false"/>
    </xf>
    <xf numFmtId="164" fontId="0" fillId="0" borderId="47" xfId="0" applyFont="false" applyBorder="true" applyAlignment="true" applyProtection="true">
      <alignment horizontal="general" vertical="center" textRotation="0" wrapText="false" indent="0" shrinkToFit="false"/>
      <protection locked="true" hidden="false"/>
    </xf>
    <xf numFmtId="164" fontId="0" fillId="0" borderId="48" xfId="0" applyFont="false" applyBorder="true" applyAlignment="true" applyProtection="true">
      <alignment horizontal="center" vertical="bottom" textRotation="0" wrapText="false" indent="0" shrinkToFit="false"/>
      <protection locked="true" hidden="false"/>
    </xf>
    <xf numFmtId="164" fontId="0" fillId="0" borderId="47" xfId="0" applyFont="false" applyBorder="true" applyAlignment="true" applyProtection="true">
      <alignment horizontal="general" vertical="bottom" textRotation="0" wrapText="false" indent="0" shrinkToFit="false"/>
      <protection locked="true" hidden="false"/>
    </xf>
    <xf numFmtId="164" fontId="0" fillId="0" borderId="49" xfId="0" applyFont="false" applyBorder="true" applyAlignment="true" applyProtection="true">
      <alignment horizontal="right" vertical="center" textRotation="0" wrapText="false" indent="1" shrinkToFit="false"/>
      <protection locked="true" hidden="false"/>
    </xf>
    <xf numFmtId="164" fontId="0" fillId="14" borderId="50"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32" xfId="0" applyFont="false" applyBorder="true" applyAlignment="true" applyProtection="true">
      <alignment horizontal="right" vertical="center" textRotation="0" wrapText="false" indent="1" shrinkToFit="false"/>
      <protection locked="true" hidden="false"/>
    </xf>
    <xf numFmtId="164" fontId="0" fillId="14" borderId="34" xfId="0" applyFont="false" applyBorder="true" applyAlignment="true" applyProtection="true">
      <alignment horizontal="center" vertical="center" textRotation="0" wrapText="false" indent="0" shrinkToFit="false"/>
      <protection locked="false" hidden="false"/>
    </xf>
    <xf numFmtId="164" fontId="0" fillId="0" borderId="51" xfId="0" applyFont="false" applyBorder="true" applyAlignment="true" applyProtection="true">
      <alignment horizontal="center" vertical="bottom" textRotation="0" wrapText="false" indent="0" shrinkToFit="false"/>
      <protection locked="true" hidden="false"/>
    </xf>
    <xf numFmtId="164" fontId="0" fillId="0" borderId="35" xfId="0" applyFont="false" applyBorder="true" applyAlignment="true" applyProtection="true">
      <alignment horizontal="general" vertical="bottom" textRotation="0" wrapText="false" indent="0" shrinkToFit="false"/>
      <protection locked="true" hidden="false"/>
    </xf>
    <xf numFmtId="164" fontId="0" fillId="0" borderId="52" xfId="0" applyFont="false" applyBorder="true" applyAlignment="true" applyProtection="true">
      <alignment horizontal="center" vertical="bottom" textRotation="0" wrapText="false" indent="0" shrinkToFit="false"/>
      <protection locked="true" hidden="false"/>
    </xf>
    <xf numFmtId="164" fontId="45" fillId="0" borderId="0" xfId="0" applyFont="true" applyBorder="true" applyAlignment="true" applyProtection="true">
      <alignment horizontal="left" vertical="center" textRotation="0" wrapText="false" indent="0" shrinkToFit="false"/>
      <protection locked="true" hidden="false"/>
    </xf>
    <xf numFmtId="164" fontId="40" fillId="0" borderId="53" xfId="0" applyFont="true" applyBorder="true" applyAlignment="true" applyProtection="true">
      <alignment horizontal="left" vertical="bottom" textRotation="0" wrapText="false" indent="1" shrinkToFit="false"/>
      <protection locked="true" hidden="false"/>
    </xf>
    <xf numFmtId="164" fontId="0" fillId="0" borderId="54" xfId="0" applyFont="false" applyBorder="true" applyAlignment="true" applyProtection="false">
      <alignment horizontal="left" vertical="top" textRotation="0" wrapText="true" indent="1" shrinkToFit="false"/>
      <protection locked="true" hidden="false"/>
    </xf>
    <xf numFmtId="164" fontId="0" fillId="0" borderId="44" xfId="0" applyFont="true" applyBorder="true" applyAlignment="true" applyProtection="false">
      <alignment horizontal="left" vertical="bottom" textRotation="0" wrapText="true" indent="1" shrinkToFit="false"/>
      <protection locked="true" hidden="false"/>
    </xf>
    <xf numFmtId="164" fontId="0" fillId="0" borderId="55" xfId="0" applyFont="false" applyBorder="true" applyAlignment="true" applyProtection="false">
      <alignment horizontal="left" vertical="top" textRotation="0" wrapText="true" indent="1" shrinkToFit="false"/>
      <protection locked="true" hidden="false"/>
    </xf>
    <xf numFmtId="164" fontId="47" fillId="0" borderId="0"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20" fillId="6" borderId="56" xfId="0" applyFont="true" applyBorder="true" applyAlignment="false" applyProtection="false">
      <alignment horizontal="general" vertical="bottom" textRotation="0" wrapText="false" indent="0" shrinkToFit="false"/>
      <protection locked="true" hidden="false"/>
    </xf>
    <xf numFmtId="164" fontId="20" fillId="15" borderId="56" xfId="0" applyFont="true" applyBorder="true" applyAlignment="true" applyProtection="false">
      <alignment horizontal="center" vertical="center" textRotation="0" wrapText="false" indent="0" shrinkToFit="false"/>
      <protection locked="true" hidden="false"/>
    </xf>
    <xf numFmtId="164" fontId="23" fillId="0" borderId="57" xfId="0" applyFont="true" applyBorder="true" applyAlignment="false" applyProtection="false">
      <alignment horizontal="general" vertical="bottom" textRotation="0" wrapText="false" indent="0" shrinkToFit="false"/>
      <protection locked="true" hidden="false"/>
    </xf>
    <xf numFmtId="164" fontId="49" fillId="16" borderId="57" xfId="0" applyFont="true" applyBorder="true" applyAlignment="true" applyProtection="true">
      <alignment horizontal="center" vertical="bottom" textRotation="0" wrapText="false" indent="0" shrinkToFit="false"/>
      <protection locked="false" hidden="false"/>
    </xf>
    <xf numFmtId="164" fontId="49" fillId="16" borderId="58"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fals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right" vertical="center" textRotation="0" wrapText="false" indent="1" shrinkToFit="false"/>
      <protection locked="true" hidden="false"/>
    </xf>
    <xf numFmtId="164" fontId="20" fillId="6" borderId="59" xfId="0" applyFont="true" applyBorder="true" applyAlignment="false" applyProtection="false">
      <alignment horizontal="general" vertical="bottom" textRotation="0" wrapText="false" indent="0" shrinkToFit="false"/>
      <protection locked="true" hidden="false"/>
    </xf>
    <xf numFmtId="164" fontId="0" fillId="17" borderId="60" xfId="0" applyFont="false" applyBorder="true" applyAlignment="true" applyProtection="false">
      <alignment horizontal="center" vertical="bottom" textRotation="0" wrapText="false" indent="0" shrinkToFit="false"/>
      <protection locked="true" hidden="false"/>
    </xf>
    <xf numFmtId="164" fontId="0" fillId="17" borderId="60" xfId="0" applyFont="false" applyBorder="true" applyAlignment="false" applyProtection="false">
      <alignment horizontal="general" vertical="bottom" textRotation="0" wrapText="false" indent="0" shrinkToFit="false"/>
      <protection locked="true" hidden="false"/>
    </xf>
    <xf numFmtId="164" fontId="0" fillId="17" borderId="61" xfId="0" applyFont="fals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0" borderId="6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true" indent="0" shrinkToFit="false"/>
      <protection locked="true" hidden="false"/>
    </xf>
    <xf numFmtId="164" fontId="52" fillId="0" borderId="0" xfId="0" applyFont="true" applyBorder="false" applyAlignment="true" applyProtection="false">
      <alignment horizontal="center" vertical="bottom" textRotation="0" wrapText="false" indent="0" shrinkToFit="false"/>
      <protection locked="true" hidden="false"/>
    </xf>
    <xf numFmtId="164" fontId="0" fillId="0" borderId="63" xfId="0" applyFont="true" applyBorder="true" applyAlignment="true" applyProtection="false">
      <alignment horizontal="right" vertical="bottom" textRotation="0" wrapText="false" indent="1" shrinkToFit="false"/>
      <protection locked="true" hidden="false"/>
    </xf>
    <xf numFmtId="164" fontId="0" fillId="0" borderId="64" xfId="0" applyFont="false" applyBorder="true" applyAlignment="false" applyProtection="false">
      <alignment horizontal="general" vertical="bottom" textRotation="0" wrapText="false" indent="0" shrinkToFit="false"/>
      <protection locked="true" hidden="false"/>
    </xf>
    <xf numFmtId="168" fontId="25" fillId="0" borderId="65" xfId="0" applyFont="true" applyBorder="true" applyAlignment="true" applyProtection="false">
      <alignment horizontal="center" vertical="bottom" textRotation="0" wrapText="false" indent="0" shrinkToFit="false"/>
      <protection locked="true" hidden="false"/>
    </xf>
    <xf numFmtId="168" fontId="0" fillId="0" borderId="66" xfId="0" applyFont="false" applyBorder="true" applyAlignment="true" applyProtection="false">
      <alignment horizontal="center" vertical="bottom" textRotation="0" wrapText="false" indent="0" shrinkToFit="false"/>
      <protection locked="true" hidden="false"/>
    </xf>
    <xf numFmtId="168" fontId="0" fillId="0" borderId="67" xfId="0" applyFont="false" applyBorder="true" applyAlignment="false" applyProtection="false">
      <alignment horizontal="general" vertical="bottom" textRotation="0" wrapText="false" indent="0" shrinkToFit="false"/>
      <protection locked="true" hidden="false"/>
    </xf>
    <xf numFmtId="164" fontId="0" fillId="0" borderId="68" xfId="0" applyFont="true" applyBorder="true" applyAlignment="true" applyProtection="false">
      <alignment horizontal="center" vertical="bottom" textRotation="0" wrapText="false" indent="0" shrinkToFit="false"/>
      <protection locked="true" hidden="false"/>
    </xf>
    <xf numFmtId="168" fontId="0" fillId="0" borderId="69" xfId="0" applyFont="false" applyBorder="true" applyAlignment="true" applyProtection="false">
      <alignment horizontal="left" vertical="bottom" textRotation="0" wrapText="false" indent="0" shrinkToFit="false"/>
      <protection locked="true" hidden="false"/>
    </xf>
    <xf numFmtId="164" fontId="53" fillId="0" borderId="70" xfId="0" applyFont="true" applyBorder="true" applyAlignment="true" applyProtection="false">
      <alignment horizontal="center" vertical="bottom" textRotation="0" wrapText="false" indent="0" shrinkToFit="false"/>
      <protection locked="true" hidden="false"/>
    </xf>
    <xf numFmtId="164" fontId="53" fillId="0" borderId="65" xfId="0" applyFont="true" applyBorder="true" applyAlignment="true" applyProtection="false">
      <alignment horizontal="center" vertical="bottom" textRotation="0" wrapText="false" indent="0" shrinkToFit="false"/>
      <protection locked="true" hidden="false"/>
    </xf>
    <xf numFmtId="164" fontId="53" fillId="0" borderId="66" xfId="0" applyFont="true" applyBorder="true" applyAlignment="true" applyProtection="false">
      <alignment horizontal="center" vertical="bottom" textRotation="0" wrapText="false" indent="0" shrinkToFit="false"/>
      <protection locked="true" hidden="false"/>
    </xf>
    <xf numFmtId="164" fontId="53" fillId="0" borderId="67" xfId="0" applyFont="true" applyBorder="true" applyAlignment="false" applyProtection="false">
      <alignment horizontal="general" vertical="bottom" textRotation="0" wrapText="false" indent="0" shrinkToFit="false"/>
      <protection locked="true" hidden="false"/>
    </xf>
    <xf numFmtId="164" fontId="53" fillId="0" borderId="68" xfId="0" applyFont="true" applyBorder="true" applyAlignment="true" applyProtection="false">
      <alignment horizontal="center" vertical="bottom" textRotation="0" wrapText="false" indent="0" shrinkToFit="false"/>
      <protection locked="true" hidden="false"/>
    </xf>
    <xf numFmtId="164" fontId="53" fillId="0" borderId="69" xfId="0" applyFont="true" applyBorder="true" applyAlignment="true" applyProtection="false">
      <alignment horizontal="left" vertical="bottom" textRotation="0" wrapText="false" indent="0" shrinkToFit="false"/>
      <protection locked="true" hidden="false"/>
    </xf>
    <xf numFmtId="168" fontId="0" fillId="0" borderId="65" xfId="0" applyFont="false" applyBorder="true" applyAlignment="true" applyProtection="false">
      <alignment horizontal="center" vertical="bottom" textRotation="0" wrapText="false" indent="0" shrinkToFit="false"/>
      <protection locked="true" hidden="false"/>
    </xf>
    <xf numFmtId="164" fontId="54" fillId="0" borderId="71" xfId="0" applyFont="true" applyBorder="true" applyAlignment="true" applyProtection="false">
      <alignment horizontal="center" vertical="bottom" textRotation="0" wrapText="false" indent="0" shrinkToFit="false"/>
      <protection locked="true" hidden="false"/>
    </xf>
    <xf numFmtId="168" fontId="25" fillId="0" borderId="72" xfId="0" applyFont="true" applyBorder="true" applyAlignment="true" applyProtection="false">
      <alignment horizontal="center" vertical="bottom" textRotation="0" wrapText="false" indent="0" shrinkToFit="false"/>
      <protection locked="true" hidden="false"/>
    </xf>
    <xf numFmtId="168" fontId="0" fillId="0" borderId="73" xfId="0" applyFont="false" applyBorder="true" applyAlignment="true" applyProtection="false">
      <alignment horizontal="center" vertical="bottom" textRotation="0" wrapText="false" indent="0" shrinkToFit="false"/>
      <protection locked="true" hidden="false"/>
    </xf>
    <xf numFmtId="168" fontId="0" fillId="0" borderId="74" xfId="0" applyFont="false" applyBorder="true" applyAlignment="false" applyProtection="false">
      <alignment horizontal="general" vertical="bottom" textRotation="0" wrapText="false" indent="0" shrinkToFit="false"/>
      <protection locked="true" hidden="false"/>
    </xf>
    <xf numFmtId="164" fontId="0" fillId="0" borderId="75" xfId="0" applyFont="true" applyBorder="true" applyAlignment="true" applyProtection="false">
      <alignment horizontal="center" vertical="bottom" textRotation="0" wrapText="false" indent="0" shrinkToFit="false"/>
      <protection locked="true" hidden="false"/>
    </xf>
    <xf numFmtId="168" fontId="0" fillId="0" borderId="64" xfId="0" applyFont="false" applyBorder="true" applyAlignment="true" applyProtection="false">
      <alignment horizontal="left" vertical="bottom" textRotation="0" wrapText="false" indent="0" shrinkToFit="false"/>
      <protection locked="true" hidden="false"/>
    </xf>
    <xf numFmtId="164" fontId="53" fillId="0" borderId="76" xfId="0" applyFont="true" applyBorder="true" applyAlignment="true" applyProtection="false">
      <alignment horizontal="center" vertical="bottom" textRotation="0" wrapText="false" indent="0" shrinkToFit="false"/>
      <protection locked="true" hidden="false"/>
    </xf>
    <xf numFmtId="164" fontId="53" fillId="0" borderId="72" xfId="0" applyFont="true" applyBorder="true" applyAlignment="true" applyProtection="false">
      <alignment horizontal="center" vertical="bottom" textRotation="0" wrapText="false" indent="0" shrinkToFit="false"/>
      <protection locked="true" hidden="false"/>
    </xf>
    <xf numFmtId="164" fontId="53" fillId="0" borderId="73" xfId="0" applyFont="true" applyBorder="true" applyAlignment="true" applyProtection="false">
      <alignment horizontal="center" vertical="bottom" textRotation="0" wrapText="false" indent="0" shrinkToFit="false"/>
      <protection locked="true" hidden="false"/>
    </xf>
    <xf numFmtId="164" fontId="53" fillId="0" borderId="74" xfId="0" applyFont="true" applyBorder="true" applyAlignment="false" applyProtection="false">
      <alignment horizontal="general" vertical="bottom" textRotation="0" wrapText="false" indent="0" shrinkToFit="false"/>
      <protection locked="true" hidden="false"/>
    </xf>
    <xf numFmtId="164" fontId="53" fillId="0" borderId="75" xfId="0" applyFont="true" applyBorder="true" applyAlignment="true" applyProtection="false">
      <alignment horizontal="center" vertical="bottom" textRotation="0" wrapText="false" indent="0" shrinkToFit="false"/>
      <protection locked="true" hidden="false"/>
    </xf>
    <xf numFmtId="164" fontId="53" fillId="0" borderId="64" xfId="0" applyFont="true" applyBorder="true" applyAlignment="true" applyProtection="false">
      <alignment horizontal="left" vertical="bottom" textRotation="0" wrapText="false" indent="0" shrinkToFit="false"/>
      <protection locked="true" hidden="false"/>
    </xf>
    <xf numFmtId="168" fontId="0" fillId="0" borderId="72" xfId="0" applyFont="false" applyBorder="true" applyAlignment="true" applyProtection="false">
      <alignment horizontal="center" vertical="bottom" textRotation="0" wrapText="false" indent="0" shrinkToFit="false"/>
      <protection locked="true" hidden="false"/>
    </xf>
    <xf numFmtId="164" fontId="54" fillId="0" borderId="77" xfId="0" applyFont="true" applyBorder="true" applyAlignment="true" applyProtection="false">
      <alignment horizontal="center" vertical="bottom" textRotation="0" wrapText="false" indent="0" shrinkToFit="false"/>
      <protection locked="true" hidden="false"/>
    </xf>
    <xf numFmtId="168" fontId="25" fillId="0" borderId="78" xfId="0" applyFont="true" applyBorder="true" applyAlignment="true" applyProtection="false">
      <alignment horizontal="center" vertical="bottom" textRotation="0" wrapText="false" indent="0" shrinkToFit="false"/>
      <protection locked="true" hidden="false"/>
    </xf>
    <xf numFmtId="168" fontId="0" fillId="0" borderId="79" xfId="0" applyFont="false" applyBorder="true" applyAlignment="true" applyProtection="false">
      <alignment horizontal="center" vertical="bottom" textRotation="0" wrapText="false" indent="0" shrinkToFit="false"/>
      <protection locked="true" hidden="false"/>
    </xf>
    <xf numFmtId="168" fontId="0" fillId="0" borderId="80" xfId="0" applyFont="false" applyBorder="true" applyAlignment="false" applyProtection="false">
      <alignment horizontal="general" vertical="bottom" textRotation="0" wrapText="false" indent="0" shrinkToFit="false"/>
      <protection locked="true" hidden="false"/>
    </xf>
    <xf numFmtId="164" fontId="0" fillId="0" borderId="81" xfId="0" applyFont="true" applyBorder="true" applyAlignment="true" applyProtection="false">
      <alignment horizontal="center" vertical="bottom" textRotation="0" wrapText="false" indent="0" shrinkToFit="false"/>
      <protection locked="true" hidden="false"/>
    </xf>
    <xf numFmtId="168" fontId="0" fillId="0" borderId="82" xfId="0" applyFont="false" applyBorder="true" applyAlignment="true" applyProtection="false">
      <alignment horizontal="left" vertical="bottom" textRotation="0" wrapText="false" indent="0" shrinkToFit="false"/>
      <protection locked="true" hidden="false"/>
    </xf>
    <xf numFmtId="164" fontId="53" fillId="0" borderId="83" xfId="0" applyFont="true" applyBorder="true" applyAlignment="true" applyProtection="false">
      <alignment horizontal="center" vertical="bottom" textRotation="0" wrapText="false" indent="0" shrinkToFit="false"/>
      <protection locked="true" hidden="false"/>
    </xf>
    <xf numFmtId="164" fontId="53" fillId="0" borderId="78" xfId="0" applyFont="true" applyBorder="true" applyAlignment="true" applyProtection="false">
      <alignment horizontal="center" vertical="bottom" textRotation="0" wrapText="false" indent="0" shrinkToFit="false"/>
      <protection locked="true" hidden="false"/>
    </xf>
    <xf numFmtId="164" fontId="53" fillId="0" borderId="79" xfId="0" applyFont="true" applyBorder="true" applyAlignment="true" applyProtection="false">
      <alignment horizontal="center" vertical="bottom" textRotation="0" wrapText="false" indent="0" shrinkToFit="false"/>
      <protection locked="true" hidden="false"/>
    </xf>
    <xf numFmtId="164" fontId="53" fillId="0" borderId="80" xfId="0" applyFont="true" applyBorder="true" applyAlignment="false" applyProtection="false">
      <alignment horizontal="general" vertical="bottom" textRotation="0" wrapText="false" indent="0" shrinkToFit="false"/>
      <protection locked="true" hidden="false"/>
    </xf>
    <xf numFmtId="164" fontId="53" fillId="0" borderId="81" xfId="0" applyFont="true" applyBorder="true" applyAlignment="true" applyProtection="false">
      <alignment horizontal="center" vertical="bottom" textRotation="0" wrapText="false" indent="0" shrinkToFit="false"/>
      <protection locked="true" hidden="false"/>
    </xf>
    <xf numFmtId="164" fontId="53" fillId="0" borderId="82" xfId="0" applyFont="true" applyBorder="true" applyAlignment="true" applyProtection="false">
      <alignment horizontal="left" vertical="bottom" textRotation="0" wrapText="false" indent="0" shrinkToFit="false"/>
      <protection locked="true" hidden="false"/>
    </xf>
    <xf numFmtId="168" fontId="0" fillId="0" borderId="78" xfId="0" applyFont="false" applyBorder="true" applyAlignment="true" applyProtection="false">
      <alignment horizontal="center" vertical="bottom" textRotation="0" wrapText="false" indent="0" shrinkToFit="false"/>
      <protection locked="true" hidden="false"/>
    </xf>
    <xf numFmtId="164" fontId="54" fillId="0" borderId="84" xfId="0" applyFont="true" applyBorder="true" applyAlignment="true" applyProtection="false">
      <alignment horizontal="center" vertical="bottom" textRotation="0" wrapText="false" indent="0" shrinkToFit="false"/>
      <protection locked="true" hidden="false"/>
    </xf>
    <xf numFmtId="168" fontId="0" fillId="0" borderId="85" xfId="0" applyFont="false" applyBorder="true" applyAlignment="true" applyProtection="false">
      <alignment horizontal="center" vertical="bottom" textRotation="0" wrapText="false" indent="0" shrinkToFit="false"/>
      <protection locked="true" hidden="false"/>
    </xf>
    <xf numFmtId="164" fontId="55" fillId="0" borderId="65" xfId="0" applyFont="true" applyBorder="true" applyAlignment="true" applyProtection="false">
      <alignment horizontal="center" vertical="bottom" textRotation="0" wrapText="false" indent="0" shrinkToFit="false"/>
      <protection locked="true" hidden="false"/>
    </xf>
    <xf numFmtId="164" fontId="55" fillId="0" borderId="66" xfId="0" applyFont="true" applyBorder="true" applyAlignment="true" applyProtection="false">
      <alignment horizontal="center" vertical="bottom" textRotation="0" wrapText="false" indent="0" shrinkToFit="false"/>
      <protection locked="true" hidden="false"/>
    </xf>
    <xf numFmtId="164" fontId="55" fillId="0" borderId="67" xfId="0" applyFont="true" applyBorder="true" applyAlignment="false" applyProtection="false">
      <alignment horizontal="general" vertical="bottom" textRotation="0" wrapText="false" indent="0" shrinkToFit="false"/>
      <protection locked="true" hidden="false"/>
    </xf>
    <xf numFmtId="164" fontId="55" fillId="0" borderId="68" xfId="0" applyFont="true" applyBorder="true" applyAlignment="true" applyProtection="false">
      <alignment horizontal="center" vertical="bottom" textRotation="0" wrapText="false" indent="0" shrinkToFit="false"/>
      <protection locked="true" hidden="false"/>
    </xf>
    <xf numFmtId="164" fontId="55" fillId="0" borderId="69" xfId="0" applyFont="true" applyBorder="true" applyAlignment="true" applyProtection="false">
      <alignment horizontal="left" vertical="bottom" textRotation="0" wrapText="false" indent="0" shrinkToFit="false"/>
      <protection locked="true" hidden="false"/>
    </xf>
    <xf numFmtId="164" fontId="55" fillId="0" borderId="72" xfId="0" applyFont="true" applyBorder="true" applyAlignment="true" applyProtection="false">
      <alignment horizontal="center" vertical="bottom" textRotation="0" wrapText="false" indent="0" shrinkToFit="false"/>
      <protection locked="true" hidden="false"/>
    </xf>
    <xf numFmtId="164" fontId="55" fillId="0" borderId="73" xfId="0" applyFont="true" applyBorder="true" applyAlignment="true" applyProtection="false">
      <alignment horizontal="center" vertical="bottom" textRotation="0" wrapText="false" indent="0" shrinkToFit="false"/>
      <protection locked="true" hidden="false"/>
    </xf>
    <xf numFmtId="164" fontId="55" fillId="0" borderId="74" xfId="0" applyFont="true" applyBorder="true" applyAlignment="false" applyProtection="false">
      <alignment horizontal="general" vertical="bottom" textRotation="0" wrapText="false" indent="0" shrinkToFit="false"/>
      <protection locked="true" hidden="false"/>
    </xf>
    <xf numFmtId="164" fontId="55" fillId="0" borderId="75" xfId="0" applyFont="true" applyBorder="true" applyAlignment="true" applyProtection="false">
      <alignment horizontal="center" vertical="bottom" textRotation="0" wrapText="false" indent="0" shrinkToFit="false"/>
      <protection locked="true" hidden="false"/>
    </xf>
    <xf numFmtId="164" fontId="55" fillId="0" borderId="64" xfId="0" applyFont="true" applyBorder="true" applyAlignment="true" applyProtection="false">
      <alignment horizontal="left" vertical="bottom" textRotation="0" wrapText="false" indent="0" shrinkToFit="false"/>
      <protection locked="true" hidden="false"/>
    </xf>
    <xf numFmtId="164" fontId="55" fillId="0" borderId="78" xfId="0" applyFont="true" applyBorder="true" applyAlignment="true" applyProtection="false">
      <alignment horizontal="center" vertical="bottom" textRotation="0" wrapText="false" indent="0" shrinkToFit="false"/>
      <protection locked="true" hidden="false"/>
    </xf>
    <xf numFmtId="164" fontId="55" fillId="0" borderId="79" xfId="0" applyFont="true" applyBorder="true" applyAlignment="true" applyProtection="false">
      <alignment horizontal="center" vertical="bottom" textRotation="0" wrapText="false" indent="0" shrinkToFit="false"/>
      <protection locked="true" hidden="false"/>
    </xf>
    <xf numFmtId="164" fontId="55" fillId="0" borderId="80" xfId="0" applyFont="true" applyBorder="true" applyAlignment="false" applyProtection="false">
      <alignment horizontal="general" vertical="bottom" textRotation="0" wrapText="false" indent="0" shrinkToFit="false"/>
      <protection locked="true" hidden="false"/>
    </xf>
    <xf numFmtId="164" fontId="55" fillId="0" borderId="81" xfId="0" applyFont="true" applyBorder="true" applyAlignment="true" applyProtection="false">
      <alignment horizontal="center" vertical="bottom" textRotation="0" wrapText="false" indent="0" shrinkToFit="false"/>
      <protection locked="true" hidden="false"/>
    </xf>
    <xf numFmtId="164" fontId="55" fillId="0" borderId="82" xfId="0" applyFont="true" applyBorder="true" applyAlignment="true" applyProtection="false">
      <alignment horizontal="left" vertical="bottom" textRotation="0" wrapText="false" indent="0" shrinkToFit="false"/>
      <protection locked="true" hidden="false"/>
    </xf>
    <xf numFmtId="164" fontId="56" fillId="0" borderId="0" xfId="0" applyFont="true" applyBorder="true" applyAlignment="true" applyProtection="true">
      <alignment horizontal="center" vertical="bottom" textRotation="0" wrapText="false" indent="0" shrinkToFit="false"/>
      <protection locked="true" hidden="false"/>
    </xf>
    <xf numFmtId="164" fontId="48" fillId="0" borderId="0" xfId="0" applyFont="true" applyBorder="false" applyAlignment="true" applyProtection="true">
      <alignment horizontal="right" vertical="center" textRotation="0" wrapText="true" indent="1" shrinkToFit="false"/>
      <protection locked="true" hidden="false"/>
    </xf>
    <xf numFmtId="164" fontId="57" fillId="16" borderId="86" xfId="0" applyFont="true" applyBorder="true" applyAlignment="true" applyProtection="true">
      <alignment horizontal="center" vertical="center" textRotation="0" wrapText="false" indent="0" shrinkToFit="false"/>
      <protection locked="false" hidden="false"/>
    </xf>
    <xf numFmtId="164" fontId="58" fillId="0" borderId="0" xfId="0" applyFont="true" applyBorder="false" applyAlignment="true" applyProtection="true">
      <alignment horizontal="left" vertical="bottom" textRotation="0" wrapText="false" indent="2"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2" shrinkToFit="false"/>
      <protection locked="true" hidden="false"/>
    </xf>
    <xf numFmtId="164" fontId="0" fillId="0" borderId="87" xfId="0" applyFont="true" applyBorder="true" applyAlignment="false" applyProtection="true">
      <alignment horizontal="general" vertical="bottom" textRotation="0" wrapText="false" indent="0" shrinkToFit="false"/>
      <protection locked="true" hidden="false"/>
    </xf>
    <xf numFmtId="164" fontId="0" fillId="0" borderId="88" xfId="0" applyFont="true" applyBorder="true" applyAlignment="false" applyProtection="true">
      <alignment horizontal="general"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64" fontId="59" fillId="0" borderId="0" xfId="0" applyFont="true" applyBorder="true" applyAlignment="true" applyProtection="true">
      <alignment horizontal="left" vertical="center" textRotation="0" wrapText="true" indent="0" shrinkToFit="false"/>
      <protection locked="true" hidden="false"/>
    </xf>
    <xf numFmtId="171" fontId="0" fillId="0" borderId="0" xfId="0" applyFont="false" applyBorder="true" applyAlignment="false" applyProtection="true">
      <alignment horizontal="general" vertical="bottom" textRotation="0" wrapText="false" indent="0" shrinkToFit="false"/>
      <protection locked="true" hidden="false"/>
    </xf>
    <xf numFmtId="164" fontId="0" fillId="0" borderId="89" xfId="0" applyFont="true" applyBorder="true" applyAlignment="false" applyProtection="true">
      <alignment horizontal="general" vertical="bottom" textRotation="0" wrapText="false" indent="0" shrinkToFit="false"/>
      <protection locked="true" hidden="false"/>
    </xf>
    <xf numFmtId="164" fontId="0" fillId="0" borderId="90" xfId="0" applyFont="false" applyBorder="true" applyAlignment="false" applyProtection="true">
      <alignment horizontal="general" vertical="bottom" textRotation="0" wrapText="false" indent="0" shrinkToFit="false"/>
      <protection locked="true" hidden="false"/>
    </xf>
    <xf numFmtId="172" fontId="0" fillId="0" borderId="0" xfId="0" applyFont="false" applyBorder="true" applyAlignment="true" applyProtection="true">
      <alignment horizontal="right" vertical="bottom" textRotation="0" wrapText="false" indent="2" shrinkToFit="false"/>
      <protection locked="true" hidden="false"/>
    </xf>
    <xf numFmtId="164" fontId="48" fillId="0" borderId="0" xfId="0" applyFont="true" applyBorder="true" applyAlignment="true" applyProtection="true">
      <alignment horizontal="right" vertical="center" textRotation="0" wrapText="true" indent="1" shrinkToFit="false"/>
      <protection locked="true" hidden="false"/>
    </xf>
    <xf numFmtId="164" fontId="0" fillId="0" borderId="0" xfId="0" applyFont="false" applyBorder="true" applyAlignment="true" applyProtection="true">
      <alignment horizontal="left" vertical="bottom" textRotation="0" wrapText="false" indent="1" shrinkToFit="false"/>
      <protection locked="true" hidden="false"/>
    </xf>
    <xf numFmtId="164" fontId="0" fillId="0" borderId="9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right" vertical="bottom" textRotation="0" wrapText="false" indent="2" shrinkToFit="false"/>
      <protection locked="true" hidden="false"/>
    </xf>
    <xf numFmtId="171" fontId="25" fillId="0" borderId="0" xfId="0" applyFont="true" applyBorder="true" applyAlignment="false" applyProtection="true">
      <alignment horizontal="general" vertical="bottom" textRotation="0" wrapText="false" indent="0" shrinkToFit="false"/>
      <protection locked="true" hidden="false"/>
    </xf>
    <xf numFmtId="164" fontId="0" fillId="0" borderId="91" xfId="0" applyFont="true" applyBorder="true" applyAlignment="false" applyProtection="true">
      <alignment horizontal="general" vertical="bottom" textRotation="0" wrapText="false" indent="0" shrinkToFit="false"/>
      <protection locked="true" hidden="false"/>
    </xf>
    <xf numFmtId="164" fontId="0" fillId="0" borderId="92" xfId="0" applyFont="false" applyBorder="true" applyAlignment="false" applyProtection="true">
      <alignment horizontal="general" vertical="bottom" textRotation="0" wrapText="false" indent="0" shrinkToFit="false"/>
      <protection locked="true" hidden="false"/>
    </xf>
    <xf numFmtId="164" fontId="2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56" fillId="0" borderId="0" xfId="0" applyFont="true" applyBorder="true" applyAlignment="true" applyProtection="false">
      <alignment horizontal="center" vertical="bottom" textRotation="0" wrapText="false" indent="0" shrinkToFit="false"/>
      <protection locked="true" hidden="false"/>
    </xf>
    <xf numFmtId="164" fontId="56" fillId="0" borderId="0" xfId="0" applyFont="true" applyBorder="false" applyAlignment="true" applyProtection="false">
      <alignment horizontal="center" vertical="bottom" textRotation="0" wrapText="false" indent="0" shrinkToFit="false"/>
      <protection locked="true" hidden="false"/>
    </xf>
    <xf numFmtId="164" fontId="48" fillId="0" borderId="93" xfId="0" applyFont="true" applyBorder="true" applyAlignment="true" applyProtection="false">
      <alignment horizontal="right" vertical="center" textRotation="0" wrapText="true" indent="1" shrinkToFit="false"/>
      <protection locked="true" hidden="false"/>
    </xf>
    <xf numFmtId="173" fontId="60" fillId="0" borderId="0" xfId="0" applyFont="true" applyBorder="false" applyAlignment="true" applyProtection="true">
      <alignment horizontal="center" vertical="center" textRotation="0" wrapText="false" indent="0" shrinkToFit="false"/>
      <protection locked="true" hidden="false"/>
    </xf>
    <xf numFmtId="164" fontId="54" fillId="0" borderId="0" xfId="0" applyFont="true" applyBorder="true" applyAlignment="true" applyProtection="false">
      <alignment horizontal="center" vertical="top"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4" fontId="57" fillId="0" borderId="0" xfId="0" applyFont="true" applyBorder="true" applyAlignment="true" applyProtection="true">
      <alignment horizontal="center" vertical="center"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64" fontId="25" fillId="18" borderId="94"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true" applyProtection="true">
      <alignment horizontal="center" vertical="bottom" textRotation="0" wrapText="false" indent="0" shrinkToFit="false"/>
      <protection locked="false" hidden="false"/>
    </xf>
    <xf numFmtId="164" fontId="0" fillId="18" borderId="96" xfId="0" applyFont="true" applyBorder="true" applyAlignment="true" applyProtection="false">
      <alignment horizontal="center" vertical="center" textRotation="0" wrapText="true" indent="0" shrinkToFit="false"/>
      <protection locked="true" hidden="false"/>
    </xf>
    <xf numFmtId="164" fontId="0" fillId="18" borderId="97" xfId="0" applyFont="true" applyBorder="true" applyAlignment="true" applyProtection="false">
      <alignment horizontal="center" vertical="center" textRotation="0" wrapText="true" indent="0" shrinkToFit="false"/>
      <protection locked="true" hidden="false"/>
    </xf>
    <xf numFmtId="164" fontId="0" fillId="18" borderId="98"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18" borderId="99"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0" fillId="12" borderId="100" xfId="0" applyFont="true" applyBorder="true" applyAlignment="true" applyProtection="true">
      <alignment horizontal="left" vertical="bottom" textRotation="0" wrapText="false" indent="1" shrinkToFit="false"/>
      <protection locked="false" hidden="false"/>
    </xf>
    <xf numFmtId="164" fontId="0" fillId="19" borderId="101" xfId="0" applyFont="true" applyBorder="true" applyAlignment="true" applyProtection="true">
      <alignment horizontal="left" vertical="bottom" textRotation="0" wrapText="false" indent="1" shrinkToFit="false"/>
      <protection locked="false" hidden="false"/>
    </xf>
    <xf numFmtId="164" fontId="0" fillId="20" borderId="101" xfId="0" applyFont="true" applyBorder="true" applyAlignment="true" applyProtection="true">
      <alignment horizontal="left" vertical="bottom" textRotation="0" wrapText="false" indent="1" shrinkToFit="false"/>
      <protection locked="false" hidden="false"/>
    </xf>
    <xf numFmtId="164" fontId="0" fillId="14" borderId="101" xfId="0" applyFont="true" applyBorder="true" applyAlignment="true" applyProtection="true">
      <alignment horizontal="left" vertical="bottom" textRotation="0" wrapText="false" indent="1" shrinkToFit="false"/>
      <protection locked="false" hidden="false"/>
    </xf>
    <xf numFmtId="164" fontId="0" fillId="21" borderId="102" xfId="0" applyFont="true" applyBorder="true" applyAlignment="true" applyProtection="true">
      <alignment horizontal="left" vertical="bottom" textRotation="0" wrapText="true" indent="0" shrinkToFit="false"/>
      <protection locked="false" hidden="false"/>
    </xf>
    <xf numFmtId="164" fontId="0" fillId="16" borderId="103" xfId="0" applyFont="false" applyBorder="true" applyAlignment="true" applyProtection="true">
      <alignment horizontal="left" vertical="bottom" textRotation="0" wrapText="false" indent="1" shrinkToFit="false"/>
      <protection locked="false" hidden="false"/>
    </xf>
    <xf numFmtId="164" fontId="0" fillId="12" borderId="104" xfId="0" applyFont="true" applyBorder="true" applyAlignment="true" applyProtection="true">
      <alignment horizontal="left" vertical="bottom" textRotation="0" wrapText="false" indent="1" shrinkToFit="false"/>
      <protection locked="false" hidden="false"/>
    </xf>
    <xf numFmtId="164" fontId="0" fillId="19" borderId="105" xfId="0" applyFont="true" applyBorder="true" applyAlignment="true" applyProtection="true">
      <alignment horizontal="left" vertical="bottom" textRotation="0" wrapText="false" indent="1" shrinkToFit="false"/>
      <protection locked="false" hidden="false"/>
    </xf>
    <xf numFmtId="164" fontId="0" fillId="20" borderId="105" xfId="0" applyFont="true" applyBorder="true" applyAlignment="true" applyProtection="true">
      <alignment horizontal="left" vertical="bottom" textRotation="0" wrapText="false" indent="1" shrinkToFit="false"/>
      <protection locked="false" hidden="false"/>
    </xf>
    <xf numFmtId="164" fontId="0" fillId="14" borderId="105" xfId="0" applyFont="true" applyBorder="true" applyAlignment="true" applyProtection="true">
      <alignment horizontal="left" vertical="bottom" textRotation="0" wrapText="false" indent="1" shrinkToFit="false"/>
      <protection locked="false" hidden="false"/>
    </xf>
    <xf numFmtId="164" fontId="0" fillId="16" borderId="106" xfId="0" applyFont="false" applyBorder="true" applyAlignment="true" applyProtection="true">
      <alignment horizontal="left" vertical="bottom" textRotation="0" wrapText="false" indent="1" shrinkToFit="false"/>
      <protection locked="false" hidden="false"/>
    </xf>
    <xf numFmtId="164" fontId="0" fillId="18" borderId="107" xfId="0" applyFont="false" applyBorder="true" applyAlignment="true" applyProtection="true">
      <alignment horizontal="center" vertical="bottom" textRotation="0" wrapText="false" indent="0" shrinkToFit="false"/>
      <protection locked="true" hidden="false"/>
    </xf>
    <xf numFmtId="164" fontId="0" fillId="12" borderId="108" xfId="0" applyFont="false" applyBorder="true" applyAlignment="true" applyProtection="true">
      <alignment horizontal="left" vertical="bottom" textRotation="0" wrapText="false" indent="1" shrinkToFit="false"/>
      <protection locked="false" hidden="false"/>
    </xf>
    <xf numFmtId="164" fontId="0" fillId="19" borderId="109" xfId="0" applyFont="false" applyBorder="true" applyAlignment="true" applyProtection="true">
      <alignment horizontal="left" vertical="bottom" textRotation="0" wrapText="false" indent="1" shrinkToFit="false"/>
      <protection locked="false" hidden="false"/>
    </xf>
    <xf numFmtId="164" fontId="0" fillId="20" borderId="109" xfId="0" applyFont="false" applyBorder="true" applyAlignment="true" applyProtection="true">
      <alignment horizontal="left" vertical="bottom" textRotation="0" wrapText="false" indent="1" shrinkToFit="false"/>
      <protection locked="false" hidden="false"/>
    </xf>
    <xf numFmtId="164" fontId="0" fillId="14" borderId="109" xfId="0" applyFont="false" applyBorder="true" applyAlignment="true" applyProtection="true">
      <alignment horizontal="left" vertical="bottom" textRotation="0" wrapText="false" indent="1" shrinkToFit="false"/>
      <protection locked="false" hidden="false"/>
    </xf>
    <xf numFmtId="164" fontId="0" fillId="20" borderId="110" xfId="0" applyFont="false" applyBorder="true" applyAlignment="true" applyProtection="true">
      <alignment horizontal="left" vertical="bottom" textRotation="0" wrapText="false" indent="1" shrinkToFit="false"/>
      <protection locked="false" hidden="false"/>
    </xf>
    <xf numFmtId="164" fontId="0" fillId="21" borderId="109"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bottom" textRotation="0" wrapText="false" indent="1" shrinkToFit="false"/>
      <protection locked="fals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25" fillId="22" borderId="112"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false" applyProtection="true">
      <alignment horizontal="general" vertical="bottom" textRotation="0" wrapText="false" indent="0" shrinkToFit="false"/>
      <protection locked="false" hidden="false"/>
    </xf>
    <xf numFmtId="164" fontId="42" fillId="0" borderId="113" xfId="0" applyFont="tru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true" indent="0" shrinkToFit="false"/>
      <protection locked="true" hidden="false"/>
    </xf>
    <xf numFmtId="164" fontId="0" fillId="0" borderId="115" xfId="0" applyFont="false" applyBorder="true" applyAlignment="true" applyProtection="false">
      <alignment horizontal="left" vertical="bottom" textRotation="0" wrapText="false" indent="1" shrinkToFit="false"/>
      <protection locked="true" hidden="false"/>
    </xf>
    <xf numFmtId="164" fontId="0" fillId="18" borderId="116" xfId="0" applyFont="false" applyBorder="true" applyAlignment="true" applyProtection="true">
      <alignment horizontal="center" vertical="bottom" textRotation="0" wrapText="false" indent="0" shrinkToFit="false"/>
      <protection locked="true" hidden="false"/>
    </xf>
    <xf numFmtId="164" fontId="0" fillId="18" borderId="117" xfId="0" applyFont="false" applyBorder="true" applyAlignment="true" applyProtection="true">
      <alignment horizontal="center" vertical="bottom" textRotation="0" wrapText="false" indent="0" shrinkToFit="false"/>
      <protection locked="true" hidden="false"/>
    </xf>
    <xf numFmtId="164" fontId="0" fillId="0" borderId="118" xfId="0" applyFont="false" applyBorder="true" applyAlignment="true" applyProtection="true">
      <alignment horizontal="left" vertical="bottom" textRotation="0" wrapText="false" indent="1" shrinkToFit="false"/>
      <protection locked="true" hidden="false"/>
    </xf>
    <xf numFmtId="164" fontId="0" fillId="0" borderId="118" xfId="0" applyFont="false" applyBorder="true" applyAlignment="true" applyProtection="true">
      <alignment horizontal="left" vertical="bottom" textRotation="0" wrapText="true" indent="0" shrinkToFit="false"/>
      <protection locked="true" hidden="false"/>
    </xf>
    <xf numFmtId="164" fontId="42" fillId="0" borderId="119" xfId="0" applyFont="tru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true" indent="0" shrinkToFit="false"/>
      <protection locked="true" hidden="false"/>
    </xf>
    <xf numFmtId="164" fontId="0" fillId="0" borderId="121" xfId="0" applyFont="fals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top" textRotation="0" wrapText="true" indent="1" shrinkToFit="false"/>
      <protection locked="false" hidden="false"/>
    </xf>
    <xf numFmtId="164" fontId="0" fillId="19" borderId="101" xfId="0" applyFont="true" applyBorder="true" applyAlignment="true" applyProtection="true">
      <alignment horizontal="left" vertical="top" textRotation="0" wrapText="true" indent="1" shrinkToFit="false"/>
      <protection locked="false" hidden="false"/>
    </xf>
    <xf numFmtId="164" fontId="0" fillId="20" borderId="101" xfId="0" applyFont="true" applyBorder="true" applyAlignment="true" applyProtection="true">
      <alignment horizontal="left" vertical="top" textRotation="0" wrapText="true" indent="1" shrinkToFit="false"/>
      <protection locked="false" hidden="false"/>
    </xf>
    <xf numFmtId="164" fontId="0" fillId="14" borderId="101" xfId="0" applyFont="true" applyBorder="true" applyAlignment="true" applyProtection="true">
      <alignment horizontal="left" vertical="top"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1" shrinkToFit="false"/>
      <protection locked="false" hidden="false"/>
    </xf>
    <xf numFmtId="164" fontId="0" fillId="16" borderId="103" xfId="0" applyFont="false" applyBorder="true" applyAlignment="true" applyProtection="true">
      <alignment horizontal="left" vertical="top" textRotation="0" wrapText="true" indent="1" shrinkToFit="false"/>
      <protection locked="false" hidden="false"/>
    </xf>
    <xf numFmtId="164" fontId="42" fillId="0" borderId="122" xfId="0" applyFont="tru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123" xfId="0" applyFont="false" applyBorder="true" applyAlignment="true" applyProtection="false">
      <alignment horizontal="left" vertical="bottom" textRotation="0" wrapText="false" indent="1" shrinkToFit="false"/>
      <protection locked="true" hidden="false"/>
    </xf>
    <xf numFmtId="164" fontId="61" fillId="0" borderId="0" xfId="0" applyFont="true" applyBorder="true" applyAlignment="false" applyProtection="false">
      <alignment horizontal="general" vertical="bottom" textRotation="0" wrapText="false" indent="0" shrinkToFit="false"/>
      <protection locked="true" hidden="false"/>
    </xf>
    <xf numFmtId="164" fontId="0" fillId="12" borderId="100" xfId="0" applyFont="true" applyBorder="true" applyAlignment="true" applyProtection="true">
      <alignment horizontal="left" vertical="center" textRotation="0" wrapText="false" indent="1" shrinkToFit="false"/>
      <protection locked="false" hidden="false"/>
    </xf>
    <xf numFmtId="164" fontId="0" fillId="19" borderId="101" xfId="0" applyFont="true" applyBorder="true" applyAlignment="true" applyProtection="true">
      <alignment horizontal="left" vertical="center" textRotation="0" wrapText="false" indent="1" shrinkToFit="false"/>
      <protection locked="false" hidden="false"/>
    </xf>
    <xf numFmtId="164" fontId="0" fillId="20" borderId="101" xfId="0" applyFont="true" applyBorder="true" applyAlignment="true" applyProtection="true">
      <alignment horizontal="left" vertical="center" textRotation="0" wrapText="false" indent="1" shrinkToFit="false"/>
      <protection locked="false" hidden="false"/>
    </xf>
    <xf numFmtId="164" fontId="0" fillId="14" borderId="101" xfId="0" applyFont="true" applyBorder="true" applyAlignment="true" applyProtection="true">
      <alignment horizontal="left" vertical="center" textRotation="0" wrapText="false" indent="1" shrinkToFit="false"/>
      <protection locked="false" hidden="false"/>
    </xf>
    <xf numFmtId="164" fontId="0" fillId="21" borderId="102" xfId="0" applyFont="true" applyBorder="true" applyAlignment="true" applyProtection="true">
      <alignment horizontal="left" vertical="center" textRotation="0" wrapText="true" indent="0" shrinkToFit="false"/>
      <protection locked="false" hidden="false"/>
    </xf>
    <xf numFmtId="164" fontId="62" fillId="0" borderId="0" xfId="0" applyFont="true" applyBorder="true" applyAlignment="false" applyProtection="false">
      <alignment horizontal="general" vertical="bottom" textRotation="0" wrapText="false" indent="0" shrinkToFit="false"/>
      <protection locked="true" hidden="false"/>
    </xf>
    <xf numFmtId="164" fontId="0" fillId="18" borderId="124" xfId="0" applyFont="false" applyBorder="true" applyAlignment="true" applyProtection="true">
      <alignment horizontal="center" vertical="bottom" textRotation="0" wrapText="false" indent="0" shrinkToFit="false"/>
      <protection locked="true" hidden="false"/>
    </xf>
    <xf numFmtId="164" fontId="0" fillId="12" borderId="100" xfId="0" applyFont="tru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center" textRotation="0" wrapText="true" indent="1" shrinkToFit="false"/>
      <protection locked="false" hidden="false"/>
    </xf>
    <xf numFmtId="164" fontId="0" fillId="19" borderId="101" xfId="0" applyFont="true" applyBorder="true" applyAlignment="true" applyProtection="true">
      <alignment horizontal="left" vertical="center" textRotation="0" wrapText="true" indent="1" shrinkToFit="false"/>
      <protection locked="false" hidden="false"/>
    </xf>
    <xf numFmtId="164" fontId="0" fillId="20" borderId="101" xfId="0" applyFont="true" applyBorder="true" applyAlignment="true" applyProtection="true">
      <alignment horizontal="left" vertical="center" textRotation="0" wrapText="true" indent="1" shrinkToFit="false"/>
      <protection locked="false" hidden="false"/>
    </xf>
    <xf numFmtId="164" fontId="0" fillId="14" borderId="101" xfId="0" applyFont="true" applyBorder="true" applyAlignment="true" applyProtection="true">
      <alignment horizontal="left" vertical="center"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0" shrinkToFit="false"/>
      <protection locked="false" hidden="false"/>
    </xf>
    <xf numFmtId="164" fontId="0" fillId="16" borderId="103" xfId="0" applyFont="false" applyBorder="true" applyAlignment="true" applyProtection="true">
      <alignment horizontal="left" vertical="center" textRotation="0" wrapText="true" indent="1" shrinkToFit="false"/>
      <protection locked="false" hidden="false"/>
    </xf>
    <xf numFmtId="164" fontId="0" fillId="12" borderId="122" xfId="0" applyFont="true" applyBorder="true" applyAlignment="true" applyProtection="true">
      <alignment horizontal="left" vertical="center" textRotation="0" wrapText="false" indent="1" shrinkToFit="false"/>
      <protection locked="false" hidden="false"/>
    </xf>
    <xf numFmtId="164" fontId="0" fillId="19" borderId="125" xfId="0" applyFont="true" applyBorder="true" applyAlignment="true" applyProtection="true">
      <alignment horizontal="left" vertical="center" textRotation="0" wrapText="false" indent="1" shrinkToFit="false"/>
      <protection locked="false" hidden="false"/>
    </xf>
    <xf numFmtId="164" fontId="0" fillId="20" borderId="125" xfId="0" applyFont="true" applyBorder="true" applyAlignment="true" applyProtection="true">
      <alignment horizontal="left" vertical="center" textRotation="0" wrapText="false" indent="1" shrinkToFit="false"/>
      <protection locked="false" hidden="false"/>
    </xf>
    <xf numFmtId="164" fontId="0" fillId="14" borderId="125" xfId="0" applyFont="true" applyBorder="true" applyAlignment="true" applyProtection="true">
      <alignment horizontal="left" vertical="center" textRotation="0" wrapText="false" indent="1" shrinkToFit="false"/>
      <protection locked="false" hidden="false"/>
    </xf>
    <xf numFmtId="164" fontId="0" fillId="16" borderId="126" xfId="0" applyFont="false" applyBorder="true" applyAlignment="true" applyProtection="true">
      <alignment horizontal="left" vertical="center" textRotation="0" wrapText="false" indent="1" shrinkToFit="false"/>
      <protection locked="false" hidden="false"/>
    </xf>
    <xf numFmtId="164" fontId="0" fillId="12" borderId="104" xfId="0" applyFont="true" applyBorder="true" applyAlignment="true" applyProtection="true">
      <alignment horizontal="left" vertical="top" textRotation="0" wrapText="true" indent="1" shrinkToFit="false"/>
      <protection locked="false" hidden="false"/>
    </xf>
    <xf numFmtId="164" fontId="0" fillId="19" borderId="105" xfId="0" applyFont="true" applyBorder="true" applyAlignment="true" applyProtection="true">
      <alignment horizontal="left" vertical="top" textRotation="0" wrapText="true" indent="1" shrinkToFit="false"/>
      <protection locked="false" hidden="false"/>
    </xf>
    <xf numFmtId="164" fontId="0" fillId="20" borderId="105" xfId="0" applyFont="true" applyBorder="true" applyAlignment="true" applyProtection="true">
      <alignment horizontal="left" vertical="top" textRotation="0" wrapText="true" indent="1" shrinkToFit="false"/>
      <protection locked="false" hidden="false"/>
    </xf>
    <xf numFmtId="164" fontId="0" fillId="14" borderId="105" xfId="0" applyFont="true" applyBorder="true" applyAlignment="true" applyProtection="true">
      <alignment horizontal="left" vertical="top" textRotation="0" wrapText="true" indent="1" shrinkToFit="false"/>
      <protection locked="false" hidden="false"/>
    </xf>
    <xf numFmtId="164" fontId="0" fillId="16" borderId="106" xfId="0" applyFont="false" applyBorder="true" applyAlignment="true" applyProtection="true">
      <alignment horizontal="left" vertical="top" textRotation="0" wrapText="true" indent="1" shrinkToFit="false"/>
      <protection locked="false" hidden="false"/>
    </xf>
    <xf numFmtId="164" fontId="0" fillId="0" borderId="0" xfId="0" applyFont="false" applyBorder="true" applyAlignment="true" applyProtection="true">
      <alignment horizontal="general" vertical="bottom" textRotation="0" wrapText="true" indent="0" shrinkToFit="false"/>
      <protection locked="false" hidden="false"/>
    </xf>
    <xf numFmtId="164" fontId="0" fillId="20" borderId="127" xfId="0" applyFont="tru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center" textRotation="0" wrapText="false" indent="1" shrinkToFit="false"/>
      <protection locked="false" hidden="false"/>
    </xf>
    <xf numFmtId="164" fontId="0" fillId="19" borderId="109" xfId="0" applyFont="false" applyBorder="true" applyAlignment="true" applyProtection="true">
      <alignment horizontal="left" vertical="center" textRotation="0" wrapText="false" indent="1" shrinkToFit="false"/>
      <protection locked="false" hidden="false"/>
    </xf>
    <xf numFmtId="164" fontId="0" fillId="20" borderId="109" xfId="0" applyFont="false" applyBorder="true" applyAlignment="true" applyProtection="true">
      <alignment horizontal="left" vertical="center" textRotation="0" wrapText="false" indent="1" shrinkToFit="false"/>
      <protection locked="false" hidden="false"/>
    </xf>
    <xf numFmtId="164" fontId="0" fillId="14" borderId="109" xfId="0" applyFont="false" applyBorder="true" applyAlignment="true" applyProtection="true">
      <alignment horizontal="left" vertical="center" textRotation="0" wrapText="false" indent="1" shrinkToFit="false"/>
      <protection locked="false" hidden="false"/>
    </xf>
    <xf numFmtId="164" fontId="0" fillId="16" borderId="111" xfId="0" applyFont="false" applyBorder="true" applyAlignment="true" applyProtection="true">
      <alignment horizontal="left" vertical="center" textRotation="0" wrapText="true" indent="1"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0" fillId="0" borderId="120" xfId="0" applyFont="false" applyBorder="true" applyAlignment="true" applyProtection="false">
      <alignment horizontal="general" vertical="bottom" textRotation="0" wrapText="true" indent="0" shrinkToFit="false"/>
      <protection locked="true" hidden="false"/>
    </xf>
    <xf numFmtId="164" fontId="0" fillId="0" borderId="121" xfId="0" applyFont="false" applyBorder="true" applyAlignment="false" applyProtection="false">
      <alignment horizontal="general" vertical="bottom" textRotation="0" wrapText="false" indent="0" shrinkToFit="false"/>
      <protection locked="true" hidden="false"/>
    </xf>
    <xf numFmtId="164" fontId="0" fillId="16" borderId="106" xfId="0" applyFont="false" applyBorder="true" applyAlignment="true" applyProtection="true">
      <alignment horizontal="left" vertical="center" textRotation="0" wrapText="true" indent="1" shrinkToFit="false"/>
      <protection locked="false" hidden="false"/>
    </xf>
    <xf numFmtId="164" fontId="0" fillId="12" borderId="128" xfId="0" applyFont="true" applyBorder="true" applyAlignment="true" applyProtection="true">
      <alignment horizontal="left" vertical="top" textRotation="0" wrapText="true" indent="1" shrinkToFit="false"/>
      <protection locked="false" hidden="false"/>
    </xf>
    <xf numFmtId="164" fontId="0" fillId="19" borderId="129" xfId="0" applyFont="true" applyBorder="true" applyAlignment="true" applyProtection="true">
      <alignment horizontal="left" vertical="top" textRotation="0" wrapText="true" indent="1" shrinkToFit="false"/>
      <protection locked="false" hidden="false"/>
    </xf>
    <xf numFmtId="164" fontId="0" fillId="20" borderId="129" xfId="0" applyFont="true" applyBorder="true" applyAlignment="true" applyProtection="true">
      <alignment horizontal="left" vertical="top" textRotation="0" wrapText="true" indent="1" shrinkToFit="false"/>
      <protection locked="false" hidden="false"/>
    </xf>
    <xf numFmtId="164" fontId="0" fillId="14" borderId="129" xfId="0" applyFont="true" applyBorder="true" applyAlignment="true" applyProtection="true">
      <alignment horizontal="left" vertical="top" textRotation="0" wrapText="true" indent="1" shrinkToFit="false"/>
      <protection locked="false" hidden="false"/>
    </xf>
    <xf numFmtId="164" fontId="0" fillId="16" borderId="130" xfId="0" applyFont="fals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top" textRotation="0" wrapText="true" indent="1" shrinkToFit="false"/>
      <protection locked="false" hidden="false"/>
    </xf>
    <xf numFmtId="164" fontId="0" fillId="19" borderId="109" xfId="0" applyFont="false" applyBorder="true" applyAlignment="true" applyProtection="true">
      <alignment horizontal="left" vertical="top" textRotation="0" wrapText="true" indent="1" shrinkToFit="false"/>
      <protection locked="false" hidden="false"/>
    </xf>
    <xf numFmtId="164" fontId="0" fillId="20" borderId="109" xfId="0" applyFont="false" applyBorder="true" applyAlignment="true" applyProtection="true">
      <alignment horizontal="left" vertical="top" textRotation="0" wrapText="true" indent="1" shrinkToFit="false"/>
      <protection locked="false" hidden="false"/>
    </xf>
    <xf numFmtId="164" fontId="0" fillId="14" borderId="109" xfId="0" applyFont="false" applyBorder="true" applyAlignment="true" applyProtection="true">
      <alignment horizontal="left" vertical="top" textRotation="0" wrapText="true" indent="1" shrinkToFit="false"/>
      <protection locked="false" hidden="false"/>
    </xf>
    <xf numFmtId="164" fontId="0" fillId="21" borderId="131"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top" textRotation="0" wrapText="true" indent="1" shrinkToFit="false"/>
      <protection locked="false" hidden="false"/>
    </xf>
    <xf numFmtId="164" fontId="25" fillId="18" borderId="132" xfId="0" applyFont="true" applyBorder="true" applyAlignment="true" applyProtection="true">
      <alignment horizontal="center" vertical="center" textRotation="0" wrapText="true" indent="0" shrinkToFit="false"/>
      <protection locked="true" hidden="false"/>
    </xf>
    <xf numFmtId="164" fontId="25" fillId="18" borderId="133" xfId="0" applyFont="true" applyBorder="true" applyAlignment="true" applyProtection="true">
      <alignment horizontal="center" vertical="center" textRotation="0" wrapText="true" indent="0" shrinkToFit="false"/>
      <protection locked="true" hidden="false"/>
    </xf>
    <xf numFmtId="164" fontId="25" fillId="18" borderId="121" xfId="0" applyFont="true" applyBorder="true" applyAlignment="true" applyProtection="true">
      <alignment horizontal="center" vertical="center" textRotation="0" wrapText="true" indent="0" shrinkToFit="false"/>
      <protection locked="true" hidden="false"/>
    </xf>
    <xf numFmtId="164" fontId="63" fillId="22" borderId="99" xfId="0" applyFont="true" applyBorder="true" applyAlignment="true" applyProtection="true">
      <alignment horizontal="center" vertical="bottom" textRotation="0" wrapText="false" indent="0" shrinkToFit="false"/>
      <protection locked="true" hidden="false"/>
    </xf>
    <xf numFmtId="164" fontId="63" fillId="22" borderId="134" xfId="0" applyFont="true" applyBorder="true" applyAlignment="true" applyProtection="true">
      <alignment horizontal="general" vertical="bottom" textRotation="0" wrapText="false" indent="0" shrinkToFit="false"/>
      <protection locked="true" hidden="false"/>
    </xf>
    <xf numFmtId="164" fontId="63" fillId="22" borderId="135" xfId="0" applyFont="true" applyBorder="true" applyAlignment="true" applyProtection="true">
      <alignment horizontal="left" vertical="bottom" textRotation="0" wrapText="false" indent="1" shrinkToFit="false"/>
      <protection locked="true" hidden="false"/>
    </xf>
    <xf numFmtId="164" fontId="0" fillId="16" borderId="103" xfId="0" applyFont="false" applyBorder="true" applyAlignment="true" applyProtection="true">
      <alignment horizontal="left" vertical="bottom" textRotation="0" wrapText="false" indent="1" shrinkToFit="false"/>
      <protection locked="true" hidden="false"/>
    </xf>
    <xf numFmtId="164" fontId="0" fillId="18" borderId="136" xfId="0" applyFont="true" applyBorder="true" applyAlignment="true" applyProtection="true">
      <alignment horizontal="center" vertical="bottom" textRotation="0" wrapText="false" indent="0" shrinkToFit="false"/>
      <protection locked="true" hidden="false"/>
    </xf>
    <xf numFmtId="164" fontId="63" fillId="22" borderId="116" xfId="0" applyFont="true" applyBorder="true" applyAlignment="true" applyProtection="true">
      <alignment horizontal="center" vertical="bottom" textRotation="0" wrapText="false" indent="0" shrinkToFit="false"/>
      <protection locked="true" hidden="false"/>
    </xf>
    <xf numFmtId="164" fontId="0" fillId="16" borderId="111" xfId="0" applyFont="false" applyBorder="true" applyAlignment="true" applyProtection="true">
      <alignment horizontal="left" vertical="bottom" textRotation="0" wrapText="false" indent="1" shrinkToFit="false"/>
      <protection locked="true" hidden="false"/>
    </xf>
    <xf numFmtId="164" fontId="64" fillId="0" borderId="0" xfId="0" applyFont="true" applyBorder="false" applyAlignment="true" applyProtection="false">
      <alignment horizontal="center" vertical="center" textRotation="0" wrapText="false" indent="0" shrinkToFit="false"/>
      <protection locked="true" hidden="false"/>
    </xf>
    <xf numFmtId="164" fontId="65" fillId="0" borderId="0" xfId="0" applyFont="true" applyBorder="true" applyAlignment="true" applyProtection="false">
      <alignment horizontal="center" vertical="bottom" textRotation="0" wrapText="false" indent="0" shrinkToFit="false"/>
      <protection locked="true" hidden="false"/>
    </xf>
    <xf numFmtId="164" fontId="66" fillId="0" borderId="0" xfId="0" applyFont="true" applyBorder="false" applyAlignment="true" applyProtection="false">
      <alignment horizontal="general" vertical="top" textRotation="0" wrapText="tru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6" fillId="0" borderId="137" xfId="0" applyFont="true" applyBorder="true" applyAlignment="true" applyProtection="false">
      <alignment horizontal="center" vertical="bottom" textRotation="0" wrapText="true" indent="0" shrinkToFit="false"/>
      <protection locked="true" hidden="false"/>
    </xf>
    <xf numFmtId="164" fontId="6" fillId="0" borderId="138" xfId="0" applyFont="true" applyBorder="true" applyAlignment="true" applyProtection="false">
      <alignment horizontal="center" vertical="bottom" textRotation="0" wrapText="true" indent="0" shrinkToFit="false"/>
      <protection locked="true" hidden="false"/>
    </xf>
    <xf numFmtId="164" fontId="25" fillId="0" borderId="138" xfId="0" applyFont="true" applyBorder="true" applyAlignment="true" applyProtection="false">
      <alignment horizontal="center" vertical="bottom" textRotation="0" wrapText="false" indent="0" shrinkToFit="false"/>
      <protection locked="true" hidden="false"/>
    </xf>
    <xf numFmtId="164" fontId="25" fillId="0" borderId="138" xfId="0" applyFont="true" applyBorder="true" applyAlignment="true" applyProtection="false">
      <alignment horizontal="center" vertical="center" textRotation="0" wrapText="true" indent="0" shrinkToFit="false"/>
      <protection locked="true" hidden="false"/>
    </xf>
    <xf numFmtId="164" fontId="6" fillId="0" borderId="139" xfId="0" applyFont="true" applyBorder="true" applyAlignment="true" applyProtection="false">
      <alignment horizontal="center" vertical="bottom" textRotation="0" wrapText="true" indent="0" shrinkToFit="false"/>
      <protection locked="true" hidden="false"/>
    </xf>
    <xf numFmtId="164" fontId="0" fillId="0" borderId="140" xfId="0" applyFont="false" applyBorder="true" applyAlignment="true" applyProtection="false">
      <alignment horizontal="right" vertical="bottom" textRotation="0" wrapText="false" indent="2" shrinkToFit="false"/>
      <protection locked="true" hidden="false"/>
    </xf>
    <xf numFmtId="164" fontId="0" fillId="12" borderId="141" xfId="0" applyFont="true" applyBorder="true" applyAlignment="true" applyProtection="true">
      <alignment horizontal="center" vertical="bottom" textRotation="0" wrapText="false" indent="0" shrinkToFit="false"/>
      <protection locked="false" hidden="false"/>
    </xf>
    <xf numFmtId="164" fontId="0" fillId="12" borderId="142" xfId="0" applyFont="true" applyBorder="true" applyAlignment="true" applyProtection="true">
      <alignment horizontal="center" vertical="bottom" textRotation="0" wrapText="false" indent="0" shrinkToFit="false"/>
      <protection locked="false" hidden="false"/>
    </xf>
    <xf numFmtId="172" fontId="0" fillId="19" borderId="142" xfId="0" applyFont="false" applyBorder="true" applyAlignment="true" applyProtection="true">
      <alignment horizontal="right" vertical="bottom" textRotation="0" wrapText="false" indent="2" shrinkToFit="false"/>
      <protection locked="false" hidden="false"/>
    </xf>
    <xf numFmtId="172" fontId="0" fillId="0" borderId="0" xfId="0" applyFont="false" applyBorder="true" applyAlignment="true" applyProtection="false">
      <alignment horizontal="right" vertical="bottom" textRotation="0" wrapText="false" indent="2" shrinkToFit="false"/>
      <protection locked="true" hidden="false"/>
    </xf>
    <xf numFmtId="164" fontId="0" fillId="19" borderId="143" xfId="0" applyFont="false" applyBorder="true" applyAlignment="true" applyProtection="true">
      <alignment horizontal="center" vertical="center" textRotation="0" wrapText="false" indent="0" shrinkToFit="false"/>
      <protection locked="false" hidden="false"/>
    </xf>
    <xf numFmtId="164" fontId="0" fillId="0" borderId="142" xfId="0" applyFont="false" applyBorder="true" applyAlignment="true" applyProtection="true">
      <alignment horizontal="left" vertical="bottom" textRotation="0" wrapText="false" indent="1" shrinkToFit="false"/>
      <protection locked="true" hidden="false"/>
    </xf>
    <xf numFmtId="164" fontId="0" fillId="0" borderId="142" xfId="0" applyFont="false" applyBorder="true" applyAlignment="true" applyProtection="false">
      <alignment horizontal="left" vertical="bottom" textRotation="0" wrapText="false" indent="1" shrinkToFit="false"/>
      <protection locked="true" hidden="false"/>
    </xf>
    <xf numFmtId="164" fontId="0" fillId="0" borderId="144" xfId="0" applyFont="false" applyBorder="true" applyAlignment="false" applyProtection="false">
      <alignment horizontal="general" vertical="bottom" textRotation="0" wrapText="false" indent="0" shrinkToFit="false"/>
      <protection locked="true" hidden="false"/>
    </xf>
    <xf numFmtId="164" fontId="0" fillId="19" borderId="142" xfId="0" applyFont="false" applyBorder="true" applyAlignment="true" applyProtection="true">
      <alignment horizontal="center" vertical="center" textRotation="0" wrapText="false" indent="0" shrinkToFit="false"/>
      <protection locked="false" hidden="false"/>
    </xf>
    <xf numFmtId="164" fontId="0" fillId="19" borderId="145" xfId="0" applyFont="false" applyBorder="true" applyAlignment="true" applyProtection="true">
      <alignment horizontal="center" vertical="center" textRotation="0" wrapText="false" indent="0" shrinkToFit="false"/>
      <protection locked="false" hidden="false"/>
    </xf>
    <xf numFmtId="164" fontId="25" fillId="13" borderId="146" xfId="0" applyFont="true" applyBorder="true" applyAlignment="false" applyProtection="false">
      <alignment horizontal="general" vertical="bottom" textRotation="0" wrapText="false" indent="0" shrinkToFit="false"/>
      <protection locked="true" hidden="false"/>
    </xf>
    <xf numFmtId="164" fontId="25" fillId="13" borderId="0" xfId="0" applyFont="true" applyBorder="true" applyAlignment="true" applyProtection="false">
      <alignment horizontal="center" vertical="bottom" textRotation="0" wrapText="false" indent="0" shrinkToFit="false"/>
      <protection locked="true" hidden="false"/>
    </xf>
    <xf numFmtId="164" fontId="0" fillId="13" borderId="0" xfId="0" applyFont="false" applyBorder="true" applyAlignment="true" applyProtection="false">
      <alignment horizontal="right" vertical="bottom" textRotation="0" wrapText="false" indent="2" shrinkToFit="false"/>
      <protection locked="true" hidden="false"/>
    </xf>
    <xf numFmtId="164" fontId="0" fillId="13" borderId="147" xfId="0" applyFont="false" applyBorder="true" applyAlignment="true" applyProtection="false">
      <alignment horizontal="left" vertical="bottom" textRotation="0" wrapText="false" indent="1" shrinkToFit="false"/>
      <protection locked="true" hidden="false"/>
    </xf>
    <xf numFmtId="164" fontId="0" fillId="13" borderId="147" xfId="0" applyFont="false" applyBorder="true" applyAlignment="true" applyProtection="false">
      <alignment horizontal="center" vertical="center" textRotation="0" wrapText="false" indent="0" shrinkToFit="false"/>
      <protection locked="true" hidden="false"/>
    </xf>
    <xf numFmtId="164" fontId="0" fillId="13" borderId="148" xfId="0" applyFont="false" applyBorder="true" applyAlignment="true" applyProtection="false">
      <alignment horizontal="center" vertical="center" textRotation="0" wrapText="false" indent="0" shrinkToFit="false"/>
      <protection locked="true" hidden="false"/>
    </xf>
    <xf numFmtId="164" fontId="0" fillId="19" borderId="149" xfId="0" applyFont="false" applyBorder="true" applyAlignment="true" applyProtection="true">
      <alignment horizontal="left" vertical="bottom" textRotation="0" wrapText="false" indent="3" shrinkToFit="false"/>
      <protection locked="false" hidden="false"/>
    </xf>
    <xf numFmtId="164" fontId="0" fillId="0" borderId="150" xfId="0" applyFont="true" applyBorder="true" applyAlignment="true" applyProtection="false">
      <alignment horizontal="center" vertical="bottom" textRotation="0" wrapText="false" indent="0" shrinkToFit="false"/>
      <protection locked="true" hidden="false"/>
    </xf>
    <xf numFmtId="164" fontId="0" fillId="0" borderId="151" xfId="0" applyFont="false" applyBorder="true" applyAlignment="true" applyProtection="false">
      <alignment horizontal="left" vertical="bottom" textRotation="0" wrapText="false" indent="1" shrinkToFit="false"/>
      <protection locked="true" hidden="false"/>
    </xf>
    <xf numFmtId="164" fontId="0" fillId="0" borderId="152" xfId="0" applyFont="true" applyBorder="true" applyAlignment="true" applyProtection="false">
      <alignment horizontal="center" vertical="bottom" textRotation="0" wrapText="false" indent="0" shrinkToFit="false"/>
      <protection locked="true" hidden="false"/>
    </xf>
    <xf numFmtId="164" fontId="0" fillId="0" borderId="153" xfId="0" applyFont="false" applyBorder="true" applyAlignment="true" applyProtection="false">
      <alignment horizontal="left" vertical="bottom" textRotation="0" wrapText="false" indent="1" shrinkToFit="false"/>
      <protection locked="true" hidden="false"/>
    </xf>
    <xf numFmtId="164" fontId="0" fillId="0" borderId="154" xfId="0" applyFont="false" applyBorder="true" applyAlignment="true" applyProtection="false">
      <alignment horizontal="left" vertical="bottom" textRotation="0" wrapText="false" indent="1" shrinkToFit="false"/>
      <protection locked="true" hidden="false"/>
    </xf>
    <xf numFmtId="164" fontId="0" fillId="19" borderId="149" xfId="0" applyFont="false" applyBorder="true" applyAlignment="true" applyProtection="true">
      <alignment horizontal="left" vertical="bottom" textRotation="0" wrapText="false" indent="1" shrinkToFit="false"/>
      <protection locked="false" hidden="false"/>
    </xf>
    <xf numFmtId="164" fontId="0" fillId="0" borderId="155" xfId="0" applyFont="true" applyBorder="true" applyAlignment="true" applyProtection="false">
      <alignment horizontal="center" vertical="bottom" textRotation="0" wrapText="false" indent="0" shrinkToFit="false"/>
      <protection locked="true" hidden="false"/>
    </xf>
    <xf numFmtId="164" fontId="0" fillId="0" borderId="156" xfId="0" applyFont="false" applyBorder="true" applyAlignment="true" applyProtection="false">
      <alignment horizontal="left" vertical="bottom" textRotation="0" wrapText="false" indent="1" shrinkToFit="false"/>
      <protection locked="true" hidden="false"/>
    </xf>
    <xf numFmtId="164" fontId="0" fillId="19" borderId="157" xfId="0" applyFont="false" applyBorder="true" applyAlignment="true" applyProtection="true">
      <alignment horizontal="center" vertical="center" textRotation="0" wrapText="false" indent="0" shrinkToFit="false"/>
      <protection locked="false" hidden="false"/>
    </xf>
    <xf numFmtId="164" fontId="0" fillId="0" borderId="149" xfId="0" applyFont="false" applyBorder="true" applyAlignment="true" applyProtection="false">
      <alignment horizontal="left" vertical="bottom" textRotation="0" wrapText="false" indent="1" shrinkToFit="false"/>
      <protection locked="true" hidden="false"/>
    </xf>
    <xf numFmtId="164" fontId="0" fillId="0" borderId="158" xfId="0" applyFont="false" applyBorder="true" applyAlignment="true" applyProtection="false">
      <alignment horizontal="right" vertical="bottom" textRotation="0" wrapText="false" indent="2" shrinkToFit="false"/>
      <protection locked="true" hidden="false"/>
    </xf>
    <xf numFmtId="164" fontId="0" fillId="12" borderId="159" xfId="0" applyFont="true" applyBorder="true" applyAlignment="true" applyProtection="true">
      <alignment horizontal="center" vertical="bottom" textRotation="0" wrapText="false" indent="0" shrinkToFit="false"/>
      <protection locked="false" hidden="false"/>
    </xf>
    <xf numFmtId="164" fontId="0" fillId="12" borderId="160" xfId="0" applyFont="true" applyBorder="true" applyAlignment="true" applyProtection="true">
      <alignment horizontal="center" vertical="bottom" textRotation="0" wrapText="false" indent="0" shrinkToFit="false"/>
      <protection locked="false" hidden="false"/>
    </xf>
    <xf numFmtId="172" fontId="0" fillId="19" borderId="160" xfId="0" applyFont="false" applyBorder="true" applyAlignment="true" applyProtection="true">
      <alignment horizontal="right" vertical="bottom" textRotation="0" wrapText="false" indent="2" shrinkToFit="false"/>
      <protection locked="false" hidden="false"/>
    </xf>
    <xf numFmtId="172" fontId="0" fillId="0" borderId="161" xfId="0" applyFont="false" applyBorder="true" applyAlignment="true" applyProtection="false">
      <alignment horizontal="right" vertical="bottom" textRotation="0" wrapText="false" indent="2" shrinkToFit="false"/>
      <protection locked="true" hidden="false"/>
    </xf>
    <xf numFmtId="164" fontId="0" fillId="19" borderId="160" xfId="0" applyFont="false" applyBorder="true" applyAlignment="true" applyProtection="true">
      <alignment horizontal="center" vertical="center" textRotation="0" wrapText="false" indent="0" shrinkToFit="false"/>
      <protection locked="false" hidden="false"/>
    </xf>
    <xf numFmtId="164" fontId="0" fillId="0" borderId="160" xfId="0" applyFont="false" applyBorder="true" applyAlignment="true" applyProtection="false">
      <alignment horizontal="left" vertical="bottom" textRotation="0" wrapText="false" indent="1" shrinkToFit="false"/>
      <protection locked="true" hidden="false"/>
    </xf>
    <xf numFmtId="164" fontId="0" fillId="0" borderId="160" xfId="0" applyFont="false" applyBorder="true" applyAlignment="true" applyProtection="false">
      <alignment horizontal="center" vertical="center" textRotation="0" wrapText="false" indent="0" shrinkToFit="false"/>
      <protection locked="true" hidden="false"/>
    </xf>
    <xf numFmtId="164" fontId="0" fillId="0" borderId="162" xfId="0" applyFont="false" applyBorder="true" applyAlignment="true" applyProtection="false">
      <alignment horizontal="left" vertical="bottom" textRotation="0" wrapText="false" indent="1" shrinkToFit="false"/>
      <protection locked="true" hidden="false"/>
    </xf>
    <xf numFmtId="164" fontId="0" fillId="18" borderId="163" xfId="0" applyFont="false" applyBorder="true" applyAlignment="false" applyProtection="false">
      <alignment horizontal="general" vertical="bottom" textRotation="0" wrapText="false" indent="0" shrinkToFit="false"/>
      <protection locked="true" hidden="false"/>
    </xf>
    <xf numFmtId="164" fontId="67" fillId="18" borderId="164" xfId="0" applyFont="true" applyBorder="true" applyAlignment="true" applyProtection="false">
      <alignment horizontal="center" vertical="bottom" textRotation="0" wrapText="false" indent="0" shrinkToFit="false"/>
      <protection locked="true" hidden="false"/>
    </xf>
    <xf numFmtId="164" fontId="0" fillId="18" borderId="165" xfId="0" applyFont="false" applyBorder="true" applyAlignment="false" applyProtection="false">
      <alignment horizontal="general" vertical="bottom" textRotation="0" wrapText="false" indent="0" shrinkToFit="false"/>
      <protection locked="true" hidden="false"/>
    </xf>
    <xf numFmtId="164" fontId="0" fillId="18" borderId="164" xfId="0" applyFont="false" applyBorder="true" applyAlignment="false" applyProtection="false">
      <alignment horizontal="general" vertical="bottom" textRotation="0" wrapText="false" indent="0" shrinkToFit="false"/>
      <protection locked="true" hidden="false"/>
    </xf>
    <xf numFmtId="164" fontId="0" fillId="18" borderId="166"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167"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true" applyProtection="false">
      <alignment horizontal="general" vertical="center" textRotation="0" wrapText="false" indent="0" shrinkToFit="false"/>
      <protection locked="true" hidden="false"/>
    </xf>
    <xf numFmtId="164" fontId="68" fillId="18" borderId="0" xfId="0" applyFont="true" applyBorder="true" applyAlignment="false" applyProtection="false">
      <alignment horizontal="general" vertical="bottom" textRotation="0" wrapText="false" indent="0" shrinkToFit="false"/>
      <protection locked="true" hidden="false"/>
    </xf>
    <xf numFmtId="164" fontId="25" fillId="18" borderId="0" xfId="0" applyFont="true" applyBorder="true" applyAlignment="false" applyProtection="false">
      <alignment horizontal="general" vertical="bottom" textRotation="0" wrapText="false" indent="0" shrinkToFit="false"/>
      <protection locked="true" hidden="false"/>
    </xf>
    <xf numFmtId="164" fontId="0" fillId="18" borderId="168" xfId="0" applyFont="false" applyBorder="true" applyAlignment="false" applyProtection="false">
      <alignment horizontal="general" vertical="bottom" textRotation="0" wrapText="false" indent="0" shrinkToFit="false"/>
      <protection locked="true" hidden="false"/>
    </xf>
    <xf numFmtId="164" fontId="0" fillId="18" borderId="169" xfId="0" applyFont="false" applyBorder="true" applyAlignment="false" applyProtection="false">
      <alignment horizontal="general" vertical="bottom" textRotation="0" wrapText="false" indent="0" shrinkToFit="false"/>
      <protection locked="true" hidden="false"/>
    </xf>
    <xf numFmtId="164" fontId="0" fillId="18" borderId="17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69" fillId="0" borderId="0" xfId="0" applyFont="true" applyBorder="true" applyAlignment="true" applyProtection="false">
      <alignment horizontal="left" vertical="bottom" textRotation="0" wrapText="false" indent="0" shrinkToFit="false"/>
      <protection locked="true" hidden="false"/>
    </xf>
    <xf numFmtId="164" fontId="6" fillId="0" borderId="171" xfId="0" applyFont="true" applyBorder="true" applyAlignment="true" applyProtection="false">
      <alignment horizontal="center" vertical="bottom" textRotation="0" wrapText="false" indent="0" shrinkToFit="false"/>
      <protection locked="true" hidden="false"/>
    </xf>
    <xf numFmtId="164" fontId="0" fillId="0" borderId="57" xfId="0" applyFont="false" applyBorder="true" applyAlignment="true" applyProtection="false">
      <alignment horizontal="right" vertical="bottom" textRotation="0" wrapText="false" indent="1" shrinkToFit="false"/>
      <protection locked="true" hidden="false"/>
    </xf>
    <xf numFmtId="164" fontId="70" fillId="0" borderId="57" xfId="0" applyFont="true" applyBorder="true" applyAlignment="false" applyProtection="false">
      <alignment horizontal="general" vertical="bottom" textRotation="0" wrapText="false" indent="0" shrinkToFit="false"/>
      <protection locked="true" hidden="false"/>
    </xf>
    <xf numFmtId="164" fontId="0" fillId="0" borderId="58" xfId="0" applyFont="false" applyBorder="true" applyAlignment="true" applyProtection="false">
      <alignment horizontal="right" vertical="bottom" textRotation="0" wrapText="false" indent="1" shrinkToFit="false"/>
      <protection locked="true" hidden="false"/>
    </xf>
    <xf numFmtId="164" fontId="70" fillId="0" borderId="58" xfId="0" applyFont="true" applyBorder="true" applyAlignment="false" applyProtection="false">
      <alignment horizontal="general" vertical="bottom" textRotation="0" wrapText="false" indent="0" shrinkToFit="false"/>
      <protection locked="true" hidden="false"/>
    </xf>
    <xf numFmtId="164" fontId="71" fillId="0" borderId="58" xfId="0" applyFont="true" applyBorder="true" applyAlignment="false" applyProtection="false">
      <alignment horizontal="general" vertical="bottom" textRotation="0" wrapText="false" indent="0" shrinkToFit="false"/>
      <protection locked="true" hidden="false"/>
    </xf>
    <xf numFmtId="164" fontId="69" fillId="0" borderId="0" xfId="0" applyFont="true" applyBorder="false" applyAlignment="true" applyProtection="false">
      <alignment horizontal="general" vertical="bottom" textRotation="0" wrapText="false" indent="0" shrinkToFit="false"/>
      <protection locked="true" hidden="false"/>
    </xf>
    <xf numFmtId="164" fontId="72" fillId="0" borderId="0" xfId="0" applyFont="true" applyBorder="true" applyAlignment="true" applyProtection="false">
      <alignment horizontal="general" vertical="center" textRotation="0" wrapText="false" indent="0" shrinkToFit="false"/>
      <protection locked="true" hidden="false"/>
    </xf>
    <xf numFmtId="164" fontId="54" fillId="0" borderId="0" xfId="0" applyFont="true" applyBorder="true" applyAlignment="true" applyProtection="false">
      <alignment horizontal="general" vertical="center" textRotation="0" wrapText="false" indent="0" shrinkToFit="false"/>
      <protection locked="true" hidden="false"/>
    </xf>
    <xf numFmtId="168" fontId="0" fillId="23" borderId="172" xfId="0" applyFont="false" applyBorder="true" applyAlignment="true" applyProtection="false">
      <alignment horizontal="center" vertical="bottom" textRotation="0" wrapText="false" indent="0" shrinkToFit="false"/>
      <protection locked="true" hidden="false"/>
    </xf>
    <xf numFmtId="164" fontId="72" fillId="0" borderId="0" xfId="0" applyFont="true" applyBorder="true" applyAlignment="true" applyProtection="false">
      <alignment horizontal="center" vertical="center" textRotation="0" wrapText="false" indent="0" shrinkToFit="false"/>
      <protection locked="true" hidden="false"/>
    </xf>
    <xf numFmtId="164" fontId="73" fillId="0" borderId="0" xfId="0" applyFont="true" applyBorder="true" applyAlignment="true" applyProtection="false">
      <alignment horizontal="center" vertical="bottom" textRotation="0" wrapText="false" indent="0" shrinkToFit="false"/>
      <protection locked="true" hidden="false"/>
    </xf>
    <xf numFmtId="164" fontId="73" fillId="0" borderId="0" xfId="0" applyFont="true" applyBorder="false" applyAlignment="true" applyProtection="false">
      <alignment horizontal="general" vertical="bottom" textRotation="0" wrapText="false" indent="0" shrinkToFit="false"/>
      <protection locked="true" hidden="false"/>
    </xf>
    <xf numFmtId="164" fontId="0" fillId="0" borderId="173" xfId="0" applyFont="false" applyBorder="true" applyAlignment="true" applyProtection="false">
      <alignment horizontal="left" vertical="bottom" textRotation="0" wrapText="false" indent="0" shrinkToFit="false"/>
      <protection locked="true" hidden="false"/>
    </xf>
    <xf numFmtId="164" fontId="52"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74" fillId="0" borderId="0" xfId="0" applyFont="true" applyBorder="fals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69" fillId="0" borderId="0" xfId="0" applyFont="true" applyBorder="true" applyAlignment="true" applyProtection="false">
      <alignment horizontal="center" vertical="bottom" textRotation="0" wrapText="false" indent="0" shrinkToFit="false"/>
      <protection locked="true" hidden="false"/>
    </xf>
    <xf numFmtId="164" fontId="0" fillId="24" borderId="174" xfId="0" applyFont="true" applyBorder="true" applyAlignment="true" applyProtection="false">
      <alignment horizontal="center" vertical="center" textRotation="0" wrapText="false" indent="0" shrinkToFit="false"/>
      <protection locked="true" hidden="false"/>
    </xf>
    <xf numFmtId="164" fontId="0" fillId="24" borderId="175" xfId="0" applyFont="true" applyBorder="true" applyAlignment="true" applyProtection="false">
      <alignment horizontal="center" vertical="center" textRotation="0" wrapText="false" indent="0" shrinkToFit="false"/>
      <protection locked="true" hidden="false"/>
    </xf>
    <xf numFmtId="164" fontId="0" fillId="24" borderId="176" xfId="0" applyFont="true" applyBorder="true" applyAlignment="true" applyProtection="false">
      <alignment horizontal="center" vertical="center" textRotation="0" wrapText="false" indent="0" shrinkToFit="false"/>
      <protection locked="true" hidden="false"/>
    </xf>
    <xf numFmtId="164" fontId="0" fillId="24" borderId="177" xfId="0" applyFont="true" applyBorder="true" applyAlignment="true" applyProtection="false">
      <alignment horizontal="center" vertical="center" textRotation="0" wrapText="false" indent="0" shrinkToFit="false"/>
      <protection locked="true" hidden="false"/>
    </xf>
    <xf numFmtId="164" fontId="75" fillId="0" borderId="178" xfId="0" applyFont="true" applyBorder="true" applyAlignment="true" applyProtection="false">
      <alignment horizontal="center" vertical="center" textRotation="0" wrapText="false" indent="0" shrinkToFit="false"/>
      <protection locked="true" hidden="false"/>
    </xf>
    <xf numFmtId="164" fontId="0" fillId="0" borderId="179" xfId="0" applyFont="true" applyBorder="true" applyAlignment="true" applyProtection="false">
      <alignment horizontal="center" vertical="center" textRotation="0" wrapText="false" indent="0" shrinkToFit="false"/>
      <protection locked="true" hidden="false"/>
    </xf>
    <xf numFmtId="164" fontId="0" fillId="0" borderId="180" xfId="0" applyFont="true" applyBorder="true" applyAlignment="true" applyProtection="false">
      <alignment horizontal="center" vertical="center" textRotation="0" wrapText="false" indent="0" shrinkToFit="false"/>
      <protection locked="true" hidden="false"/>
    </xf>
    <xf numFmtId="164" fontId="0" fillId="0" borderId="181" xfId="0" applyFont="false" applyBorder="true" applyAlignment="true" applyProtection="false">
      <alignment horizontal="center" vertical="center" textRotation="0" wrapText="false" indent="0" shrinkToFit="false"/>
      <protection locked="true" hidden="false"/>
    </xf>
    <xf numFmtId="164" fontId="0" fillId="0" borderId="182" xfId="0" applyFont="false" applyBorder="true" applyAlignment="true" applyProtection="false">
      <alignment horizontal="center" vertical="center" textRotation="0" wrapText="false" indent="0" shrinkToFit="false"/>
      <protection locked="true" hidden="false"/>
    </xf>
    <xf numFmtId="164" fontId="75" fillId="0" borderId="183" xfId="0" applyFont="true" applyBorder="true" applyAlignment="true" applyProtection="false">
      <alignment horizontal="center" vertical="center" textRotation="0" wrapText="false" indent="0" shrinkToFit="false"/>
      <protection locked="true" hidden="false"/>
    </xf>
    <xf numFmtId="164" fontId="0" fillId="0" borderId="184" xfId="0" applyFont="true" applyBorder="true" applyAlignment="true" applyProtection="false">
      <alignment horizontal="center" vertical="center" textRotation="0" wrapText="false" indent="0" shrinkToFit="false"/>
      <protection locked="true" hidden="false"/>
    </xf>
    <xf numFmtId="164" fontId="0" fillId="0" borderId="185" xfId="0" applyFont="true" applyBorder="true" applyAlignment="true" applyProtection="false">
      <alignment horizontal="center" vertical="center" textRotation="0" wrapText="false" indent="0" shrinkToFit="false"/>
      <protection locked="true" hidden="false"/>
    </xf>
    <xf numFmtId="164" fontId="0" fillId="0" borderId="183" xfId="0" applyFont="false" applyBorder="true" applyAlignment="true" applyProtection="false">
      <alignment horizontal="center" vertical="center" textRotation="0" wrapText="false" indent="0" shrinkToFit="false"/>
      <protection locked="true" hidden="false"/>
    </xf>
    <xf numFmtId="164" fontId="0" fillId="0" borderId="185" xfId="0" applyFont="false" applyBorder="true" applyAlignment="true" applyProtection="true">
      <alignment horizontal="center" vertical="center" textRotation="0" wrapText="false" indent="0" shrinkToFit="false"/>
      <protection locked="false" hidden="false"/>
    </xf>
    <xf numFmtId="164" fontId="6" fillId="0" borderId="185" xfId="0" applyFont="true" applyBorder="true" applyAlignment="true" applyProtection="false">
      <alignment horizontal="center" vertical="center" textRotation="0" wrapText="false" indent="0" shrinkToFit="false"/>
      <protection locked="true" hidden="false"/>
    </xf>
    <xf numFmtId="164" fontId="0" fillId="0" borderId="186" xfId="0" applyFont="false" applyBorder="true" applyAlignment="true" applyProtection="false">
      <alignment horizontal="center" vertical="center" textRotation="0" wrapText="false" indent="0" shrinkToFit="false"/>
      <protection locked="true" hidden="false"/>
    </xf>
    <xf numFmtId="164" fontId="0" fillId="0" borderId="187" xfId="0" applyFont="false" applyBorder="true" applyAlignment="true" applyProtection="false">
      <alignment horizontal="center" vertical="center" textRotation="0" wrapText="false" indent="0" shrinkToFit="false"/>
      <protection locked="true" hidden="false"/>
    </xf>
    <xf numFmtId="164" fontId="75" fillId="0" borderId="186" xfId="0" applyFont="true" applyBorder="true" applyAlignment="true" applyProtection="false">
      <alignment horizontal="center" vertical="center" textRotation="0" wrapText="false" indent="0" shrinkToFit="false"/>
      <protection locked="true" hidden="false"/>
    </xf>
    <xf numFmtId="164" fontId="0" fillId="0" borderId="188" xfId="0" applyFont="true" applyBorder="true" applyAlignment="true" applyProtection="false">
      <alignment horizontal="center" vertical="center" textRotation="0" wrapText="false" indent="0" shrinkToFit="false"/>
      <protection locked="true" hidden="false"/>
    </xf>
    <xf numFmtId="164" fontId="76" fillId="0" borderId="0" xfId="0" applyFont="true" applyBorder="false" applyAlignment="false" applyProtection="false">
      <alignment horizontal="general" vertical="bottom" textRotation="0" wrapText="false" indent="0" shrinkToFit="false"/>
      <protection locked="true" hidden="false"/>
    </xf>
    <xf numFmtId="164" fontId="77" fillId="0" borderId="0" xfId="0" applyFont="true" applyBorder="false" applyAlignment="true" applyProtection="false">
      <alignment horizontal="center" vertical="bottom" textRotation="0" wrapText="false" indent="0" shrinkToFit="false"/>
      <protection locked="true" hidden="false"/>
    </xf>
    <xf numFmtId="164" fontId="69" fillId="0" borderId="0" xfId="0" applyFont="true" applyBorder="false" applyAlignment="true" applyProtection="false">
      <alignment horizontal="right" vertical="bottom" textRotation="0" wrapText="false" indent="0" shrinkToFit="false"/>
      <protection locked="true" hidden="false"/>
    </xf>
    <xf numFmtId="164" fontId="69" fillId="0" borderId="0" xfId="0" applyFont="true" applyBorder="false" applyAlignment="true" applyProtection="false">
      <alignment horizontal="left" vertical="bottom" textRotation="0" wrapText="false" indent="1" shrinkToFit="false"/>
      <protection locked="true" hidden="false"/>
    </xf>
    <xf numFmtId="164" fontId="6" fillId="0" borderId="189" xfId="0" applyFont="true" applyBorder="true" applyAlignment="true" applyProtection="false">
      <alignment horizontal="center" vertical="bottom" textRotation="0" wrapText="false" indent="0" shrinkToFit="false"/>
      <protection locked="true" hidden="false"/>
    </xf>
    <xf numFmtId="164" fontId="0" fillId="0" borderId="189" xfId="0" applyFont="false" applyBorder="true" applyAlignment="true" applyProtection="false">
      <alignment horizontal="center" vertical="bottom" textRotation="0" wrapText="false" indent="0" shrinkToFit="false"/>
      <protection locked="true" hidden="false"/>
    </xf>
    <xf numFmtId="164" fontId="19" fillId="0" borderId="189" xfId="0" applyFont="true" applyBorder="true" applyAlignment="true" applyProtection="false">
      <alignment horizontal="general" vertical="bottom" textRotation="0" wrapText="false" indent="0" shrinkToFit="false"/>
      <protection locked="true" hidden="false"/>
    </xf>
    <xf numFmtId="164" fontId="0" fillId="0" borderId="189" xfId="0" applyFont="false" applyBorder="true" applyAlignment="false" applyProtection="false">
      <alignment horizontal="general" vertical="bottom" textRotation="0" wrapText="false" indent="0" shrinkToFit="false"/>
      <protection locked="true" hidden="false"/>
    </xf>
    <xf numFmtId="164" fontId="0" fillId="12" borderId="190" xfId="0" applyFont="false" applyBorder="true" applyAlignment="false" applyProtection="false">
      <alignment horizontal="general" vertical="bottom" textRotation="0" wrapText="false" indent="0" shrinkToFit="false"/>
      <protection locked="true" hidden="false"/>
    </xf>
    <xf numFmtId="164" fontId="0" fillId="12" borderId="191" xfId="0" applyFont="true" applyBorder="true" applyAlignment="true" applyProtection="false">
      <alignment horizontal="center" vertical="bottom" textRotation="0" wrapText="false" indent="0" shrinkToFit="false"/>
      <protection locked="true" hidden="false"/>
    </xf>
    <xf numFmtId="164" fontId="0" fillId="12" borderId="192" xfId="0" applyFont="false" applyBorder="true" applyAlignment="false" applyProtection="false">
      <alignment horizontal="general" vertical="bottom" textRotation="0" wrapText="false" indent="0" shrinkToFit="false"/>
      <protection locked="true" hidden="false"/>
    </xf>
    <xf numFmtId="164" fontId="0" fillId="12" borderId="192"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12" borderId="172"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right" vertical="bottom" textRotation="0" wrapText="false" indent="1" shrinkToFit="false"/>
      <protection locked="true" hidden="false"/>
    </xf>
    <xf numFmtId="168" fontId="0" fillId="0" borderId="0" xfId="0" applyFont="false" applyBorder="false" applyAlignment="true" applyProtection="false">
      <alignment horizontal="right" vertical="bottom" textRotation="0" wrapText="false" indent="1" shrinkToFit="false"/>
      <protection locked="true" hidden="false"/>
    </xf>
    <xf numFmtId="168" fontId="0" fillId="0" borderId="0" xfId="0" applyFont="true" applyBorder="true" applyAlignment="true" applyProtection="false">
      <alignment horizontal="right" vertical="bottom" textRotation="0" wrapText="false" indent="1" shrinkToFit="false"/>
      <protection locked="true" hidden="false"/>
    </xf>
    <xf numFmtId="164" fontId="0" fillId="12" borderId="193" xfId="0" applyFont="false" applyBorder="true" applyAlignment="false" applyProtection="false">
      <alignment horizontal="general" vertical="bottom" textRotation="0" wrapText="false" indent="0" shrinkToFit="false"/>
      <protection locked="true" hidden="false"/>
    </xf>
    <xf numFmtId="164" fontId="0" fillId="12" borderId="194" xfId="0" applyFont="true" applyBorder="true" applyAlignment="true" applyProtection="false">
      <alignment horizontal="center" vertical="bottom" textRotation="0" wrapText="false" indent="0" shrinkToFit="false"/>
      <protection locked="true" hidden="false"/>
    </xf>
    <xf numFmtId="164" fontId="0" fillId="12" borderId="195" xfId="0" applyFont="false" applyBorder="true" applyAlignment="false" applyProtection="false">
      <alignment horizontal="general" vertical="bottom" textRotation="0" wrapText="false" indent="0" shrinkToFit="false"/>
      <protection locked="true" hidden="false"/>
    </xf>
    <xf numFmtId="164" fontId="0" fillId="12" borderId="19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8" fontId="0" fillId="25" borderId="0" xfId="0" applyFont="fals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196" xfId="0" applyFont="tru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false" applyProtection="false">
      <alignment horizontal="general" vertical="bottom" textRotation="0" wrapText="false" indent="0" shrinkToFit="false"/>
      <protection locked="true" hidden="false"/>
    </xf>
    <xf numFmtId="168" fontId="25" fillId="0" borderId="197" xfId="0" applyFont="true" applyBorder="true" applyAlignment="true" applyProtection="false">
      <alignment horizontal="center" vertical="bottom" textRotation="0" wrapText="false" indent="0" shrinkToFit="false"/>
      <protection locked="true" hidden="false"/>
    </xf>
    <xf numFmtId="168" fontId="0" fillId="0" borderId="197" xfId="0" applyFont="false" applyBorder="true" applyAlignment="true" applyProtection="false">
      <alignment horizontal="center" vertical="bottom" textRotation="0" wrapText="false" indent="0" shrinkToFit="false"/>
      <protection locked="true" hidden="false"/>
    </xf>
    <xf numFmtId="174" fontId="0" fillId="0" borderId="198" xfId="0" applyFont="false" applyBorder="true" applyAlignment="false" applyProtection="false">
      <alignment horizontal="general" vertical="bottom" textRotation="0" wrapText="false" indent="0" shrinkToFit="false"/>
      <protection locked="true" hidden="false"/>
    </xf>
    <xf numFmtId="168" fontId="0" fillId="19" borderId="199"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200" xfId="0" applyFont="true" applyBorder="true" applyAlignment="true" applyProtection="false">
      <alignment horizontal="center" vertical="bottom" textRotation="0" wrapText="false" indent="0" shrinkToFit="false"/>
      <protection locked="true" hidden="false"/>
    </xf>
    <xf numFmtId="168" fontId="25" fillId="0" borderId="0" xfId="0" applyFont="true" applyBorder="true" applyAlignment="true" applyProtection="false">
      <alignment horizontal="center" vertical="bottom" textRotation="0" wrapText="false" indent="0" shrinkToFit="false"/>
      <protection locked="true" hidden="false"/>
    </xf>
    <xf numFmtId="174" fontId="0" fillId="0" borderId="201" xfId="0" applyFont="false" applyBorder="true" applyAlignment="false" applyProtection="false">
      <alignment horizontal="general" vertical="bottom" textRotation="0" wrapText="false" indent="0" shrinkToFit="false"/>
      <protection locked="true" hidden="false"/>
    </xf>
    <xf numFmtId="164" fontId="0" fillId="0" borderId="202" xfId="0" applyFont="true" applyBorder="true" applyAlignment="true" applyProtection="false">
      <alignment horizontal="center" vertical="bottom" textRotation="0" wrapText="false" indent="0" shrinkToFit="false"/>
      <protection locked="true" hidden="false"/>
    </xf>
    <xf numFmtId="164" fontId="0" fillId="0" borderId="203" xfId="0" applyFont="false" applyBorder="true" applyAlignment="false" applyProtection="false">
      <alignment horizontal="general" vertical="bottom" textRotation="0" wrapText="false" indent="0" shrinkToFit="false"/>
      <protection locked="true" hidden="false"/>
    </xf>
    <xf numFmtId="168" fontId="25" fillId="0" borderId="203" xfId="0" applyFont="true" applyBorder="true" applyAlignment="true" applyProtection="false">
      <alignment horizontal="center" vertical="bottom" textRotation="0" wrapText="false" indent="0" shrinkToFit="false"/>
      <protection locked="true" hidden="false"/>
    </xf>
    <xf numFmtId="168" fontId="0" fillId="0" borderId="203" xfId="0" applyFont="false" applyBorder="true" applyAlignment="true" applyProtection="false">
      <alignment horizontal="center" vertical="bottom" textRotation="0" wrapText="false" indent="0" shrinkToFit="false"/>
      <protection locked="true" hidden="false"/>
    </xf>
    <xf numFmtId="174" fontId="0" fillId="0" borderId="20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2"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2" fillId="0" borderId="0" xfId="0" applyFont="true" applyBorder="false" applyAlignment="false" applyProtection="false">
      <alignment horizontal="general" vertical="bottom" textRotation="0" wrapText="false" indent="0" shrinkToFit="false"/>
      <protection locked="true" hidden="false"/>
    </xf>
    <xf numFmtId="164" fontId="52" fillId="0" borderId="0" xfId="0" applyFont="true" applyBorder="true" applyAlignment="false" applyProtection="false">
      <alignment horizontal="general" vertical="bottom" textRotation="0" wrapText="false" indent="0" shrinkToFit="false"/>
      <protection locked="true" hidden="false"/>
    </xf>
    <xf numFmtId="164" fontId="66" fillId="0" borderId="0" xfId="0" applyFont="true" applyBorder="true" applyAlignment="true" applyProtection="false">
      <alignment horizontal="general" vertical="bottom" textRotation="0" wrapText="false" indent="0" shrinkToFit="false"/>
      <protection locked="true" hidden="false"/>
    </xf>
    <xf numFmtId="164" fontId="0" fillId="0" borderId="205" xfId="0" applyFont="false" applyBorder="true" applyAlignment="true" applyProtection="false">
      <alignment horizontal="center" vertical="bottom" textRotation="0" wrapText="false" indent="0" shrinkToFit="false"/>
      <protection locked="true" hidden="false"/>
    </xf>
    <xf numFmtId="164" fontId="0" fillId="0" borderId="198" xfId="0" applyFont="false" applyBorder="true" applyAlignment="true" applyProtection="false">
      <alignment horizontal="center" vertical="bottom" textRotation="0" wrapText="false" indent="0" shrinkToFit="false"/>
      <protection locked="true" hidden="false"/>
    </xf>
    <xf numFmtId="164" fontId="0" fillId="0" borderId="196" xfId="0" applyFont="false" applyBorder="true" applyAlignment="true" applyProtection="false">
      <alignment horizontal="general" vertical="bottom" textRotation="0" wrapText="false" indent="0" shrinkToFit="false"/>
      <protection locked="true" hidden="false"/>
    </xf>
    <xf numFmtId="164" fontId="0" fillId="9" borderId="196" xfId="0" applyFont="false" applyBorder="true" applyAlignment="false" applyProtection="false">
      <alignment horizontal="general" vertical="bottom" textRotation="0" wrapText="false" indent="0" shrinkToFit="false"/>
      <protection locked="true" hidden="false"/>
    </xf>
    <xf numFmtId="168" fontId="0" fillId="0" borderId="206" xfId="0" applyFont="false" applyBorder="true" applyAlignment="true" applyProtection="false">
      <alignment horizontal="center" vertical="bottom" textRotation="0" wrapText="false" indent="0" shrinkToFit="false"/>
      <protection locked="true" hidden="false"/>
    </xf>
    <xf numFmtId="164" fontId="0" fillId="0" borderId="200" xfId="0" applyFont="false" applyBorder="true" applyAlignment="true" applyProtection="false">
      <alignment horizontal="general" vertical="bottom" textRotation="0" wrapText="false" indent="0" shrinkToFit="false"/>
      <protection locked="true" hidden="false"/>
    </xf>
    <xf numFmtId="164" fontId="0" fillId="9" borderId="0" xfId="0" applyFont="false" applyBorder="true" applyAlignment="true" applyProtection="false">
      <alignment horizontal="left" vertical="bottom" textRotation="0" wrapText="false" indent="0" shrinkToFit="false"/>
      <protection locked="true" hidden="false"/>
    </xf>
    <xf numFmtId="168" fontId="0" fillId="0" borderId="201" xfId="0" applyFont="false" applyBorder="true" applyAlignment="true" applyProtection="false">
      <alignment horizontal="center" vertical="bottom" textRotation="0" wrapText="false" indent="0" shrinkToFit="false"/>
      <protection locked="true" hidden="false"/>
    </xf>
    <xf numFmtId="168" fontId="0" fillId="0" borderId="207" xfId="0" applyFont="false" applyBorder="true" applyAlignment="true" applyProtection="false">
      <alignment horizontal="center" vertical="bottom" textRotation="0" wrapText="false" indent="0" shrinkToFit="false"/>
      <protection locked="true" hidden="false"/>
    </xf>
    <xf numFmtId="164" fontId="7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202" xfId="0" applyFont="false" applyBorder="true" applyAlignment="true" applyProtection="false">
      <alignment horizontal="general" vertical="bottom" textRotation="0" wrapText="false" indent="0" shrinkToFit="false"/>
      <protection locked="true" hidden="false"/>
    </xf>
    <xf numFmtId="164" fontId="0" fillId="9" borderId="204" xfId="0" applyFont="false" applyBorder="true" applyAlignment="false" applyProtection="false">
      <alignment horizontal="general" vertical="bottom" textRotation="0" wrapText="false" indent="0" shrinkToFit="false"/>
      <protection locked="true" hidden="false"/>
    </xf>
    <xf numFmtId="168" fontId="0" fillId="0" borderId="208" xfId="0" applyFont="false" applyBorder="true" applyAlignment="true" applyProtection="false">
      <alignment horizontal="center" vertical="bottom" textRotation="0" wrapText="false" indent="0" shrinkToFit="false"/>
      <protection locked="true" hidden="false"/>
    </xf>
    <xf numFmtId="164" fontId="0" fillId="0" borderId="196" xfId="0" applyFont="false" applyBorder="true" applyAlignment="true" applyProtection="false">
      <alignment horizontal="right" vertical="bottom" textRotation="0" wrapText="false" indent="0" shrinkToFit="false"/>
      <protection locked="true" hidden="false"/>
    </xf>
    <xf numFmtId="164" fontId="0" fillId="0" borderId="200" xfId="0" applyFont="false" applyBorder="true" applyAlignment="true" applyProtection="false">
      <alignment horizontal="right" vertical="bottom" textRotation="0" wrapText="false" indent="0" shrinkToFit="false"/>
      <protection locked="true" hidden="false"/>
    </xf>
    <xf numFmtId="164" fontId="0" fillId="0" borderId="202" xfId="0" applyFont="false" applyBorder="true" applyAlignment="true" applyProtection="false">
      <alignment horizontal="right" vertical="bottom" textRotation="0" wrapText="false" indent="0" shrinkToFit="false"/>
      <protection locked="true" hidden="false"/>
    </xf>
    <xf numFmtId="164" fontId="25"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19">
    <dxf>
      <font>
        <b val="1"/>
        <i val="0"/>
        <color rgb="FF000000"/>
      </font>
      <fill>
        <patternFill>
          <bgColor rgb="FFFFFF00"/>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D0CECE"/>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ill>
        <patternFill>
          <bgColor rgb="FFFFFF66"/>
        </patternFill>
      </fill>
    </dxf>
    <dxf>
      <font>
        <b val="1"/>
        <i val="0"/>
      </font>
    </dxf>
    <dxf>
      <font>
        <b val="1"/>
        <i val="0"/>
      </font>
    </dxf>
    <dxf>
      <font>
        <b val="1"/>
        <i val="0"/>
      </font>
    </dxf>
  </dxfs>
  <colors>
    <indexedColors>
      <rgbColor rgb="FF000000"/>
      <rgbColor rgb="FFFFFFFF"/>
      <rgbColor rgb="FFFF0000"/>
      <rgbColor rgb="FFEDFBC1"/>
      <rgbColor rgb="FFFFF5F8"/>
      <rgbColor rgb="FFFFFF00"/>
      <rgbColor rgb="FFFBE5D6"/>
      <rgbColor rgb="FFDAE3F3"/>
      <rgbColor rgb="FF8C1737"/>
      <rgbColor rgb="FF5786B1"/>
      <rgbColor rgb="FF000080"/>
      <rgbColor rgb="FF548235"/>
      <rgbColor rgb="FFF2F2F2"/>
      <rgbColor rgb="FF27776C"/>
      <rgbColor rgb="FFBFBFBF"/>
      <rgbColor rgb="FF7F7F7F"/>
      <rgbColor rgb="FFA6A6A6"/>
      <rgbColor rgb="FF99223F"/>
      <rgbColor rgb="FFFFFFCC"/>
      <rgbColor rgb="FFE8FFEC"/>
      <rgbColor rgb="FFFEF6E8"/>
      <rgbColor rgb="FFF6CAD6"/>
      <rgbColor rgb="FF0563C1"/>
      <rgbColor rgb="FFBDD7EE"/>
      <rgbColor rgb="FF000080"/>
      <rgbColor rgb="FFF6E6EB"/>
      <rgbColor rgb="FFFFFF66"/>
      <rgbColor rgb="FFD9D9D9"/>
      <rgbColor rgb="FFFFF2CC"/>
      <rgbColor rgb="FFC00000"/>
      <rgbColor rgb="FF0070C0"/>
      <rgbColor rgb="FFF9F9F9"/>
      <rgbColor rgb="FFA9D18E"/>
      <rgbColor rgb="FFDEEBF7"/>
      <rgbColor rgb="FFE2F0D9"/>
      <rgbColor rgb="FFFFFF99"/>
      <rgbColor rgb="FFD0CECE"/>
      <rgbColor rgb="FFF4B183"/>
      <rgbColor rgb="FFAFABAB"/>
      <rgbColor rgb="FFFFD966"/>
      <rgbColor rgb="FF4472C4"/>
      <rgbColor rgb="FF5B9BD5"/>
      <rgbColor rgb="FF70AD47"/>
      <rgbColor rgb="FFFFC000"/>
      <rgbColor rgb="FFBF9000"/>
      <rgbColor rgb="FFC55A11"/>
      <rgbColor rgb="FF666666"/>
      <rgbColor rgb="FF928E8E"/>
      <rgbColor rgb="FFFBF7C9"/>
      <rgbColor rgb="FF329A8B"/>
      <rgbColor rgb="FFF8F8F8"/>
      <rgbColor rgb="FFECECEC"/>
      <rgbColor rgb="FF767171"/>
      <rgbColor rgb="FF595959"/>
      <rgbColor rgb="FF3762AF"/>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200160</xdr:colOff>
      <xdr:row>0</xdr:row>
      <xdr:rowOff>19080</xdr:rowOff>
    </xdr:from>
    <xdr:to>
      <xdr:col>2</xdr:col>
      <xdr:colOff>46440</xdr:colOff>
      <xdr:row>1</xdr:row>
      <xdr:rowOff>169920</xdr:rowOff>
    </xdr:to>
    <xdr:pic>
      <xdr:nvPicPr>
        <xdr:cNvPr id="0" name="Grafik 1" descr=""/>
        <xdr:cNvPicPr/>
      </xdr:nvPicPr>
      <xdr:blipFill>
        <a:blip r:embed="rId1"/>
        <a:stretch/>
      </xdr:blipFill>
      <xdr:spPr>
        <a:xfrm>
          <a:off x="200160" y="19080"/>
          <a:ext cx="995040" cy="932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bolao_family_and_friends@outloo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hermann-baum.de/excel/WorldCup2022/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1048576"/>
  <sheetViews>
    <sheetView showFormulas="false" showGridLines="true" showRowColHeaders="false" showZeros="true" rightToLeft="false" tabSelected="true" showOutlineSymbols="true" defaultGridColor="true" view="normal" topLeftCell="A1" colorId="64" zoomScale="120" zoomScaleNormal="120" zoomScalePageLayoutView="100" workbookViewId="0">
      <selection pane="topLeft" activeCell="C22" activeCellId="0" sqref="C22"/>
    </sheetView>
  </sheetViews>
  <sheetFormatPr defaultColWidth="11.53515625" defaultRowHeight="13.8" zeroHeight="false" outlineLevelRow="0" outlineLevelCol="0"/>
  <cols>
    <col collapsed="false" customWidth="false" hidden="false" outlineLevel="0" max="2" min="1" style="1" width="11.52"/>
    <col collapsed="false" customWidth="true" hidden="false" outlineLevel="0" max="3" min="3" style="1" width="67.94"/>
    <col collapsed="false" customWidth="false" hidden="false" outlineLevel="0" max="1024" min="4" style="1" width="11.52"/>
  </cols>
  <sheetData>
    <row r="2" customFormat="false" ht="26.7" hidden="false" customHeight="true" outlineLevel="0" collapsed="false">
      <c r="B2" s="2" t="s">
        <v>0</v>
      </c>
    </row>
    <row r="3" customFormat="false" ht="35.8" hidden="false" customHeight="true" outlineLevel="0" collapsed="false">
      <c r="B3" s="3" t="s">
        <v>1</v>
      </c>
      <c r="C3" s="4" t="s">
        <v>2</v>
      </c>
    </row>
    <row r="4" customFormat="false" ht="35.8" hidden="false" customHeight="true" outlineLevel="0" collapsed="false">
      <c r="B4" s="3" t="s">
        <v>3</v>
      </c>
      <c r="C4" s="4" t="s">
        <v>4</v>
      </c>
    </row>
    <row r="5" customFormat="false" ht="35.8" hidden="false" customHeight="true" outlineLevel="0" collapsed="false">
      <c r="B5" s="3" t="s">
        <v>5</v>
      </c>
      <c r="C5" s="4" t="s">
        <v>6</v>
      </c>
    </row>
    <row r="8" customFormat="false" ht="28.6" hidden="false" customHeight="true" outlineLevel="0" collapsed="false">
      <c r="B8" s="2" t="s">
        <v>7</v>
      </c>
    </row>
    <row r="9" customFormat="false" ht="13.8" hidden="false" customHeight="false" outlineLevel="0" collapsed="false">
      <c r="C9" s="5"/>
      <c r="E9" s="6" t="s">
        <v>8</v>
      </c>
      <c r="F9" s="5"/>
      <c r="G9" s="5"/>
      <c r="H9" s="5"/>
      <c r="I9" s="5"/>
      <c r="J9" s="5"/>
      <c r="K9" s="5"/>
      <c r="L9" s="5"/>
      <c r="M9" s="5"/>
    </row>
    <row r="10" customFormat="false" ht="13.8" hidden="false" customHeight="false" outlineLevel="0" collapsed="false">
      <c r="B10" s="7"/>
      <c r="C10" s="8" t="s">
        <v>9</v>
      </c>
      <c r="D10" s="9" t="s">
        <v>10</v>
      </c>
      <c r="E10" s="10" t="s">
        <v>11</v>
      </c>
      <c r="F10" s="5"/>
      <c r="G10" s="5"/>
      <c r="H10" s="5"/>
      <c r="I10" s="5"/>
      <c r="J10" s="5"/>
      <c r="K10" s="5"/>
      <c r="L10" s="5"/>
      <c r="M10" s="5"/>
    </row>
    <row r="11" customFormat="false" ht="13.8" hidden="false" customHeight="false" outlineLevel="0" collapsed="false">
      <c r="B11" s="7"/>
      <c r="C11" s="8"/>
      <c r="E11" s="10" t="s">
        <v>12</v>
      </c>
      <c r="F11" s="5"/>
      <c r="G11" s="5"/>
      <c r="H11" s="5"/>
      <c r="I11" s="5"/>
      <c r="J11" s="5"/>
      <c r="K11" s="5"/>
      <c r="L11" s="5"/>
      <c r="M11" s="5"/>
    </row>
    <row r="14" customFormat="false" ht="29.85" hidden="false" customHeight="true" outlineLevel="0" collapsed="false">
      <c r="B14" s="2" t="s">
        <v>13</v>
      </c>
    </row>
    <row r="15" customFormat="false" ht="13.8" hidden="false" customHeight="false" outlineLevel="0" collapsed="false">
      <c r="C15" s="5"/>
    </row>
    <row r="16" customFormat="false" ht="13.8" hidden="false" customHeight="false" outlineLevel="0" collapsed="false">
      <c r="B16" s="7"/>
      <c r="C16" s="8" t="s">
        <v>14</v>
      </c>
    </row>
    <row r="17" customFormat="false" ht="13.8" hidden="false" customHeight="false" outlineLevel="0" collapsed="false">
      <c r="B17" s="7"/>
      <c r="C17" s="8" t="s">
        <v>15</v>
      </c>
    </row>
    <row r="18" customFormat="false" ht="13.8" hidden="false" customHeight="false" outlineLevel="0" collapsed="false">
      <c r="C18" s="5"/>
    </row>
    <row r="1048576" customFormat="false" ht="12.8" hidden="false" customHeight="false" outlineLevel="0" collapsed="false"/>
  </sheetData>
  <hyperlinks>
    <hyperlink ref="C16" r:id="rId1" display="Save the file and email it to bolao_family_and_friends@outlook.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F14" activeCellId="0" sqref="F14"/>
    </sheetView>
  </sheetViews>
  <sheetFormatPr defaultColWidth="11.43359375" defaultRowHeight="15" zeroHeight="true" outlineLevelRow="0" outlineLevelCol="0"/>
  <cols>
    <col collapsed="false" customWidth="true" hidden="false" outlineLevel="0" max="1" min="1" style="11" width="3.14"/>
    <col collapsed="false" customWidth="true" hidden="false" outlineLevel="0" max="3" min="2" style="11" width="13.14"/>
    <col collapsed="false" customWidth="true" hidden="false" outlineLevel="0" max="4" min="4" style="11" width="5.7"/>
    <col collapsed="false" customWidth="true" hidden="false" outlineLevel="0" max="6" min="5" style="11" width="13.14"/>
    <col collapsed="false" customWidth="true" hidden="false" outlineLevel="0" max="7" min="7" style="11" width="5.7"/>
    <col collapsed="false" customWidth="true" hidden="false" outlineLevel="0" max="9" min="8" style="11" width="13.14"/>
    <col collapsed="false" customWidth="true" hidden="false" outlineLevel="0" max="10" min="10" style="11" width="5.7"/>
    <col collapsed="false" customWidth="true" hidden="false" outlineLevel="0" max="12" min="11" style="11" width="13.14"/>
    <col collapsed="false" customWidth="true" hidden="false" outlineLevel="0" max="13" min="13" style="11" width="5.7"/>
    <col collapsed="false" customWidth="true" hidden="false" outlineLevel="0" max="15" min="14" style="11" width="13.14"/>
    <col collapsed="false" customWidth="true" hidden="false" outlineLevel="0" max="16" min="16" style="11" width="5.7"/>
    <col collapsed="false" customWidth="true" hidden="false" outlineLevel="0" max="18" min="17" style="11" width="13.14"/>
    <col collapsed="false" customWidth="true" hidden="false" outlineLevel="0" max="19" min="19" style="11" width="5.7"/>
    <col collapsed="false" customWidth="true" hidden="false" outlineLevel="0" max="21" min="20" style="11" width="13.14"/>
    <col collapsed="false" customWidth="true" hidden="false" outlineLevel="0" max="22" min="22" style="11" width="5.7"/>
    <col collapsed="false" customWidth="true" hidden="false" outlineLevel="0" max="24" min="23" style="11" width="13.14"/>
    <col collapsed="false" customWidth="true" hidden="false" outlineLevel="0" max="25" min="25" style="11" width="5.7"/>
    <col collapsed="false" customWidth="true" hidden="true" outlineLevel="0" max="26" min="26" style="0" width="11.52"/>
    <col collapsed="false" customWidth="false" hidden="true" outlineLevel="0" max="1024" min="27" style="0" width="11.42"/>
  </cols>
  <sheetData>
    <row r="1" s="11" customFormat="true" ht="61.5" hidden="false" customHeight="true" outlineLevel="0" collapsed="false">
      <c r="D1" s="12"/>
      <c r="E1" s="13" t="str">
        <f aca="false">Language!$E$115</f>
        <v>World Cup 2022 in Qatar</v>
      </c>
      <c r="F1" s="13"/>
      <c r="G1" s="13"/>
      <c r="H1" s="13"/>
      <c r="I1" s="13"/>
      <c r="J1" s="13"/>
      <c r="K1" s="13"/>
      <c r="L1" s="13"/>
      <c r="M1" s="13"/>
      <c r="N1" s="13"/>
      <c r="O1" s="13"/>
      <c r="P1" s="13"/>
      <c r="Q1" s="13"/>
      <c r="R1" s="13"/>
      <c r="S1" s="13"/>
      <c r="T1" s="13"/>
      <c r="U1" s="13"/>
      <c r="V1" s="12"/>
      <c r="W1" s="12"/>
      <c r="X1" s="14" t="s">
        <v>16</v>
      </c>
      <c r="Y1" s="15"/>
    </row>
    <row r="2" s="11" customFormat="true" ht="14.25" hidden="false" customHeight="true" outlineLevel="0" collapsed="false">
      <c r="B2" s="16"/>
      <c r="C2" s="17" t="str">
        <f aca="false">Language!$E$128</f>
        <v>  Pts.     Goals</v>
      </c>
      <c r="D2" s="18"/>
      <c r="E2" s="16"/>
      <c r="F2" s="17" t="str">
        <f aca="false">Language!$E$128</f>
        <v>  Pts.     Goals</v>
      </c>
      <c r="G2" s="18"/>
      <c r="H2" s="16"/>
      <c r="I2" s="17" t="str">
        <f aca="false">Language!$E$128</f>
        <v>  Pts.     Goals</v>
      </c>
      <c r="J2" s="18"/>
      <c r="K2" s="19"/>
      <c r="L2" s="17" t="str">
        <f aca="false">Language!$E$128</f>
        <v>  Pts.     Goals</v>
      </c>
      <c r="M2" s="18"/>
      <c r="N2" s="16"/>
      <c r="O2" s="17" t="str">
        <f aca="false">Language!$E$128</f>
        <v>  Pts.     Goals</v>
      </c>
      <c r="P2" s="18"/>
      <c r="Q2" s="16"/>
      <c r="R2" s="17" t="str">
        <f aca="false">Language!$E$128</f>
        <v>  Pts.     Goals</v>
      </c>
      <c r="S2" s="18"/>
      <c r="T2" s="16"/>
      <c r="U2" s="17" t="str">
        <f aca="false">Language!$E$128</f>
        <v>  Pts.     Goals</v>
      </c>
      <c r="V2" s="18"/>
      <c r="W2" s="16"/>
      <c r="X2" s="17" t="str">
        <f aca="false">Language!$E$128</f>
        <v>  Pts.     Goals</v>
      </c>
    </row>
    <row r="3" s="11" customFormat="true" ht="15.75" hidden="false" customHeight="true" outlineLevel="0" collapsed="false">
      <c r="A3" s="20"/>
      <c r="B3" s="21" t="str">
        <f aca="false">GrpA!O11</f>
        <v>Qatar</v>
      </c>
      <c r="C3" s="22" t="str">
        <f aca="false">"   "&amp;GrpA!$P11&amp;"        "&amp;GrpA!$R11&amp;Language!$E$164&amp;GrpA!$S11</f>
        <v>   0        0 - 0</v>
      </c>
      <c r="D3" s="23"/>
      <c r="E3" s="21" t="str">
        <f aca="false">GrpB!O11</f>
        <v>England</v>
      </c>
      <c r="F3" s="22" t="str">
        <f aca="false">"   "&amp;GrpB!$P11&amp;"        "&amp;GrpB!$R11&amp;Language!$E$164&amp;GrpB!$S11</f>
        <v>   0        0 - 0</v>
      </c>
      <c r="G3" s="23"/>
      <c r="H3" s="21" t="str">
        <f aca="false">GrpC!$O11</f>
        <v>Argentina</v>
      </c>
      <c r="I3" s="22" t="str">
        <f aca="false">"   "&amp;GrpC!$P11&amp;"        "&amp;GrpC!$R11&amp;Language!$E$164&amp;GrpC!$S11</f>
        <v>   0        0 - 0</v>
      </c>
      <c r="J3" s="24"/>
      <c r="K3" s="21" t="str">
        <f aca="false">GrpD!$O11</f>
        <v>France</v>
      </c>
      <c r="L3" s="22" t="str">
        <f aca="false">"   "&amp;GrpD!$P11&amp;"        "&amp;GrpD!$R11&amp;Language!$E$164&amp;GrpD!$S11</f>
        <v>   0        0 - 0</v>
      </c>
      <c r="M3" s="24"/>
      <c r="N3" s="21" t="str">
        <f aca="false">GrpE!$O11</f>
        <v>Spain</v>
      </c>
      <c r="O3" s="22" t="str">
        <f aca="false">"   "&amp;GrpE!$P11&amp;"        "&amp;GrpE!$R11&amp;Language!$E$164&amp;GrpE!$S11</f>
        <v>   0        0 - 0</v>
      </c>
      <c r="P3" s="23"/>
      <c r="Q3" s="21" t="str">
        <f aca="false">GrpF!$O11</f>
        <v>Belgium</v>
      </c>
      <c r="R3" s="22" t="str">
        <f aca="false">"   "&amp;GrpF!$P11&amp;"        "&amp;GrpF!$R11&amp;Language!$E$164&amp;GrpF!$S11</f>
        <v>   0        0 - 0</v>
      </c>
      <c r="S3" s="24"/>
      <c r="T3" s="21" t="str">
        <f aca="false">GrpG!$O11</f>
        <v>Brazil</v>
      </c>
      <c r="U3" s="22" t="str">
        <f aca="false">"   "&amp;GrpG!$P11&amp;"        "&amp;GrpG!$R11&amp;Language!$E$164&amp;GrpG!$S11</f>
        <v>   0        0 - 0</v>
      </c>
      <c r="V3" s="23"/>
      <c r="W3" s="21" t="str">
        <f aca="false">GrpH!$O11</f>
        <v>Portugal</v>
      </c>
      <c r="X3" s="22" t="str">
        <f aca="false">"   "&amp;GrpH!$P11&amp;"        "&amp;GrpH!$R11&amp;Language!$E$164&amp;GrpH!$S11</f>
        <v>   0        0 - 0</v>
      </c>
      <c r="Y3" s="20"/>
    </row>
    <row r="4" s="11" customFormat="true" ht="15.75" hidden="false" customHeight="true" outlineLevel="0" collapsed="false">
      <c r="A4" s="20"/>
      <c r="B4" s="25" t="str">
        <f aca="false">GrpA!O12</f>
        <v>Ecuador</v>
      </c>
      <c r="C4" s="26" t="str">
        <f aca="false">"   "&amp;GrpA!$P12&amp;"        "&amp;GrpA!$R12&amp;Language!$E$164&amp;GrpA!$S12</f>
        <v>   0        0 - 0</v>
      </c>
      <c r="D4" s="23"/>
      <c r="E4" s="25" t="str">
        <f aca="false">GrpB!O12</f>
        <v>IR Iran</v>
      </c>
      <c r="F4" s="26" t="str">
        <f aca="false">"   "&amp;GrpB!$P12&amp;"        "&amp;GrpB!$R12&amp;Language!$E$164&amp;GrpB!$S12</f>
        <v>   0        0 - 0</v>
      </c>
      <c r="G4" s="23"/>
      <c r="H4" s="25" t="str">
        <f aca="false">GrpC!O12</f>
        <v>Saudi Arabia</v>
      </c>
      <c r="I4" s="26" t="str">
        <f aca="false">"   "&amp;GrpC!$P12&amp;"        "&amp;GrpC!$R12&amp;Language!$E$164&amp;GrpC!$S12</f>
        <v>   0        0 - 0</v>
      </c>
      <c r="J4" s="24"/>
      <c r="K4" s="25" t="str">
        <f aca="false">GrpD!$O12</f>
        <v>Australia</v>
      </c>
      <c r="L4" s="26" t="str">
        <f aca="false">"   "&amp;GrpD!$P12&amp;"        "&amp;GrpD!$R12&amp;Language!$E$164&amp;GrpD!$S12</f>
        <v>   0        0 - 0</v>
      </c>
      <c r="M4" s="24"/>
      <c r="N4" s="25" t="str">
        <f aca="false">GrpE!$O12</f>
        <v>Costa Rica</v>
      </c>
      <c r="O4" s="26" t="str">
        <f aca="false">"   "&amp;GrpE!$P12&amp;"        "&amp;GrpE!$R12&amp;Language!$E$164&amp;GrpE!$S12</f>
        <v>   0        0 - 0</v>
      </c>
      <c r="P4" s="23"/>
      <c r="Q4" s="25" t="str">
        <f aca="false">GrpF!$O12</f>
        <v>Canada</v>
      </c>
      <c r="R4" s="26" t="str">
        <f aca="false">"   "&amp;GrpF!$P12&amp;"        "&amp;GrpF!$R12&amp;Language!$E$164&amp;GrpF!$S12</f>
        <v>   0        0 - 0</v>
      </c>
      <c r="S4" s="24"/>
      <c r="T4" s="25" t="str">
        <f aca="false">GrpG!$O12</f>
        <v>Serbia</v>
      </c>
      <c r="U4" s="26" t="str">
        <f aca="false">"   "&amp;GrpG!$P12&amp;"        "&amp;GrpG!$R12&amp;Language!$E$164&amp;GrpG!$S12</f>
        <v>   0        0 - 0</v>
      </c>
      <c r="V4" s="23"/>
      <c r="W4" s="25" t="str">
        <f aca="false">GrpH!$O12</f>
        <v>Ghana</v>
      </c>
      <c r="X4" s="26" t="str">
        <f aca="false">"   "&amp;GrpH!$P12&amp;"        "&amp;GrpH!$R12&amp;Language!$E$164&amp;GrpH!$S12</f>
        <v>   0        0 - 0</v>
      </c>
      <c r="Y4" s="20"/>
    </row>
    <row r="5" s="11" customFormat="true" ht="15.75" hidden="false" customHeight="true" outlineLevel="0" collapsed="false">
      <c r="A5" s="20"/>
      <c r="B5" s="27" t="str">
        <f aca="false">GrpA!O13</f>
        <v>Senegal</v>
      </c>
      <c r="C5" s="28" t="str">
        <f aca="false">"   "&amp;GrpA!$P13&amp;"        "&amp;GrpA!$R13&amp;Language!$E$164&amp;GrpA!$S13</f>
        <v>   0        0 - 0</v>
      </c>
      <c r="D5" s="23"/>
      <c r="E5" s="27" t="str">
        <f aca="false">GrpB!O13</f>
        <v>USA</v>
      </c>
      <c r="F5" s="28" t="str">
        <f aca="false">"   "&amp;GrpB!$P13&amp;"        "&amp;GrpB!$R13&amp;Language!$E$164&amp;GrpB!$S13</f>
        <v>   0        0 - 0</v>
      </c>
      <c r="G5" s="23"/>
      <c r="H5" s="27" t="str">
        <f aca="false">GrpC!O13</f>
        <v>Mexico</v>
      </c>
      <c r="I5" s="28" t="str">
        <f aca="false">"   "&amp;GrpC!$P13&amp;"        "&amp;GrpC!$R13&amp;Language!$E$164&amp;GrpC!$S13</f>
        <v>   0        0 - 0</v>
      </c>
      <c r="J5" s="24"/>
      <c r="K5" s="27" t="str">
        <f aca="false">GrpD!$O13</f>
        <v>Denmark</v>
      </c>
      <c r="L5" s="28" t="str">
        <f aca="false">"   "&amp;GrpD!$P13&amp;"        "&amp;GrpD!$R13&amp;Language!$E$164&amp;GrpD!$S13</f>
        <v>   0        0 - 0</v>
      </c>
      <c r="M5" s="24"/>
      <c r="N5" s="27" t="str">
        <f aca="false">GrpE!$O13</f>
        <v>Germany</v>
      </c>
      <c r="O5" s="28" t="str">
        <f aca="false">"   "&amp;GrpE!$P13&amp;"        "&amp;GrpE!$R13&amp;Language!$E$164&amp;GrpE!$S13</f>
        <v>   0        0 - 0</v>
      </c>
      <c r="P5" s="23"/>
      <c r="Q5" s="27" t="str">
        <f aca="false">GrpF!$O13</f>
        <v>Morocco</v>
      </c>
      <c r="R5" s="28" t="str">
        <f aca="false">"   "&amp;GrpF!$P13&amp;"        "&amp;GrpF!$R13&amp;Language!$E$164&amp;GrpF!$S13</f>
        <v>   0        0 - 0</v>
      </c>
      <c r="S5" s="24"/>
      <c r="T5" s="27" t="str">
        <f aca="false">GrpG!$O13</f>
        <v>Switzerland</v>
      </c>
      <c r="U5" s="28" t="str">
        <f aca="false">"   "&amp;GrpG!$P13&amp;"        "&amp;GrpG!$R13&amp;Language!$E$164&amp;GrpG!$S13</f>
        <v>   0        0 - 0</v>
      </c>
      <c r="V5" s="23"/>
      <c r="W5" s="27" t="str">
        <f aca="false">GrpH!$O13</f>
        <v>Uruguay</v>
      </c>
      <c r="X5" s="28" t="str">
        <f aca="false">"   "&amp;GrpH!$P13&amp;"        "&amp;GrpH!$R13&amp;Language!$E$164&amp;GrpH!$S13</f>
        <v>   0        0 - 0</v>
      </c>
      <c r="Y5" s="20"/>
    </row>
    <row r="6" s="34" customFormat="true" ht="15.75" hidden="false" customHeight="true" outlineLevel="0" collapsed="false">
      <c r="A6" s="29"/>
      <c r="B6" s="30" t="str">
        <f aca="false">GrpA!O14</f>
        <v>Netherlands</v>
      </c>
      <c r="C6" s="31" t="str">
        <f aca="false">"   "&amp;GrpA!$P14&amp;"        "&amp;GrpA!$R14&amp;Language!$E$164&amp;GrpA!$S14</f>
        <v>   0        0 - 0</v>
      </c>
      <c r="D6" s="32"/>
      <c r="E6" s="30" t="str">
        <f aca="false">GrpB!O14</f>
        <v>Wales</v>
      </c>
      <c r="F6" s="31" t="str">
        <f aca="false">"   "&amp;GrpB!$P14&amp;"        "&amp;GrpB!$R14&amp;Language!$E$164&amp;GrpB!$S14</f>
        <v>   0        0 - 0</v>
      </c>
      <c r="G6" s="32"/>
      <c r="H6" s="30" t="str">
        <f aca="false">GrpC!O14</f>
        <v>Poland</v>
      </c>
      <c r="I6" s="31" t="str">
        <f aca="false">"   "&amp;GrpC!$P14&amp;"        "&amp;GrpC!$R14&amp;Language!$E$164&amp;GrpC!$S14</f>
        <v>   0        0 - 0</v>
      </c>
      <c r="J6" s="33"/>
      <c r="K6" s="30" t="str">
        <f aca="false">GrpD!$O14</f>
        <v>Tunisia</v>
      </c>
      <c r="L6" s="31" t="str">
        <f aca="false">"   "&amp;GrpD!$P14&amp;"        "&amp;GrpD!$R14&amp;Language!$E$164&amp;GrpD!$S14</f>
        <v>   0        0 - 0</v>
      </c>
      <c r="M6" s="33"/>
      <c r="N6" s="30" t="str">
        <f aca="false">GrpE!$O14</f>
        <v>Japan</v>
      </c>
      <c r="O6" s="31" t="str">
        <f aca="false">"   "&amp;GrpE!$P14&amp;"        "&amp;GrpE!$R14&amp;Language!$E$164&amp;GrpE!$S14</f>
        <v>   0        0 - 0</v>
      </c>
      <c r="P6" s="32"/>
      <c r="Q6" s="30" t="str">
        <f aca="false">GrpF!$O14</f>
        <v>Croatia</v>
      </c>
      <c r="R6" s="31" t="str">
        <f aca="false">"   "&amp;GrpF!$P14&amp;"        "&amp;GrpF!$R14&amp;Language!$E$164&amp;GrpF!$S14</f>
        <v>   0        0 - 0</v>
      </c>
      <c r="S6" s="33"/>
      <c r="T6" s="30" t="str">
        <f aca="false">GrpG!$O14</f>
        <v>Cameroon</v>
      </c>
      <c r="U6" s="31" t="str">
        <f aca="false">"   "&amp;GrpG!$P14&amp;"        "&amp;GrpG!$R14&amp;Language!$E$164&amp;GrpG!$S14</f>
        <v>   0        0 - 0</v>
      </c>
      <c r="V6" s="32"/>
      <c r="W6" s="30" t="str">
        <f aca="false">GrpH!$O14</f>
        <v>South Korea</v>
      </c>
      <c r="X6" s="31" t="str">
        <f aca="false">"   "&amp;GrpH!$P14&amp;"        "&amp;GrpH!$R14&amp;Language!$E$164&amp;GrpH!$S14</f>
        <v>   0        0 - 0</v>
      </c>
      <c r="Y6" s="29"/>
    </row>
    <row r="7" s="11" customFormat="true" ht="13.5" hidden="false" customHeight="true" outlineLevel="0" collapsed="false">
      <c r="A7" s="20"/>
      <c r="B7" s="35" t="str">
        <f aca="false">IF(GrpA!$K$10+GrpB!$K$10+GrpC!$K$10+GrpD!$K$10+GrpE!$K$10+GrpF!$K$10+GrpG!$K$10+GrpH!$K$10=0,"",IF(Distinctness!$D$4&gt;0,Distinctness!$J$4,Distinctness!$J$5))</f>
        <v/>
      </c>
      <c r="C7" s="35"/>
      <c r="D7" s="35"/>
      <c r="E7" s="35"/>
      <c r="F7" s="35"/>
      <c r="G7" s="35"/>
      <c r="H7" s="35"/>
      <c r="I7" s="35"/>
      <c r="J7" s="35"/>
      <c r="K7" s="35"/>
      <c r="L7" s="35"/>
      <c r="M7" s="35"/>
      <c r="N7" s="35"/>
      <c r="O7" s="35"/>
      <c r="P7" s="35"/>
      <c r="Q7" s="35"/>
      <c r="R7" s="35"/>
      <c r="S7" s="35"/>
      <c r="T7" s="35"/>
      <c r="U7" s="35"/>
      <c r="V7" s="35"/>
      <c r="W7" s="35"/>
      <c r="X7" s="35"/>
      <c r="Y7" s="20"/>
    </row>
    <row r="8" s="11" customFormat="true" ht="11.25" hidden="false" customHeight="true" outlineLevel="0" collapsed="false">
      <c r="B8" s="36" t="str">
        <f aca="false">IF(GrpA!$V$11&gt;0,"•","")</f>
        <v/>
      </c>
      <c r="C8" s="36"/>
      <c r="D8" s="37"/>
      <c r="E8" s="36" t="str">
        <f aca="false">IF(GrpB!$V$11&gt;0,"•","")</f>
        <v/>
      </c>
      <c r="F8" s="36"/>
      <c r="G8" s="37"/>
      <c r="H8" s="36" t="str">
        <f aca="false">IF(GrpC!$V$11&gt;0,"•","")</f>
        <v/>
      </c>
      <c r="I8" s="36"/>
      <c r="J8" s="37"/>
      <c r="K8" s="36" t="str">
        <f aca="false">IF(GrpD!$V$11&gt;0,"•","")</f>
        <v/>
      </c>
      <c r="L8" s="36"/>
      <c r="M8" s="38"/>
      <c r="N8" s="36" t="str">
        <f aca="false">IF(GrpE!$V$11&gt;0,"•","")</f>
        <v/>
      </c>
      <c r="O8" s="36"/>
      <c r="P8" s="37"/>
      <c r="Q8" s="36" t="str">
        <f aca="false">IF(GrpF!$V$11&gt;0,"•","")</f>
        <v/>
      </c>
      <c r="R8" s="36"/>
      <c r="S8" s="39"/>
      <c r="T8" s="36" t="str">
        <f aca="false">IF(GrpG!$V$11&gt;0,"•","")</f>
        <v/>
      </c>
      <c r="U8" s="36"/>
      <c r="V8" s="37"/>
      <c r="W8" s="36" t="str">
        <f aca="false">IF(GrpH!$V$11&gt;0,"•","")</f>
        <v/>
      </c>
      <c r="X8" s="36"/>
    </row>
    <row r="9" s="11" customFormat="true" ht="19.5" hidden="false" customHeight="true" outlineLevel="0" collapsed="false">
      <c r="B9" s="40" t="str">
        <f aca="false">Language!$E$124&amp;" A"</f>
        <v>Group A</v>
      </c>
      <c r="C9" s="40"/>
      <c r="D9" s="41"/>
      <c r="E9" s="40" t="str">
        <f aca="false">Language!$E$124&amp;" B"</f>
        <v>Group B</v>
      </c>
      <c r="F9" s="40"/>
      <c r="H9" s="40" t="str">
        <f aca="false">Language!$E$124&amp;" C"</f>
        <v>Group C</v>
      </c>
      <c r="I9" s="40"/>
      <c r="K9" s="40" t="str">
        <f aca="false">Language!$E$124&amp;" D"</f>
        <v>Group D</v>
      </c>
      <c r="L9" s="40"/>
      <c r="N9" s="40" t="str">
        <f aca="false">Language!$E$124&amp;" E"</f>
        <v>Group E</v>
      </c>
      <c r="O9" s="40"/>
      <c r="Q9" s="40" t="str">
        <f aca="false">Language!$E$124&amp;" F"</f>
        <v>Group F</v>
      </c>
      <c r="R9" s="40"/>
      <c r="T9" s="40" t="str">
        <f aca="false">Language!$E$124&amp;" G"</f>
        <v>Group G</v>
      </c>
      <c r="U9" s="40"/>
      <c r="W9" s="40" t="str">
        <f aca="false">Language!$E$124&amp;" H"</f>
        <v>Group H</v>
      </c>
      <c r="X9" s="40"/>
    </row>
    <row r="10" s="11" customFormat="true" ht="9.75" hidden="false" customHeight="true" outlineLevel="0" collapsed="false">
      <c r="B10" s="42"/>
      <c r="C10" s="42"/>
      <c r="D10" s="43"/>
      <c r="E10" s="42"/>
      <c r="F10" s="42"/>
      <c r="G10" s="44"/>
      <c r="H10" s="42"/>
      <c r="I10" s="42"/>
      <c r="J10" s="44"/>
      <c r="K10" s="42"/>
      <c r="L10" s="42"/>
      <c r="M10" s="44"/>
      <c r="N10" s="42"/>
      <c r="O10" s="42"/>
      <c r="P10" s="44"/>
      <c r="Q10" s="42"/>
      <c r="R10" s="42"/>
      <c r="T10" s="42"/>
      <c r="U10" s="42"/>
      <c r="V10" s="44"/>
      <c r="W10" s="42"/>
      <c r="X10" s="42"/>
    </row>
    <row r="11" s="11" customFormat="true" ht="15" hidden="false" customHeight="false" outlineLevel="0" collapsed="false">
      <c r="A11" s="45" t="n">
        <v>1</v>
      </c>
      <c r="B11" s="46" t="str">
        <f aca="false">VLOOKUP(A11,Matches!$B$4:$K$72,7,0)</f>
        <v>Al Bayt</v>
      </c>
      <c r="C11" s="46"/>
      <c r="D11" s="45" t="n">
        <v>3</v>
      </c>
      <c r="E11" s="46" t="str">
        <f aca="false">VLOOKUP(D11,Matches!$B$4:$K$72,7,0)</f>
        <v>Khalifa Internat.</v>
      </c>
      <c r="F11" s="46"/>
      <c r="G11" s="45" t="n">
        <v>8</v>
      </c>
      <c r="H11" s="46" t="str">
        <f aca="false">VLOOKUP(G11,Matches!$B$4:$K$72,7,0)</f>
        <v>Lusail</v>
      </c>
      <c r="I11" s="46"/>
      <c r="J11" s="45" t="n">
        <v>6</v>
      </c>
      <c r="K11" s="46" t="str">
        <f aca="false">VLOOKUP(J11,Matches!$B$4:$K$72,7,0)</f>
        <v>Education City</v>
      </c>
      <c r="L11" s="46"/>
      <c r="M11" s="45" t="n">
        <v>11</v>
      </c>
      <c r="N11" s="46" t="str">
        <f aca="false">VLOOKUP(M11,Matches!$B$4:$K$72,7,0)</f>
        <v>Khalifa Internat.</v>
      </c>
      <c r="O11" s="46"/>
      <c r="P11" s="45" t="n">
        <v>12</v>
      </c>
      <c r="Q11" s="46" t="str">
        <f aca="false">VLOOKUP(P11,Matches!$B$4:$K$72,7,0)</f>
        <v>Al Bayt</v>
      </c>
      <c r="R11" s="46"/>
      <c r="S11" s="45" t="n">
        <v>13</v>
      </c>
      <c r="T11" s="46" t="str">
        <f aca="false">VLOOKUP(S11,Matches!$B$4:$K$72,7,0)</f>
        <v>Al Janoub</v>
      </c>
      <c r="U11" s="46"/>
      <c r="V11" s="45" t="n">
        <v>14</v>
      </c>
      <c r="W11" s="46" t="str">
        <f aca="false">VLOOKUP(V11,Matches!$B$4:$K$72,7,0)</f>
        <v>Education City</v>
      </c>
      <c r="X11" s="46"/>
    </row>
    <row r="12" s="11" customFormat="true" ht="15" hidden="false" customHeight="true" outlineLevel="0" collapsed="false">
      <c r="B12" s="47" t="n">
        <f aca="false">VLOOKUP(A11,Matches!$B$4:$K$72,5,0)</f>
        <v>44885.7083333334</v>
      </c>
      <c r="C12" s="47"/>
      <c r="E12" s="47" t="n">
        <f aca="false">VLOOKUP(D11,Matches!$B$4:$K$72,5,0)</f>
        <v>44886.5833333334</v>
      </c>
      <c r="F12" s="47"/>
      <c r="H12" s="47" t="n">
        <f aca="false">VLOOKUP(G11,Matches!$B$4:$K$72,5,0)</f>
        <v>44887.4583333334</v>
      </c>
      <c r="I12" s="47"/>
      <c r="K12" s="47" t="n">
        <f aca="false">VLOOKUP(J11,Matches!$B$4:$K$72,5,0)</f>
        <v>44887.5833333334</v>
      </c>
      <c r="L12" s="47"/>
      <c r="N12" s="47" t="n">
        <f aca="false">VLOOKUP(M11,Matches!$B$4:$K$72,5,0)</f>
        <v>44888.5833333334</v>
      </c>
      <c r="O12" s="47"/>
      <c r="Q12" s="47" t="n">
        <f aca="false">VLOOKUP(P11,Matches!$B$4:$K$72,5,0)</f>
        <v>44888.4583333334</v>
      </c>
      <c r="R12" s="47"/>
      <c r="T12" s="47" t="n">
        <f aca="false">VLOOKUP(S11,Matches!$B$4:$K$72,5,0)</f>
        <v>44889.4583333334</v>
      </c>
      <c r="U12" s="47"/>
      <c r="W12" s="47" t="n">
        <f aca="false">VLOOKUP(V11,Matches!$B$4:$K$72,5,0)</f>
        <v>44889.5833333334</v>
      </c>
      <c r="X12" s="47"/>
    </row>
    <row r="13" s="11" customFormat="true" ht="15" hidden="false" customHeight="false" outlineLevel="0" collapsed="false">
      <c r="B13" s="48" t="str">
        <f aca="false">VLOOKUP(A11,Matches!$B$4:$K$72,8,0)</f>
        <v>Qatar</v>
      </c>
      <c r="C13" s="49" t="str">
        <f aca="false">VLOOKUP(A11,Matches!$B$4:$K$72,9,0)</f>
        <v>Ecuador</v>
      </c>
      <c r="E13" s="48" t="str">
        <f aca="false">VLOOKUP(D11,Matches!$B$4:$K$72,8,0)</f>
        <v>England</v>
      </c>
      <c r="F13" s="49" t="str">
        <f aca="false">VLOOKUP(D11,Matches!$B$4:$K$72,9,0)</f>
        <v>IR Iran</v>
      </c>
      <c r="H13" s="48" t="str">
        <f aca="false">VLOOKUP(G11,Matches!$B$4:$K$72,8,0)</f>
        <v>Argentina</v>
      </c>
      <c r="I13" s="49" t="str">
        <f aca="false">VLOOKUP(G11,Matches!$B$4:$K$72,9,0)</f>
        <v>Saudi Arabia</v>
      </c>
      <c r="K13" s="48" t="str">
        <f aca="false">VLOOKUP(J11,Matches!$B$4:$K$72,8,0)</f>
        <v>Denmark</v>
      </c>
      <c r="L13" s="49" t="str">
        <f aca="false">VLOOKUP(J11,Matches!$B$4:$K$72,9,0)</f>
        <v>Tunisia</v>
      </c>
      <c r="N13" s="48" t="str">
        <f aca="false">VLOOKUP(M11,Matches!$B$4:$K$72,8,0)</f>
        <v>Germany</v>
      </c>
      <c r="O13" s="49" t="str">
        <f aca="false">VLOOKUP(M11,Matches!$B$4:$K$72,9,0)</f>
        <v>Japan</v>
      </c>
      <c r="Q13" s="48" t="str">
        <f aca="false">VLOOKUP(P11,Matches!$B$4:$K$72,8,0)</f>
        <v>Morocco</v>
      </c>
      <c r="R13" s="49" t="str">
        <f aca="false">VLOOKUP(P11,Matches!$B$4:$K$72,9,0)</f>
        <v>Croatia</v>
      </c>
      <c r="T13" s="48" t="str">
        <f aca="false">VLOOKUP(S11,Matches!$B$4:$K$72,8,0)</f>
        <v>Switzerland</v>
      </c>
      <c r="U13" s="49" t="str">
        <f aca="false">VLOOKUP(S11,Matches!$B$4:$K$72,9,0)</f>
        <v>Cameroon</v>
      </c>
      <c r="W13" s="48" t="str">
        <f aca="false">VLOOKUP(V11,Matches!$B$4:$K$72,8,0)</f>
        <v>Uruguay</v>
      </c>
      <c r="X13" s="49" t="str">
        <f aca="false">VLOOKUP(V11,Matches!$B$4:$K$72,9,0)</f>
        <v>South Korea</v>
      </c>
    </row>
    <row r="14" s="11" customFormat="true" ht="15.75" hidden="false" customHeight="false" outlineLevel="0" collapsed="false">
      <c r="B14" s="50"/>
      <c r="C14" s="51"/>
      <c r="E14" s="50"/>
      <c r="F14" s="51"/>
      <c r="H14" s="50"/>
      <c r="I14" s="51"/>
      <c r="K14" s="50"/>
      <c r="L14" s="51"/>
      <c r="N14" s="50"/>
      <c r="O14" s="51"/>
      <c r="Q14" s="50"/>
      <c r="R14" s="51"/>
      <c r="T14" s="50"/>
      <c r="U14" s="51"/>
      <c r="W14" s="50"/>
      <c r="X14" s="51"/>
    </row>
    <row r="15" s="11" customFormat="true" ht="9.75" hidden="false" customHeight="true" outlineLevel="0" collapsed="false">
      <c r="B15" s="52"/>
      <c r="C15" s="52"/>
      <c r="D15" s="44"/>
      <c r="E15" s="52"/>
      <c r="F15" s="52"/>
      <c r="G15" s="44"/>
      <c r="H15" s="52"/>
      <c r="I15" s="52"/>
      <c r="J15" s="44"/>
      <c r="K15" s="52"/>
      <c r="L15" s="52"/>
      <c r="M15" s="44"/>
      <c r="N15" s="52"/>
      <c r="O15" s="52"/>
      <c r="P15" s="44"/>
      <c r="Q15" s="52"/>
      <c r="R15" s="52"/>
      <c r="T15" s="52"/>
      <c r="U15" s="52"/>
      <c r="V15" s="44"/>
      <c r="W15" s="52"/>
      <c r="X15" s="52"/>
    </row>
    <row r="16" s="11" customFormat="true" ht="15" hidden="false" customHeight="false" outlineLevel="0" collapsed="false">
      <c r="A16" s="45" t="n">
        <v>2</v>
      </c>
      <c r="B16" s="46" t="str">
        <f aca="false">VLOOKUP(A16,Matches!$B$4:$K$72,7,0)</f>
        <v>Al Thumama</v>
      </c>
      <c r="C16" s="46"/>
      <c r="D16" s="45" t="n">
        <v>4</v>
      </c>
      <c r="E16" s="46" t="str">
        <f aca="false">VLOOKUP(D16,Matches!$B$4:$K$72,7,0)</f>
        <v>Ahmad Bin Ali</v>
      </c>
      <c r="F16" s="46"/>
      <c r="G16" s="45" t="n">
        <v>7</v>
      </c>
      <c r="H16" s="46" t="str">
        <f aca="false">VLOOKUP(G16,Matches!$B$4:$K$72,7,0)</f>
        <v>Stadium 974</v>
      </c>
      <c r="I16" s="46"/>
      <c r="J16" s="45" t="n">
        <v>5</v>
      </c>
      <c r="K16" s="46" t="str">
        <f aca="false">VLOOKUP(J16,Matches!$B$4:$K$72,7,0)</f>
        <v>Al Janoub</v>
      </c>
      <c r="L16" s="46"/>
      <c r="M16" s="45" t="n">
        <v>10</v>
      </c>
      <c r="N16" s="46" t="str">
        <f aca="false">VLOOKUP(M16,Matches!$B$4:$K$72,7,0)</f>
        <v>Al Thumama</v>
      </c>
      <c r="O16" s="46"/>
      <c r="P16" s="45" t="n">
        <v>9</v>
      </c>
      <c r="Q16" s="46" t="str">
        <f aca="false">VLOOKUP(P16,Matches!$B$4:$K$72,7,0)</f>
        <v>Ahmad Bin Ali</v>
      </c>
      <c r="R16" s="46"/>
      <c r="S16" s="45" t="n">
        <v>16</v>
      </c>
      <c r="T16" s="46" t="str">
        <f aca="false">VLOOKUP(S16,Matches!$B$4:$K$72,7,0)</f>
        <v>Lusail</v>
      </c>
      <c r="U16" s="46"/>
      <c r="V16" s="45" t="n">
        <v>15</v>
      </c>
      <c r="W16" s="46" t="str">
        <f aca="false">VLOOKUP(V16,Matches!$B$4:$K$72,7,0)</f>
        <v>Stadium 974</v>
      </c>
      <c r="X16" s="46"/>
    </row>
    <row r="17" s="11" customFormat="true" ht="15" hidden="false" customHeight="false" outlineLevel="0" collapsed="false">
      <c r="B17" s="47" t="n">
        <f aca="false">VLOOKUP(A16,Matches!$B$4:$K$72,5,0)</f>
        <v>44886.7083333334</v>
      </c>
      <c r="C17" s="47"/>
      <c r="E17" s="47" t="n">
        <f aca="false">VLOOKUP(D16,Matches!$B$4:$K$72,5,0)</f>
        <v>44886.8333333334</v>
      </c>
      <c r="F17" s="47"/>
      <c r="H17" s="47" t="n">
        <f aca="false">VLOOKUP(G16,Matches!$B$4:$K$72,5,0)</f>
        <v>44887.7083333334</v>
      </c>
      <c r="I17" s="47"/>
      <c r="K17" s="47" t="n">
        <f aca="false">VLOOKUP(J16,Matches!$B$4:$K$72,5,0)</f>
        <v>44887.8333333334</v>
      </c>
      <c r="L17" s="47"/>
      <c r="N17" s="47" t="n">
        <f aca="false">VLOOKUP(M16,Matches!$B$4:$K$72,5,0)</f>
        <v>44888.7083333334</v>
      </c>
      <c r="O17" s="47"/>
      <c r="Q17" s="47" t="n">
        <f aca="false">VLOOKUP(P16,Matches!$B$4:$K$72,5,0)</f>
        <v>44888.8333333334</v>
      </c>
      <c r="R17" s="47"/>
      <c r="T17" s="47" t="n">
        <f aca="false">VLOOKUP(S16,Matches!$B$4:$K$72,5,0)</f>
        <v>44889.8333333334</v>
      </c>
      <c r="U17" s="47"/>
      <c r="W17" s="47" t="n">
        <f aca="false">VLOOKUP(V16,Matches!$B$4:$K$72,5,0)</f>
        <v>44889.7083333334</v>
      </c>
      <c r="X17" s="47"/>
    </row>
    <row r="18" s="11" customFormat="true" ht="15" hidden="false" customHeight="false" outlineLevel="0" collapsed="false">
      <c r="B18" s="48" t="str">
        <f aca="false">VLOOKUP(A16,Matches!$B$4:$K$72,8,0)</f>
        <v>Senegal</v>
      </c>
      <c r="C18" s="49" t="str">
        <f aca="false">VLOOKUP(A16,Matches!$B$4:$K$72,9,0)</f>
        <v>Netherlands</v>
      </c>
      <c r="E18" s="48" t="str">
        <f aca="false">VLOOKUP(D16,Matches!$B$4:$K$72,8,0)</f>
        <v>USA</v>
      </c>
      <c r="F18" s="49" t="str">
        <f aca="false">VLOOKUP(D16,Matches!$B$4:$K$72,9,0)</f>
        <v>Wales</v>
      </c>
      <c r="H18" s="48" t="str">
        <f aca="false">VLOOKUP(G16,Matches!$B$4:$K$72,8,0)</f>
        <v>Mexico</v>
      </c>
      <c r="I18" s="49" t="str">
        <f aca="false">VLOOKUP(G16,Matches!$B$4:$K$72,9,0)</f>
        <v>Poland</v>
      </c>
      <c r="K18" s="48" t="str">
        <f aca="false">VLOOKUP(J16,Matches!$B$4:$K$72,8,0)</f>
        <v>France</v>
      </c>
      <c r="L18" s="49" t="str">
        <f aca="false">VLOOKUP(J16,Matches!$B$4:$K$72,9,0)</f>
        <v>Australia</v>
      </c>
      <c r="N18" s="48" t="str">
        <f aca="false">VLOOKUP(M16,Matches!$B$4:$K$72,8,0)</f>
        <v>Spain</v>
      </c>
      <c r="O18" s="49" t="str">
        <f aca="false">VLOOKUP(M16,Matches!$B$4:$K$72,9,0)</f>
        <v>Costa Rica</v>
      </c>
      <c r="Q18" s="48" t="str">
        <f aca="false">VLOOKUP(P16,Matches!$B$4:$K$72,8,0)</f>
        <v>Belgium</v>
      </c>
      <c r="R18" s="49" t="str">
        <f aca="false">VLOOKUP(P16,Matches!$B$4:$K$72,9,0)</f>
        <v>Canada</v>
      </c>
      <c r="T18" s="48" t="str">
        <f aca="false">VLOOKUP(S16,Matches!$B$4:$K$72,8,0)</f>
        <v>Brazil</v>
      </c>
      <c r="U18" s="49" t="str">
        <f aca="false">VLOOKUP(S16,Matches!$B$4:$K$72,9,0)</f>
        <v>Serbia</v>
      </c>
      <c r="W18" s="48" t="str">
        <f aca="false">VLOOKUP(V16,Matches!$B$4:$K$72,8,0)</f>
        <v>Portugal</v>
      </c>
      <c r="X18" s="49" t="str">
        <f aca="false">VLOOKUP(V16,Matches!$B$4:$K$72,9,0)</f>
        <v>Ghana</v>
      </c>
    </row>
    <row r="19" s="11" customFormat="true" ht="15.75" hidden="false" customHeight="false" outlineLevel="0" collapsed="false">
      <c r="B19" s="50"/>
      <c r="C19" s="51"/>
      <c r="E19" s="50"/>
      <c r="F19" s="51"/>
      <c r="H19" s="50"/>
      <c r="I19" s="51"/>
      <c r="K19" s="50"/>
      <c r="L19" s="51"/>
      <c r="N19" s="50"/>
      <c r="O19" s="51"/>
      <c r="Q19" s="50"/>
      <c r="R19" s="51"/>
      <c r="T19" s="50"/>
      <c r="U19" s="51"/>
      <c r="W19" s="50"/>
      <c r="X19" s="51"/>
    </row>
    <row r="20" s="11" customFormat="true" ht="9.75" hidden="false" customHeight="true" outlineLevel="0" collapsed="false">
      <c r="B20" s="52"/>
      <c r="C20" s="52"/>
      <c r="D20" s="44"/>
      <c r="E20" s="52"/>
      <c r="F20" s="52"/>
      <c r="G20" s="44"/>
      <c r="H20" s="52"/>
      <c r="I20" s="52"/>
      <c r="J20" s="44"/>
      <c r="K20" s="52"/>
      <c r="L20" s="52"/>
      <c r="M20" s="44"/>
      <c r="N20" s="52"/>
      <c r="O20" s="52"/>
      <c r="P20" s="44"/>
      <c r="Q20" s="52"/>
      <c r="R20" s="52"/>
      <c r="T20" s="52"/>
      <c r="U20" s="52"/>
      <c r="V20" s="44"/>
      <c r="W20" s="52"/>
      <c r="X20" s="52"/>
    </row>
    <row r="21" s="11" customFormat="true" ht="15" hidden="false" customHeight="false" outlineLevel="0" collapsed="false">
      <c r="A21" s="45" t="n">
        <v>18</v>
      </c>
      <c r="B21" s="46" t="str">
        <f aca="false">VLOOKUP(A21,Matches!$B$4:$K$72,7,0)</f>
        <v>Al Thumama</v>
      </c>
      <c r="C21" s="46"/>
      <c r="D21" s="45" t="n">
        <v>17</v>
      </c>
      <c r="E21" s="46" t="str">
        <f aca="false">VLOOKUP(D21,Matches!$B$4:$K$72,7,0)</f>
        <v>Ahmad Bin Ali</v>
      </c>
      <c r="F21" s="46"/>
      <c r="G21" s="45" t="n">
        <v>22</v>
      </c>
      <c r="H21" s="46" t="str">
        <f aca="false">VLOOKUP(G21,Matches!$B$4:$K$72,7,0)</f>
        <v>Education City</v>
      </c>
      <c r="I21" s="46"/>
      <c r="J21" s="45" t="n">
        <v>21</v>
      </c>
      <c r="K21" s="46" t="str">
        <f aca="false">VLOOKUP(J21,Matches!$B$4:$K$72,7,0)</f>
        <v>Al Janoub</v>
      </c>
      <c r="L21" s="46"/>
      <c r="M21" s="45" t="n">
        <v>25</v>
      </c>
      <c r="N21" s="46" t="str">
        <f aca="false">VLOOKUP(M21,Matches!$B$4:$K$72,7,0)</f>
        <v>Ahmad Bin Ali</v>
      </c>
      <c r="O21" s="46"/>
      <c r="P21" s="45" t="n">
        <v>26</v>
      </c>
      <c r="Q21" s="46" t="str">
        <f aca="false">VLOOKUP(P21,Matches!$B$4:$K$72,7,0)</f>
        <v>Al Thumama</v>
      </c>
      <c r="R21" s="46"/>
      <c r="S21" s="45" t="n">
        <v>29</v>
      </c>
      <c r="T21" s="46" t="str">
        <f aca="false">VLOOKUP(S21,Matches!$B$4:$K$72,7,0)</f>
        <v>Al Janoub</v>
      </c>
      <c r="U21" s="46"/>
      <c r="V21" s="45" t="n">
        <v>30</v>
      </c>
      <c r="W21" s="46" t="str">
        <f aca="false">VLOOKUP(V21,Matches!$B$4:$K$72,7,0)</f>
        <v>Education City</v>
      </c>
      <c r="X21" s="46"/>
    </row>
    <row r="22" s="11" customFormat="true" ht="15" hidden="false" customHeight="false" outlineLevel="0" collapsed="false">
      <c r="B22" s="47" t="n">
        <f aca="false">VLOOKUP(A21,Matches!$B$4:$K$72,5,0)</f>
        <v>44890.5833333334</v>
      </c>
      <c r="C22" s="47"/>
      <c r="E22" s="47" t="n">
        <f aca="false">VLOOKUP(D21,Matches!$B$4:$K$72,5,0)</f>
        <v>44890.4583333334</v>
      </c>
      <c r="F22" s="47"/>
      <c r="H22" s="47" t="n">
        <f aca="false">VLOOKUP(G21,Matches!$B$4:$K$72,5,0)</f>
        <v>44891.5833333334</v>
      </c>
      <c r="I22" s="47"/>
      <c r="K22" s="47" t="n">
        <f aca="false">VLOOKUP(J21,Matches!$B$4:$K$72,5,0)</f>
        <v>44891.4583333334</v>
      </c>
      <c r="L22" s="47"/>
      <c r="N22" s="47" t="n">
        <f aca="false">VLOOKUP(M21,Matches!$B$4:$K$72,5,0)</f>
        <v>44892.4583333334</v>
      </c>
      <c r="O22" s="47"/>
      <c r="Q22" s="47" t="n">
        <f aca="false">VLOOKUP(P21,Matches!$B$4:$K$72,5,0)</f>
        <v>44892.5833333334</v>
      </c>
      <c r="R22" s="47"/>
      <c r="T22" s="47" t="n">
        <f aca="false">VLOOKUP(S21,Matches!$B$4:$K$72,5,0)</f>
        <v>44893.4583333334</v>
      </c>
      <c r="U22" s="47"/>
      <c r="W22" s="47" t="n">
        <f aca="false">VLOOKUP(V21,Matches!$B$4:$K$72,5,0)</f>
        <v>44893.5833333334</v>
      </c>
      <c r="X22" s="47"/>
    </row>
    <row r="23" s="11" customFormat="true" ht="15" hidden="false" customHeight="false" outlineLevel="0" collapsed="false">
      <c r="B23" s="48" t="str">
        <f aca="false">VLOOKUP(A21,Matches!$B$4:$K$72,8,0)</f>
        <v>Qatar</v>
      </c>
      <c r="C23" s="49" t="str">
        <f aca="false">VLOOKUP(A21,Matches!$B$4:$K$72,9,0)</f>
        <v>Senegal</v>
      </c>
      <c r="E23" s="48" t="str">
        <f aca="false">VLOOKUP(D21,Matches!$B$4:$K$72,8,0)</f>
        <v>Wales</v>
      </c>
      <c r="F23" s="49" t="str">
        <f aca="false">VLOOKUP(D21,Matches!$B$4:$K$72,9,0)</f>
        <v>IR Iran</v>
      </c>
      <c r="H23" s="48" t="str">
        <f aca="false">VLOOKUP(G21,Matches!$B$4:$K$72,8,0)</f>
        <v>Poland</v>
      </c>
      <c r="I23" s="49" t="str">
        <f aca="false">VLOOKUP(G21,Matches!$B$4:$K$72,9,0)</f>
        <v>Saudi Arabia</v>
      </c>
      <c r="K23" s="48" t="str">
        <f aca="false">VLOOKUP(J21,Matches!$B$4:$K$72,8,0)</f>
        <v>Tunisia</v>
      </c>
      <c r="L23" s="49" t="str">
        <f aca="false">VLOOKUP(J21,Matches!$B$4:$K$72,9,0)</f>
        <v>Australia</v>
      </c>
      <c r="N23" s="48" t="str">
        <f aca="false">VLOOKUP(M21,Matches!$B$4:$K$72,8,0)</f>
        <v>Japan</v>
      </c>
      <c r="O23" s="49" t="str">
        <f aca="false">VLOOKUP(M21,Matches!$B$4:$K$72,9,0)</f>
        <v>Costa Rica</v>
      </c>
      <c r="Q23" s="48" t="str">
        <f aca="false">VLOOKUP(P21,Matches!$B$4:$K$72,8,0)</f>
        <v>Belgium</v>
      </c>
      <c r="R23" s="49" t="str">
        <f aca="false">VLOOKUP(P21,Matches!$B$4:$K$72,9,0)</f>
        <v>Morocco</v>
      </c>
      <c r="T23" s="48" t="str">
        <f aca="false">VLOOKUP(S21,Matches!$B$4:$K$72,8,0)</f>
        <v>Cameroon</v>
      </c>
      <c r="U23" s="49" t="str">
        <f aca="false">VLOOKUP(S21,Matches!$B$4:$K$72,9,0)</f>
        <v>Serbia</v>
      </c>
      <c r="W23" s="48" t="str">
        <f aca="false">VLOOKUP(V21,Matches!$B$4:$K$72,8,0)</f>
        <v>South Korea</v>
      </c>
      <c r="X23" s="49" t="str">
        <f aca="false">VLOOKUP(V21,Matches!$B$4:$K$72,9,0)</f>
        <v>Ghana</v>
      </c>
    </row>
    <row r="24" s="11" customFormat="true" ht="15.75" hidden="false" customHeight="false" outlineLevel="0" collapsed="false">
      <c r="B24" s="50"/>
      <c r="C24" s="51"/>
      <c r="E24" s="50"/>
      <c r="F24" s="51"/>
      <c r="H24" s="50"/>
      <c r="I24" s="51"/>
      <c r="K24" s="50"/>
      <c r="L24" s="51"/>
      <c r="N24" s="50"/>
      <c r="O24" s="51"/>
      <c r="Q24" s="50"/>
      <c r="R24" s="51"/>
      <c r="T24" s="50"/>
      <c r="U24" s="51"/>
      <c r="W24" s="50"/>
      <c r="X24" s="51"/>
    </row>
    <row r="25" s="11" customFormat="true" ht="9.75" hidden="false" customHeight="true" outlineLevel="0" collapsed="false">
      <c r="B25" s="52"/>
      <c r="C25" s="52"/>
      <c r="D25" s="44"/>
      <c r="E25" s="52"/>
      <c r="F25" s="52"/>
      <c r="G25" s="44"/>
      <c r="H25" s="52"/>
      <c r="I25" s="52"/>
      <c r="J25" s="44"/>
      <c r="K25" s="52"/>
      <c r="L25" s="52"/>
      <c r="M25" s="44"/>
      <c r="N25" s="52"/>
      <c r="O25" s="52"/>
      <c r="P25" s="44"/>
      <c r="Q25" s="52"/>
      <c r="R25" s="52"/>
      <c r="T25" s="52"/>
      <c r="U25" s="52"/>
      <c r="V25" s="44"/>
      <c r="W25" s="52"/>
      <c r="X25" s="52"/>
    </row>
    <row r="26" s="11" customFormat="true" ht="15" hidden="false" customHeight="false" outlineLevel="0" collapsed="false">
      <c r="A26" s="45" t="n">
        <v>19</v>
      </c>
      <c r="B26" s="46" t="str">
        <f aca="false">VLOOKUP(A26,Matches!$B$4:$K$72,7,0)</f>
        <v>Khalifa Internat.</v>
      </c>
      <c r="C26" s="46"/>
      <c r="D26" s="45" t="n">
        <v>20</v>
      </c>
      <c r="E26" s="46" t="str">
        <f aca="false">VLOOKUP(D26,Matches!$B$4:$K$72,7,0)</f>
        <v>Al Bayt</v>
      </c>
      <c r="F26" s="46"/>
      <c r="G26" s="45" t="n">
        <v>24</v>
      </c>
      <c r="H26" s="46" t="str">
        <f aca="false">VLOOKUP(G26,Matches!$B$4:$K$72,7,0)</f>
        <v>Lusail</v>
      </c>
      <c r="I26" s="46"/>
      <c r="J26" s="45" t="n">
        <v>23</v>
      </c>
      <c r="K26" s="46" t="str">
        <f aca="false">VLOOKUP(J26,Matches!$B$4:$K$72,7,0)</f>
        <v>Stadium 974</v>
      </c>
      <c r="L26" s="46"/>
      <c r="M26" s="45" t="n">
        <v>28</v>
      </c>
      <c r="N26" s="46" t="str">
        <f aca="false">VLOOKUP(M26,Matches!$B$4:$K$72,7,0)</f>
        <v>Al Bayt</v>
      </c>
      <c r="O26" s="46"/>
      <c r="P26" s="45" t="n">
        <v>27</v>
      </c>
      <c r="Q26" s="46" t="str">
        <f aca="false">VLOOKUP(P26,Matches!$B$4:$K$72,7,0)</f>
        <v>Khalifa Internat.</v>
      </c>
      <c r="R26" s="46"/>
      <c r="S26" s="45" t="n">
        <v>31</v>
      </c>
      <c r="T26" s="46" t="str">
        <f aca="false">VLOOKUP(S26,Matches!$B$4:$K$72,7,0)</f>
        <v>Stadium 974</v>
      </c>
      <c r="U26" s="46"/>
      <c r="V26" s="45" t="n">
        <v>32</v>
      </c>
      <c r="W26" s="46" t="str">
        <f aca="false">VLOOKUP(V26,Matches!$B$4:$K$72,7,0)</f>
        <v>Lusail</v>
      </c>
      <c r="X26" s="46"/>
    </row>
    <row r="27" s="11" customFormat="true" ht="15" hidden="false" customHeight="false" outlineLevel="0" collapsed="false">
      <c r="B27" s="47" t="n">
        <f aca="false">VLOOKUP(A26,Matches!$B$4:$K$72,5,0)</f>
        <v>44890.7083333334</v>
      </c>
      <c r="C27" s="47"/>
      <c r="E27" s="47" t="n">
        <f aca="false">VLOOKUP(D26,Matches!$B$4:$K$72,5,0)</f>
        <v>44890.8333333334</v>
      </c>
      <c r="F27" s="47"/>
      <c r="H27" s="47" t="n">
        <f aca="false">VLOOKUP(G26,Matches!$B$4:$K$72,5,0)</f>
        <v>44891.8333333334</v>
      </c>
      <c r="I27" s="47"/>
      <c r="K27" s="47" t="n">
        <f aca="false">VLOOKUP(J26,Matches!$B$4:$K$72,5,0)</f>
        <v>44891.7083333334</v>
      </c>
      <c r="L27" s="47"/>
      <c r="N27" s="47" t="n">
        <f aca="false">VLOOKUP(M26,Matches!$B$4:$K$72,5,0)</f>
        <v>44892.8333333334</v>
      </c>
      <c r="O27" s="47"/>
      <c r="Q27" s="47" t="n">
        <f aca="false">VLOOKUP(P26,Matches!$B$4:$K$72,5,0)</f>
        <v>44892.7083333334</v>
      </c>
      <c r="R27" s="47"/>
      <c r="T27" s="47" t="n">
        <f aca="false">VLOOKUP(S26,Matches!$B$4:$K$72,5,0)</f>
        <v>44893.7083333334</v>
      </c>
      <c r="U27" s="47"/>
      <c r="W27" s="47" t="n">
        <f aca="false">VLOOKUP(V26,Matches!$B$4:$K$72,5,0)</f>
        <v>44893.8333333334</v>
      </c>
      <c r="X27" s="47"/>
    </row>
    <row r="28" s="11" customFormat="true" ht="15" hidden="false" customHeight="false" outlineLevel="0" collapsed="false">
      <c r="B28" s="48" t="str">
        <f aca="false">VLOOKUP(A26,Matches!$B$4:$K$72,8,0)</f>
        <v>Netherlands</v>
      </c>
      <c r="C28" s="49" t="str">
        <f aca="false">VLOOKUP(A26,Matches!$B$4:$K$72,9,0)</f>
        <v>Ecuador</v>
      </c>
      <c r="E28" s="48" t="str">
        <f aca="false">VLOOKUP(D26,Matches!$B$4:$K$72,8,0)</f>
        <v>England</v>
      </c>
      <c r="F28" s="49" t="str">
        <f aca="false">VLOOKUP(D26,Matches!$B$4:$K$72,9,0)</f>
        <v>USA</v>
      </c>
      <c r="H28" s="48" t="str">
        <f aca="false">VLOOKUP(G26,Matches!$B$4:$K$72,8,0)</f>
        <v>Argentina</v>
      </c>
      <c r="I28" s="49" t="str">
        <f aca="false">VLOOKUP(G26,Matches!$B$4:$K$72,9,0)</f>
        <v>Mexico</v>
      </c>
      <c r="K28" s="48" t="str">
        <f aca="false">VLOOKUP(J26,Matches!$B$4:$K$72,8,0)</f>
        <v>France</v>
      </c>
      <c r="L28" s="49" t="str">
        <f aca="false">VLOOKUP(J26,Matches!$B$4:$K$72,9,0)</f>
        <v>Denmark</v>
      </c>
      <c r="N28" s="48" t="str">
        <f aca="false">VLOOKUP(M26,Matches!$B$4:$K$72,8,0)</f>
        <v>Spain</v>
      </c>
      <c r="O28" s="49" t="str">
        <f aca="false">VLOOKUP(M26,Matches!$B$4:$K$72,9,0)</f>
        <v>Germany</v>
      </c>
      <c r="Q28" s="48" t="str">
        <f aca="false">VLOOKUP(P26,Matches!$B$4:$K$72,8,0)</f>
        <v>Croatia</v>
      </c>
      <c r="R28" s="49" t="str">
        <f aca="false">VLOOKUP(P26,Matches!$B$4:$K$72,9,0)</f>
        <v>Canada</v>
      </c>
      <c r="T28" s="48" t="str">
        <f aca="false">VLOOKUP(S26,Matches!$B$4:$K$72,8,0)</f>
        <v>Brazil</v>
      </c>
      <c r="U28" s="49" t="str">
        <f aca="false">VLOOKUP(S26,Matches!$B$4:$K$72,9,0)</f>
        <v>Switzerland</v>
      </c>
      <c r="W28" s="48" t="str">
        <f aca="false">VLOOKUP(V26,Matches!$B$4:$K$72,8,0)</f>
        <v>Portugal</v>
      </c>
      <c r="X28" s="49" t="str">
        <f aca="false">VLOOKUP(V26,Matches!$B$4:$K$72,9,0)</f>
        <v>Uruguay</v>
      </c>
    </row>
    <row r="29" s="11" customFormat="true" ht="15.75" hidden="false" customHeight="false" outlineLevel="0" collapsed="false">
      <c r="B29" s="50"/>
      <c r="C29" s="51"/>
      <c r="E29" s="50"/>
      <c r="F29" s="51"/>
      <c r="H29" s="50"/>
      <c r="I29" s="51"/>
      <c r="K29" s="50"/>
      <c r="L29" s="51"/>
      <c r="N29" s="50"/>
      <c r="O29" s="51"/>
      <c r="Q29" s="50"/>
      <c r="R29" s="51"/>
      <c r="T29" s="50"/>
      <c r="U29" s="51"/>
      <c r="W29" s="50"/>
      <c r="X29" s="51"/>
    </row>
    <row r="30" s="11" customFormat="true" ht="9.75" hidden="false" customHeight="true" outlineLevel="0" collapsed="false">
      <c r="B30" s="52"/>
      <c r="C30" s="52"/>
      <c r="D30" s="44"/>
      <c r="E30" s="52"/>
      <c r="F30" s="52"/>
      <c r="G30" s="44"/>
      <c r="H30" s="52"/>
      <c r="I30" s="52"/>
      <c r="J30" s="44"/>
      <c r="K30" s="52"/>
      <c r="L30" s="52"/>
      <c r="M30" s="44"/>
      <c r="N30" s="52"/>
      <c r="O30" s="52"/>
      <c r="P30" s="44"/>
      <c r="Q30" s="52"/>
      <c r="R30" s="52"/>
      <c r="T30" s="52"/>
      <c r="U30" s="52"/>
      <c r="V30" s="44"/>
      <c r="W30" s="52"/>
      <c r="X30" s="52"/>
    </row>
    <row r="31" s="11" customFormat="true" ht="15" hidden="false" customHeight="false" outlineLevel="0" collapsed="false">
      <c r="A31" s="45" t="n">
        <v>35</v>
      </c>
      <c r="B31" s="46" t="str">
        <f aca="false">VLOOKUP(A31,Matches!$B$4:$K$72,7,0)</f>
        <v>Khalifa Internat.</v>
      </c>
      <c r="C31" s="46"/>
      <c r="D31" s="45" t="n">
        <v>33</v>
      </c>
      <c r="E31" s="46" t="str">
        <f aca="false">VLOOKUP(D31,Matches!$B$4:$K$72,7,0)</f>
        <v>Ahmad Bin Ali</v>
      </c>
      <c r="F31" s="46"/>
      <c r="G31" s="45" t="n">
        <v>39</v>
      </c>
      <c r="H31" s="46" t="str">
        <f aca="false">VLOOKUP(G31,Matches!$B$4:$K$72,7,0)</f>
        <v>Stadium 974</v>
      </c>
      <c r="I31" s="46"/>
      <c r="J31" s="45" t="n">
        <v>37</v>
      </c>
      <c r="K31" s="46" t="str">
        <f aca="false">VLOOKUP(J31,Matches!$B$4:$K$72,7,0)</f>
        <v>Al Janoub</v>
      </c>
      <c r="L31" s="46"/>
      <c r="M31" s="45" t="n">
        <v>43</v>
      </c>
      <c r="N31" s="46" t="str">
        <f aca="false">VLOOKUP(M31,Matches!$B$4:$K$72,7,0)</f>
        <v>Khalifa Internat.</v>
      </c>
      <c r="O31" s="46"/>
      <c r="P31" s="45" t="n">
        <v>41</v>
      </c>
      <c r="Q31" s="46" t="str">
        <f aca="false">VLOOKUP(P31,Matches!$B$4:$K$72,7,0)</f>
        <v>Ahmad Bin Ali</v>
      </c>
      <c r="R31" s="46"/>
      <c r="S31" s="45" t="n">
        <v>47</v>
      </c>
      <c r="T31" s="46" t="str">
        <f aca="false">VLOOKUP(S31,Matches!$B$4:$K$72,7,0)</f>
        <v>Stadium 974</v>
      </c>
      <c r="U31" s="46"/>
      <c r="V31" s="45" t="n">
        <v>45</v>
      </c>
      <c r="W31" s="46" t="str">
        <f aca="false">VLOOKUP(V31,Matches!$B$4:$K$72,7,0)</f>
        <v>Al Janoub</v>
      </c>
      <c r="X31" s="46"/>
    </row>
    <row r="32" s="11" customFormat="true" ht="15" hidden="false" customHeight="false" outlineLevel="0" collapsed="false">
      <c r="B32" s="47" t="n">
        <f aca="false">VLOOKUP(A31,Matches!$B$4:$K$72,5,0)</f>
        <v>44894.6666666667</v>
      </c>
      <c r="C32" s="47"/>
      <c r="E32" s="47" t="n">
        <f aca="false">VLOOKUP(D31,Matches!$B$4:$K$72,5,0)</f>
        <v>44894.8333333334</v>
      </c>
      <c r="F32" s="47"/>
      <c r="H32" s="47" t="n">
        <f aca="false">VLOOKUP(G31,Matches!$B$4:$K$72,5,0)</f>
        <v>44895.8333333334</v>
      </c>
      <c r="I32" s="47"/>
      <c r="K32" s="47" t="n">
        <f aca="false">VLOOKUP(J31,Matches!$B$4:$K$72,5,0)</f>
        <v>44895.6666666667</v>
      </c>
      <c r="L32" s="47"/>
      <c r="N32" s="47" t="n">
        <f aca="false">VLOOKUP(M31,Matches!$B$4:$K$72,5,0)</f>
        <v>44896.8333333334</v>
      </c>
      <c r="O32" s="47"/>
      <c r="Q32" s="47" t="n">
        <f aca="false">VLOOKUP(P31,Matches!$B$4:$K$72,5,0)</f>
        <v>44896.6666666667</v>
      </c>
      <c r="R32" s="47"/>
      <c r="T32" s="47" t="n">
        <f aca="false">VLOOKUP(S31,Matches!$B$4:$K$72,5,0)</f>
        <v>44897.8333333334</v>
      </c>
      <c r="U32" s="47"/>
      <c r="W32" s="47" t="n">
        <f aca="false">VLOOKUP(V31,Matches!$B$4:$K$72,5,0)</f>
        <v>44897.6666666667</v>
      </c>
      <c r="X32" s="47"/>
    </row>
    <row r="33" s="11" customFormat="true" ht="15" hidden="false" customHeight="false" outlineLevel="0" collapsed="false">
      <c r="B33" s="48" t="str">
        <f aca="false">VLOOKUP(A31,Matches!$B$4:$K$72,8,0)</f>
        <v>Ecuador</v>
      </c>
      <c r="C33" s="49" t="str">
        <f aca="false">VLOOKUP(A31,Matches!$B$4:$K$72,9,0)</f>
        <v>Senegal</v>
      </c>
      <c r="E33" s="48" t="str">
        <f aca="false">VLOOKUP(D31,Matches!$B$4:$K$72,8,0)</f>
        <v>Wales</v>
      </c>
      <c r="F33" s="49" t="str">
        <f aca="false">VLOOKUP(D31,Matches!$B$4:$K$72,9,0)</f>
        <v>England</v>
      </c>
      <c r="H33" s="48" t="str">
        <f aca="false">VLOOKUP(G31,Matches!$B$4:$K$72,8,0)</f>
        <v>Poland</v>
      </c>
      <c r="I33" s="49" t="str">
        <f aca="false">VLOOKUP(G31,Matches!$B$4:$K$72,9,0)</f>
        <v>Argentina</v>
      </c>
      <c r="K33" s="48" t="str">
        <f aca="false">VLOOKUP(J31,Matches!$B$4:$K$72,8,0)</f>
        <v>Australia</v>
      </c>
      <c r="L33" s="49" t="str">
        <f aca="false">VLOOKUP(J31,Matches!$B$4:$K$72,9,0)</f>
        <v>Denmark</v>
      </c>
      <c r="N33" s="48" t="str">
        <f aca="false">VLOOKUP(M31,Matches!$B$4:$K$72,8,0)</f>
        <v>Japan</v>
      </c>
      <c r="O33" s="49" t="str">
        <f aca="false">VLOOKUP(M31,Matches!$B$4:$K$72,9,0)</f>
        <v>Spain</v>
      </c>
      <c r="Q33" s="48" t="str">
        <f aca="false">VLOOKUP(P31,Matches!$B$4:$K$72,8,0)</f>
        <v>Croatia</v>
      </c>
      <c r="R33" s="49" t="str">
        <f aca="false">VLOOKUP(P31,Matches!$B$4:$K$72,9,0)</f>
        <v>Belgium</v>
      </c>
      <c r="T33" s="48" t="str">
        <f aca="false">VLOOKUP(S31,Matches!$B$4:$K$72,8,0)</f>
        <v>Serbia</v>
      </c>
      <c r="U33" s="49" t="str">
        <f aca="false">VLOOKUP(S31,Matches!$B$4:$K$72,9,0)</f>
        <v>Switzerland</v>
      </c>
      <c r="W33" s="48" t="str">
        <f aca="false">VLOOKUP(V31,Matches!$B$4:$K$72,8,0)</f>
        <v>Ghana</v>
      </c>
      <c r="X33" s="49" t="str">
        <f aca="false">VLOOKUP(V31,Matches!$B$4:$K$72,9,0)</f>
        <v>Uruguay</v>
      </c>
    </row>
    <row r="34" s="11" customFormat="true" ht="15.75" hidden="false" customHeight="false" outlineLevel="0" collapsed="false">
      <c r="B34" s="50"/>
      <c r="C34" s="51"/>
      <c r="E34" s="50"/>
      <c r="F34" s="51"/>
      <c r="H34" s="50"/>
      <c r="I34" s="51"/>
      <c r="K34" s="50"/>
      <c r="L34" s="51"/>
      <c r="N34" s="50"/>
      <c r="O34" s="51"/>
      <c r="Q34" s="50"/>
      <c r="R34" s="51"/>
      <c r="T34" s="50"/>
      <c r="U34" s="51"/>
      <c r="W34" s="50"/>
      <c r="X34" s="51"/>
    </row>
    <row r="35" s="11" customFormat="true" ht="9.75" hidden="false" customHeight="true" outlineLevel="0" collapsed="false">
      <c r="B35" s="52"/>
      <c r="C35" s="52"/>
      <c r="D35" s="44"/>
      <c r="E35" s="52"/>
      <c r="F35" s="52"/>
      <c r="G35" s="44"/>
      <c r="H35" s="52"/>
      <c r="I35" s="52"/>
      <c r="J35" s="44"/>
      <c r="K35" s="52"/>
      <c r="L35" s="52"/>
      <c r="M35" s="44"/>
      <c r="N35" s="52"/>
      <c r="O35" s="52"/>
      <c r="P35" s="44"/>
      <c r="Q35" s="52"/>
      <c r="R35" s="52"/>
      <c r="T35" s="52"/>
      <c r="U35" s="52"/>
      <c r="V35" s="44"/>
      <c r="W35" s="52"/>
      <c r="X35" s="52"/>
    </row>
    <row r="36" s="11" customFormat="true" ht="15" hidden="false" customHeight="false" outlineLevel="0" collapsed="false">
      <c r="A36" s="45" t="n">
        <v>36</v>
      </c>
      <c r="B36" s="46" t="str">
        <f aca="false">VLOOKUP(A36,Matches!$B$4:$K$72,7,0)</f>
        <v>Al Bayt</v>
      </c>
      <c r="C36" s="46"/>
      <c r="D36" s="45" t="n">
        <v>34</v>
      </c>
      <c r="E36" s="46" t="str">
        <f aca="false">VLOOKUP(D36,Matches!$B$4:$K$72,7,0)</f>
        <v>Al Thumama</v>
      </c>
      <c r="F36" s="46"/>
      <c r="G36" s="45" t="n">
        <v>40</v>
      </c>
      <c r="H36" s="46" t="str">
        <f aca="false">VLOOKUP(G36,Matches!$B$4:$K$72,7,0)</f>
        <v>Lusail</v>
      </c>
      <c r="I36" s="46"/>
      <c r="J36" s="45" t="n">
        <v>38</v>
      </c>
      <c r="K36" s="46" t="str">
        <f aca="false">VLOOKUP(J36,Matches!$B$4:$K$72,7,0)</f>
        <v>Education City</v>
      </c>
      <c r="L36" s="46"/>
      <c r="M36" s="45" t="n">
        <v>44</v>
      </c>
      <c r="N36" s="46" t="str">
        <f aca="false">VLOOKUP(M36,Matches!$B$4:$K$72,7,0)</f>
        <v>Al Bayt</v>
      </c>
      <c r="O36" s="46"/>
      <c r="P36" s="45" t="n">
        <v>42</v>
      </c>
      <c r="Q36" s="46" t="str">
        <f aca="false">VLOOKUP(P36,Matches!$B$4:$K$72,7,0)</f>
        <v>Al Thumama</v>
      </c>
      <c r="R36" s="46"/>
      <c r="S36" s="45" t="n">
        <v>48</v>
      </c>
      <c r="T36" s="46" t="str">
        <f aca="false">VLOOKUP(S36,Matches!$B$4:$K$72,7,0)</f>
        <v>Lusail</v>
      </c>
      <c r="U36" s="46"/>
      <c r="V36" s="45" t="n">
        <v>46</v>
      </c>
      <c r="W36" s="46" t="str">
        <f aca="false">VLOOKUP(V36,Matches!$B$4:$K$72,7,0)</f>
        <v>Education City</v>
      </c>
      <c r="X36" s="46"/>
    </row>
    <row r="37" s="11" customFormat="true" ht="15" hidden="false" customHeight="false" outlineLevel="0" collapsed="false">
      <c r="B37" s="47" t="n">
        <f aca="false">VLOOKUP(A36,Matches!$B$4:$K$72,5,0)</f>
        <v>44894.6666666667</v>
      </c>
      <c r="C37" s="47"/>
      <c r="E37" s="47" t="n">
        <f aca="false">VLOOKUP(D36,Matches!$B$4:$K$72,5,0)</f>
        <v>44894.8333333334</v>
      </c>
      <c r="F37" s="47"/>
      <c r="H37" s="47" t="n">
        <f aca="false">VLOOKUP(G36,Matches!$B$4:$K$72,5,0)</f>
        <v>44895.8333333334</v>
      </c>
      <c r="I37" s="47"/>
      <c r="K37" s="47" t="n">
        <f aca="false">VLOOKUP(J36,Matches!$B$4:$K$72,5,0)</f>
        <v>44895.6666666667</v>
      </c>
      <c r="L37" s="47"/>
      <c r="N37" s="47" t="n">
        <f aca="false">VLOOKUP(M36,Matches!$B$4:$K$72,5,0)</f>
        <v>44896.8333333334</v>
      </c>
      <c r="O37" s="47"/>
      <c r="Q37" s="47" t="n">
        <f aca="false">VLOOKUP(P36,Matches!$B$4:$K$72,5,0)</f>
        <v>44896.6666666667</v>
      </c>
      <c r="R37" s="47"/>
      <c r="T37" s="47" t="n">
        <f aca="false">VLOOKUP(S36,Matches!$B$4:$K$72,5,0)</f>
        <v>44897.8333333334</v>
      </c>
      <c r="U37" s="47"/>
      <c r="W37" s="47" t="n">
        <f aca="false">VLOOKUP(V36,Matches!$B$4:$K$72,5,0)</f>
        <v>44897.6666666667</v>
      </c>
      <c r="X37" s="47"/>
    </row>
    <row r="38" s="11" customFormat="true" ht="15" hidden="false" customHeight="false" outlineLevel="0" collapsed="false">
      <c r="B38" s="48" t="str">
        <f aca="false">VLOOKUP(A36,Matches!$B$4:$K$72,8,0)</f>
        <v>Netherlands</v>
      </c>
      <c r="C38" s="49" t="str">
        <f aca="false">VLOOKUP(A36,Matches!$B$4:$K$72,9,0)</f>
        <v>Qatar</v>
      </c>
      <c r="E38" s="48" t="str">
        <f aca="false">VLOOKUP(D36,Matches!$B$4:$K$72,8,0)</f>
        <v>IR Iran</v>
      </c>
      <c r="F38" s="49" t="str">
        <f aca="false">VLOOKUP(D36,Matches!$B$4:$K$72,9,0)</f>
        <v>USA</v>
      </c>
      <c r="H38" s="48" t="str">
        <f aca="false">VLOOKUP(G36,Matches!$B$4:$K$72,8,0)</f>
        <v>Saudi Arabia</v>
      </c>
      <c r="I38" s="49" t="str">
        <f aca="false">VLOOKUP(G36,Matches!$B$4:$K$72,9,0)</f>
        <v>Mexico</v>
      </c>
      <c r="K38" s="48" t="str">
        <f aca="false">VLOOKUP(J36,Matches!$B$4:$K$72,8,0)</f>
        <v>Tunisia</v>
      </c>
      <c r="L38" s="49" t="str">
        <f aca="false">VLOOKUP(J36,Matches!$B$4:$K$72,9,0)</f>
        <v>France</v>
      </c>
      <c r="N38" s="48" t="str">
        <f aca="false">VLOOKUP(M36,Matches!$B$4:$K$72,8,0)</f>
        <v>Costa Rica</v>
      </c>
      <c r="O38" s="49" t="str">
        <f aca="false">VLOOKUP(M36,Matches!$B$4:$K$72,9,0)</f>
        <v>Germany</v>
      </c>
      <c r="Q38" s="48" t="str">
        <f aca="false">VLOOKUP(P36,Matches!$B$4:$K$72,8,0)</f>
        <v>Canada</v>
      </c>
      <c r="R38" s="49" t="str">
        <f aca="false">VLOOKUP(P36,Matches!$B$4:$K$72,9,0)</f>
        <v>Morocco</v>
      </c>
      <c r="T38" s="48" t="str">
        <f aca="false">VLOOKUP(S36,Matches!$B$4:$K$72,8,0)</f>
        <v>Cameroon</v>
      </c>
      <c r="U38" s="49" t="str">
        <f aca="false">VLOOKUP(S36,Matches!$B$4:$K$72,9,0)</f>
        <v>Brazil</v>
      </c>
      <c r="W38" s="48" t="str">
        <f aca="false">VLOOKUP(V36,Matches!$B$4:$K$72,8,0)</f>
        <v>South Korea</v>
      </c>
      <c r="X38" s="49" t="str">
        <f aca="false">VLOOKUP(V36,Matches!$B$4:$K$72,9,0)</f>
        <v>Portugal</v>
      </c>
    </row>
    <row r="39" s="11" customFormat="true" ht="15.75" hidden="false" customHeight="false" outlineLevel="0" collapsed="false">
      <c r="B39" s="50"/>
      <c r="C39" s="51"/>
      <c r="E39" s="50"/>
      <c r="F39" s="51"/>
      <c r="H39" s="50"/>
      <c r="I39" s="51"/>
      <c r="K39" s="50"/>
      <c r="L39" s="51"/>
      <c r="N39" s="50"/>
      <c r="O39" s="51"/>
      <c r="Q39" s="50"/>
      <c r="R39" s="51"/>
      <c r="T39" s="50"/>
      <c r="U39" s="51"/>
      <c r="W39" s="50"/>
      <c r="X39" s="51"/>
    </row>
    <row r="40" s="11" customFormat="true" ht="13.5" hidden="false" customHeight="true" outlineLevel="0" collapsed="false">
      <c r="T40" s="53"/>
      <c r="U40" s="54"/>
      <c r="V40" s="44"/>
      <c r="W40" s="44"/>
      <c r="X40" s="44"/>
    </row>
    <row r="41" s="11" customFormat="true" ht="15" hidden="false" customHeight="false" outlineLevel="0" collapsed="false">
      <c r="B41" s="55" t="str">
        <f aca="false">Language!$E$134</f>
        <v>Final table</v>
      </c>
      <c r="C41" s="55"/>
      <c r="E41" s="55" t="str">
        <f aca="false">Language!$E$134</f>
        <v>Final table</v>
      </c>
      <c r="F41" s="55"/>
      <c r="H41" s="55" t="str">
        <f aca="false">Language!$E$134</f>
        <v>Final table</v>
      </c>
      <c r="I41" s="55"/>
      <c r="K41" s="55" t="str">
        <f aca="false">Language!$E$134</f>
        <v>Final table</v>
      </c>
      <c r="L41" s="55"/>
      <c r="N41" s="55" t="str">
        <f aca="false">Language!$E$134</f>
        <v>Final table</v>
      </c>
      <c r="O41" s="55"/>
      <c r="Q41" s="55" t="str">
        <f aca="false">Language!$E$134</f>
        <v>Final table</v>
      </c>
      <c r="R41" s="55"/>
      <c r="T41" s="55" t="str">
        <f aca="false">Language!$E$134</f>
        <v>Final table</v>
      </c>
      <c r="U41" s="55"/>
      <c r="V41" s="56"/>
      <c r="W41" s="55" t="str">
        <f aca="false">Language!$E$134</f>
        <v>Final table</v>
      </c>
      <c r="X41" s="55"/>
    </row>
    <row r="42" s="11" customFormat="true" ht="15" hidden="false" customHeight="false" outlineLevel="0" collapsed="false">
      <c r="A42" s="57" t="s">
        <v>17</v>
      </c>
      <c r="B42" s="58" t="str">
        <f aca="false">IF(GrpA!$K$10&gt;0,GrpA!$O11,"")</f>
        <v/>
      </c>
      <c r="C42" s="58"/>
      <c r="D42" s="57" t="s">
        <v>18</v>
      </c>
      <c r="E42" s="58" t="str">
        <f aca="false">IF(GrpB!$K$10&gt;0,GrpB!$O11,"")</f>
        <v/>
      </c>
      <c r="F42" s="58"/>
      <c r="G42" s="57" t="s">
        <v>19</v>
      </c>
      <c r="H42" s="58" t="str">
        <f aca="false">IF(GrpC!$K$10&gt;0,GrpC!$O11,"")</f>
        <v/>
      </c>
      <c r="I42" s="58"/>
      <c r="J42" s="57" t="s">
        <v>20</v>
      </c>
      <c r="K42" s="58" t="str">
        <f aca="false">IF(GrpD!$K$10&gt;0,GrpD!$O11,"")</f>
        <v/>
      </c>
      <c r="L42" s="58"/>
      <c r="M42" s="57" t="s">
        <v>21</v>
      </c>
      <c r="N42" s="58" t="str">
        <f aca="false">IF(GrpE!$K$10&gt;0,GrpE!$O11,"")</f>
        <v/>
      </c>
      <c r="O42" s="58"/>
      <c r="P42" s="57" t="s">
        <v>22</v>
      </c>
      <c r="Q42" s="58" t="str">
        <f aca="false">IF(GrpF!$K$10&gt;0,GrpF!$O11,"")</f>
        <v/>
      </c>
      <c r="R42" s="58"/>
      <c r="S42" s="57" t="s">
        <v>23</v>
      </c>
      <c r="T42" s="58" t="str">
        <f aca="false">IF(GrpG!$K$10&gt;0,GrpG!$O11,"")</f>
        <v/>
      </c>
      <c r="U42" s="58"/>
      <c r="V42" s="57" t="s">
        <v>24</v>
      </c>
      <c r="W42" s="58" t="str">
        <f aca="false">IF(GrpH!$K$10&gt;0,GrpH!$O11,"")</f>
        <v/>
      </c>
      <c r="X42" s="58"/>
      <c r="Z42" s="59"/>
    </row>
    <row r="43" s="11" customFormat="true" ht="15" hidden="false" customHeight="false" outlineLevel="0" collapsed="false">
      <c r="A43" s="57" t="s">
        <v>25</v>
      </c>
      <c r="B43" s="58" t="str">
        <f aca="false">IF(GrpA!$K$10&gt;0,GrpA!$O12,"")</f>
        <v/>
      </c>
      <c r="C43" s="58"/>
      <c r="D43" s="57" t="s">
        <v>26</v>
      </c>
      <c r="E43" s="58" t="str">
        <f aca="false">IF(GrpB!$K$10&gt;0,GrpB!$O12,"")</f>
        <v/>
      </c>
      <c r="F43" s="58"/>
      <c r="G43" s="57" t="s">
        <v>27</v>
      </c>
      <c r="H43" s="58" t="str">
        <f aca="false">IF(GrpC!$K$10&gt;0,GrpC!$O12,"")</f>
        <v/>
      </c>
      <c r="I43" s="58"/>
      <c r="J43" s="57" t="s">
        <v>28</v>
      </c>
      <c r="K43" s="58" t="str">
        <f aca="false">IF(GrpD!$K$10&gt;0,GrpD!$O12,"")</f>
        <v/>
      </c>
      <c r="L43" s="58"/>
      <c r="M43" s="57" t="s">
        <v>29</v>
      </c>
      <c r="N43" s="58" t="str">
        <f aca="false">IF(GrpE!$K$10&gt;0,GrpE!$O12,"")</f>
        <v/>
      </c>
      <c r="O43" s="58"/>
      <c r="P43" s="57" t="s">
        <v>30</v>
      </c>
      <c r="Q43" s="58" t="str">
        <f aca="false">IF(GrpF!$K$10&gt;0,GrpF!$O12,"")</f>
        <v/>
      </c>
      <c r="R43" s="58"/>
      <c r="S43" s="57" t="s">
        <v>31</v>
      </c>
      <c r="T43" s="58" t="str">
        <f aca="false">IF(GrpG!$K$10&gt;0,GrpG!$O12,"")</f>
        <v/>
      </c>
      <c r="U43" s="58"/>
      <c r="V43" s="57" t="s">
        <v>32</v>
      </c>
      <c r="W43" s="58" t="str">
        <f aca="false">IF(GrpH!$K$10&gt;0,GrpH!$O12,"")</f>
        <v/>
      </c>
      <c r="X43" s="58"/>
      <c r="Z43" s="59"/>
    </row>
    <row r="44" s="11" customFormat="true" ht="15" hidden="false" customHeight="false" outlineLevel="0" collapsed="false">
      <c r="A44" s="60" t="s">
        <v>33</v>
      </c>
      <c r="B44" s="61" t="str">
        <f aca="false">IF(GrpA!$K$10&gt;0,GrpA!$O13,"")</f>
        <v/>
      </c>
      <c r="C44" s="61"/>
      <c r="D44" s="60" t="s">
        <v>34</v>
      </c>
      <c r="E44" s="61" t="str">
        <f aca="false">IF(GrpB!$K$10&gt;0,GrpB!$O13,"")</f>
        <v/>
      </c>
      <c r="F44" s="61"/>
      <c r="G44" s="60" t="s">
        <v>35</v>
      </c>
      <c r="H44" s="61" t="str">
        <f aca="false">IF(GrpC!$K$10&gt;0,GrpC!$O13,"")</f>
        <v/>
      </c>
      <c r="I44" s="61"/>
      <c r="J44" s="60" t="s">
        <v>36</v>
      </c>
      <c r="K44" s="61" t="str">
        <f aca="false">IF(GrpD!$K$10&gt;0,GrpD!$O13,"")</f>
        <v/>
      </c>
      <c r="L44" s="61"/>
      <c r="M44" s="60" t="s">
        <v>37</v>
      </c>
      <c r="N44" s="61" t="str">
        <f aca="false">IF(GrpE!$K$10&gt;0,GrpE!$O13,"")</f>
        <v/>
      </c>
      <c r="O44" s="61"/>
      <c r="P44" s="60" t="s">
        <v>38</v>
      </c>
      <c r="Q44" s="61" t="str">
        <f aca="false">IF(GrpF!$K$10&gt;0,GrpF!$O13,"")</f>
        <v/>
      </c>
      <c r="R44" s="61"/>
      <c r="S44" s="60" t="s">
        <v>39</v>
      </c>
      <c r="T44" s="61" t="str">
        <f aca="false">IF(GrpG!$K$10&gt;0,GrpG!$O13,"")</f>
        <v/>
      </c>
      <c r="U44" s="61"/>
      <c r="V44" s="60" t="s">
        <v>40</v>
      </c>
      <c r="W44" s="61" t="str">
        <f aca="false">IF(GrpH!$K$10&gt;0,GrpH!$O13,"")</f>
        <v/>
      </c>
      <c r="X44" s="61"/>
      <c r="Z44" s="59"/>
    </row>
    <row r="45" s="11" customFormat="true" ht="15" hidden="false" customHeight="false" outlineLevel="0" collapsed="false">
      <c r="A45" s="60" t="s">
        <v>41</v>
      </c>
      <c r="B45" s="61" t="str">
        <f aca="false">IF(GrpA!$K$10&gt;0,GrpA!$O14,"")</f>
        <v/>
      </c>
      <c r="C45" s="61"/>
      <c r="D45" s="60" t="s">
        <v>42</v>
      </c>
      <c r="E45" s="61" t="str">
        <f aca="false">IF(GrpB!$K$10&gt;0,GrpB!$O14,"")</f>
        <v/>
      </c>
      <c r="F45" s="61"/>
      <c r="G45" s="60" t="s">
        <v>43</v>
      </c>
      <c r="H45" s="61" t="str">
        <f aca="false">IF(GrpC!$K$10&gt;0,GrpC!$O14,"")</f>
        <v/>
      </c>
      <c r="I45" s="61"/>
      <c r="J45" s="60" t="s">
        <v>44</v>
      </c>
      <c r="K45" s="61" t="str">
        <f aca="false">IF(GrpD!$K$10&gt;0,GrpD!$O14,"")</f>
        <v/>
      </c>
      <c r="L45" s="61"/>
      <c r="M45" s="60" t="s">
        <v>45</v>
      </c>
      <c r="N45" s="61" t="str">
        <f aca="false">IF(GrpE!$K$10&gt;0,GrpE!$O14,"")</f>
        <v/>
      </c>
      <c r="O45" s="61"/>
      <c r="P45" s="60" t="s">
        <v>46</v>
      </c>
      <c r="Q45" s="61" t="str">
        <f aca="false">IF(GrpF!$K$10&gt;0,GrpF!$O14,"")</f>
        <v/>
      </c>
      <c r="R45" s="61"/>
      <c r="S45" s="60" t="s">
        <v>47</v>
      </c>
      <c r="T45" s="61" t="str">
        <f aca="false">IF(GrpG!$K$10&gt;0,GrpG!$O14,"")</f>
        <v/>
      </c>
      <c r="U45" s="61"/>
      <c r="V45" s="60" t="s">
        <v>48</v>
      </c>
      <c r="W45" s="61" t="str">
        <f aca="false">IF(GrpH!$K$10&gt;0,GrpH!$O14,"")</f>
        <v/>
      </c>
      <c r="X45" s="61"/>
      <c r="Z45" s="59"/>
    </row>
    <row r="46" s="11" customFormat="true" ht="35.25" hidden="false" customHeight="true" outlineLevel="0" collapsed="false">
      <c r="Z46" s="59"/>
    </row>
    <row r="47" s="11" customFormat="true" ht="16.5" hidden="false" customHeight="false" outlineLevel="0" collapsed="false">
      <c r="B47" s="62" t="str">
        <f aca="false">VLOOKUP(VLOOKUP(A48,Matches!$B$53:$K$60,10,0),Language!$D$136:$E$143,2,0)</f>
        <v>Round of 16 - 1</v>
      </c>
      <c r="C47" s="62"/>
      <c r="E47" s="62" t="str">
        <f aca="false">VLOOKUP(VLOOKUP(D48,Matches!$B$53:$K$60,10,0),Language!$D$136:$E$143,2,0)</f>
        <v>Round of 16 - 2</v>
      </c>
      <c r="F47" s="62"/>
      <c r="H47" s="62" t="str">
        <f aca="false">VLOOKUP(VLOOKUP(G48,Matches!$B$53:$K$60,10,0),Language!$D$136:$E$143,2,0)</f>
        <v>Round of 16 - 5</v>
      </c>
      <c r="I47" s="62"/>
      <c r="K47" s="62" t="str">
        <f aca="false">VLOOKUP(VLOOKUP(J48,Matches!$B$53:$K$60,10,0),Language!$D$136:$E$143,2,0)</f>
        <v>Round of 16 - 6</v>
      </c>
      <c r="L47" s="62"/>
      <c r="N47" s="62" t="str">
        <f aca="false">VLOOKUP(VLOOKUP(M48,Matches!$B$53:$K$60,10,0),Language!$D$136:$E$143,2,0)</f>
        <v>Round of 16 - 4</v>
      </c>
      <c r="O47" s="62"/>
      <c r="Q47" s="62" t="str">
        <f aca="false">VLOOKUP(VLOOKUP(P48,Matches!$B$53:$K$60,10,0),Language!$D$136:$E$143,2,0)</f>
        <v>Round of 16 - 3</v>
      </c>
      <c r="R47" s="62"/>
      <c r="T47" s="62" t="str">
        <f aca="false">VLOOKUP(VLOOKUP(S48,Matches!$B$53:$K$60,10,0),Language!$D$136:$E$143,2,0)</f>
        <v>Round of 16 - 7</v>
      </c>
      <c r="U47" s="62"/>
      <c r="W47" s="62" t="str">
        <f aca="false">VLOOKUP(VLOOKUP(V48,Matches!$B$53:$K$60,10,0),Language!$D$136:$E$143,2,0)</f>
        <v>Round of 16 - 8</v>
      </c>
      <c r="X47" s="62"/>
      <c r="Z47" s="59"/>
    </row>
    <row r="48" s="11" customFormat="true" ht="15" hidden="false" customHeight="false" outlineLevel="0" collapsed="false">
      <c r="A48" s="45" t="n">
        <f aca="false">RIGHT($C$64,2)*1</f>
        <v>49</v>
      </c>
      <c r="B48" s="46" t="str">
        <f aca="false">VLOOKUP(A48,Matches!$B$4:$K$72,7,0)</f>
        <v>Khalifa Internat.</v>
      </c>
      <c r="C48" s="46"/>
      <c r="D48" s="45" t="n">
        <f aca="false">RIGHT($E$64,2)*1</f>
        <v>50</v>
      </c>
      <c r="E48" s="46" t="str">
        <f aca="false">VLOOKUP(D48,Matches!$B$4:$K$72,7,0)</f>
        <v>Ahmad Bin Ali</v>
      </c>
      <c r="F48" s="46"/>
      <c r="G48" s="45" t="n">
        <f aca="false">RIGHT($I$64,2)*1</f>
        <v>53</v>
      </c>
      <c r="H48" s="46" t="str">
        <f aca="false">VLOOKUP(G48,Matches!$B$4:$K$72,7,0)</f>
        <v>Al Janoub</v>
      </c>
      <c r="I48" s="46"/>
      <c r="J48" s="45" t="n">
        <f aca="false">RIGHT($K$64,2)*1</f>
        <v>54</v>
      </c>
      <c r="K48" s="46" t="str">
        <f aca="false">VLOOKUP(J48,Matches!$B$4:$K$72,7,0)</f>
        <v>Stadium 974</v>
      </c>
      <c r="L48" s="46"/>
      <c r="M48" s="45" t="n">
        <f aca="false">RIGHT($O$64,2)*1</f>
        <v>51</v>
      </c>
      <c r="N48" s="46" t="str">
        <f aca="false">VLOOKUP(M48,Matches!$B$4:$K$72,7,0)</f>
        <v>Al Bayt</v>
      </c>
      <c r="O48" s="46"/>
      <c r="P48" s="45" t="n">
        <f aca="false">RIGHT($Q$64,2)*1</f>
        <v>52</v>
      </c>
      <c r="Q48" s="46" t="str">
        <f aca="false">VLOOKUP(P48,Matches!$B$4:$K$72,7,0)</f>
        <v>Al Thumama</v>
      </c>
      <c r="R48" s="46"/>
      <c r="S48" s="45" t="n">
        <f aca="false">RIGHT($U$64,2)*1</f>
        <v>55</v>
      </c>
      <c r="T48" s="46" t="str">
        <f aca="false">VLOOKUP(S48,Matches!$B$4:$K$72,7,0)</f>
        <v>Education City</v>
      </c>
      <c r="U48" s="46"/>
      <c r="V48" s="45" t="n">
        <f aca="false">RIGHT($W$64,2)*1</f>
        <v>56</v>
      </c>
      <c r="W48" s="46" t="str">
        <f aca="false">VLOOKUP(V48,Matches!$B$4:$K$72,7,0)</f>
        <v>Lusail</v>
      </c>
      <c r="X48" s="46"/>
      <c r="Z48" s="59"/>
    </row>
    <row r="49" s="11" customFormat="true" ht="15" hidden="false" customHeight="false" outlineLevel="0" collapsed="false">
      <c r="B49" s="47" t="n">
        <f aca="false">VLOOKUP(A48,Matches!$B$4:$K$72,5,0)</f>
        <v>44898.6666666667</v>
      </c>
      <c r="C49" s="47"/>
      <c r="E49" s="47" t="n">
        <f aca="false">VLOOKUP(D48,Matches!$B$4:$K$72,5,0)</f>
        <v>44898.8333333334</v>
      </c>
      <c r="F49" s="47"/>
      <c r="H49" s="47" t="n">
        <f aca="false">VLOOKUP(G48,Matches!$B$4:$K$72,5,0)</f>
        <v>44900.6666666667</v>
      </c>
      <c r="I49" s="47"/>
      <c r="K49" s="47" t="n">
        <f aca="false">VLOOKUP(J48,Matches!$B$4:$K$72,5,0)</f>
        <v>44900.8333333334</v>
      </c>
      <c r="L49" s="47"/>
      <c r="N49" s="47" t="n">
        <f aca="false">VLOOKUP(M48,Matches!$B$4:$K$72,5,0)</f>
        <v>44899.8333333334</v>
      </c>
      <c r="O49" s="47"/>
      <c r="Q49" s="47" t="n">
        <f aca="false">VLOOKUP(P48,Matches!$B$4:$K$72,5,0)</f>
        <v>44899.6666666667</v>
      </c>
      <c r="R49" s="47"/>
      <c r="T49" s="47" t="n">
        <f aca="false">VLOOKUP(S48,Matches!$B$4:$K$72,5,0)</f>
        <v>44901.6666666667</v>
      </c>
      <c r="U49" s="47"/>
      <c r="V49" s="63"/>
      <c r="W49" s="47" t="n">
        <f aca="false">VLOOKUP(V48,Matches!$B$4:$K$72,5,0)</f>
        <v>44901.8333333334</v>
      </c>
      <c r="X49" s="47"/>
    </row>
    <row r="50" s="11" customFormat="true" ht="15" hidden="false" customHeight="false" outlineLevel="0" collapsed="false">
      <c r="B50" s="48" t="str">
        <f aca="false">VLOOKUP(A48,Matches!$B$4:$K$72,8,0)</f>
        <v/>
      </c>
      <c r="C50" s="49" t="str">
        <f aca="false">VLOOKUP(A48,Matches!$B$4:$K$72,9,0)</f>
        <v/>
      </c>
      <c r="E50" s="48" t="str">
        <f aca="false">VLOOKUP(D48,Matches!$B$4:$K$72,8,0)</f>
        <v/>
      </c>
      <c r="F50" s="49" t="str">
        <f aca="false">VLOOKUP(D48,Matches!$B$4:$K$72,9,0)</f>
        <v/>
      </c>
      <c r="H50" s="48" t="str">
        <f aca="false">VLOOKUP(G48,Matches!$B$4:$K$72,8,0)</f>
        <v/>
      </c>
      <c r="I50" s="49" t="str">
        <f aca="false">VLOOKUP(G48,Matches!$B$4:$K$72,9,0)</f>
        <v/>
      </c>
      <c r="K50" s="48" t="str">
        <f aca="false">VLOOKUP(J48,Matches!$B$4:$K$72,8,0)</f>
        <v/>
      </c>
      <c r="L50" s="49" t="str">
        <f aca="false">VLOOKUP(J48,Matches!$B$4:$K$72,9,0)</f>
        <v/>
      </c>
      <c r="N50" s="48" t="str">
        <f aca="false">VLOOKUP(M48,Matches!$B$4:$K$72,8,0)</f>
        <v/>
      </c>
      <c r="O50" s="49" t="str">
        <f aca="false">VLOOKUP(M48,Matches!$B$4:$K$72,9,0)</f>
        <v/>
      </c>
      <c r="Q50" s="48" t="str">
        <f aca="false">VLOOKUP(P48,Matches!$B$4:$K$72,8,0)</f>
        <v/>
      </c>
      <c r="R50" s="49" t="str">
        <f aca="false">VLOOKUP(P48,Matches!$B$4:$K$72,9,0)</f>
        <v/>
      </c>
      <c r="T50" s="48" t="str">
        <f aca="false">VLOOKUP(S48,Matches!$B$4:$K$72,8,0)</f>
        <v/>
      </c>
      <c r="U50" s="49" t="str">
        <f aca="false">VLOOKUP(S48,Matches!$B$4:$K$72,9,0)</f>
        <v/>
      </c>
      <c r="W50" s="48" t="str">
        <f aca="false">VLOOKUP(V48,Matches!$B$4:$K$72,8,0)</f>
        <v/>
      </c>
      <c r="X50" s="49" t="str">
        <f aca="false">VLOOKUP(V48,Matches!$B$4:$K$72,9,0)</f>
        <v/>
      </c>
    </row>
    <row r="51" s="11" customFormat="true" ht="15.75" hidden="false" customHeight="false" outlineLevel="0" collapsed="false">
      <c r="B51" s="50"/>
      <c r="C51" s="51"/>
      <c r="D51" s="64"/>
      <c r="E51" s="50"/>
      <c r="F51" s="51"/>
      <c r="G51" s="64"/>
      <c r="H51" s="50"/>
      <c r="I51" s="51"/>
      <c r="J51" s="64"/>
      <c r="K51" s="50"/>
      <c r="L51" s="51"/>
      <c r="M51" s="64"/>
      <c r="N51" s="50"/>
      <c r="O51" s="51"/>
      <c r="P51" s="64"/>
      <c r="Q51" s="50"/>
      <c r="R51" s="51"/>
      <c r="S51" s="64"/>
      <c r="T51" s="50"/>
      <c r="U51" s="51"/>
      <c r="V51" s="64"/>
      <c r="W51" s="50"/>
      <c r="X51" s="51"/>
      <c r="Y51" s="64"/>
    </row>
    <row r="52" s="11" customFormat="true" ht="9.75" hidden="false" customHeight="true" outlineLevel="0" collapsed="false">
      <c r="B52" s="65" t="str">
        <f aca="false">Language!$E$153</f>
        <v>Penalty shoot-out:</v>
      </c>
      <c r="C52" s="65"/>
      <c r="E52" s="65" t="str">
        <f aca="false">Language!$E$153</f>
        <v>Penalty shoot-out:</v>
      </c>
      <c r="F52" s="65"/>
      <c r="H52" s="65" t="str">
        <f aca="false">Language!$E$153</f>
        <v>Penalty shoot-out:</v>
      </c>
      <c r="I52" s="65"/>
      <c r="K52" s="65" t="str">
        <f aca="false">Language!$E$153</f>
        <v>Penalty shoot-out:</v>
      </c>
      <c r="L52" s="65"/>
      <c r="N52" s="65" t="str">
        <f aca="false">Language!$E$153</f>
        <v>Penalty shoot-out:</v>
      </c>
      <c r="O52" s="65"/>
      <c r="Q52" s="65" t="str">
        <f aca="false">Language!$E$153</f>
        <v>Penalty shoot-out:</v>
      </c>
      <c r="R52" s="65"/>
      <c r="T52" s="65" t="str">
        <f aca="false">Language!$E$153</f>
        <v>Penalty shoot-out:</v>
      </c>
      <c r="U52" s="65"/>
      <c r="W52" s="65" t="str">
        <f aca="false">Language!$E$153</f>
        <v>Penalty shoot-out:</v>
      </c>
      <c r="X52" s="65"/>
    </row>
    <row r="53" s="11" customFormat="true" ht="15.75" hidden="false" customHeight="false" outlineLevel="0" collapsed="false">
      <c r="B53" s="66"/>
      <c r="C53" s="67"/>
      <c r="E53" s="66"/>
      <c r="F53" s="67"/>
      <c r="H53" s="66"/>
      <c r="I53" s="67"/>
      <c r="K53" s="66"/>
      <c r="L53" s="67"/>
      <c r="N53" s="66"/>
      <c r="O53" s="67"/>
      <c r="Q53" s="66"/>
      <c r="R53" s="67"/>
      <c r="T53" s="66"/>
      <c r="U53" s="67"/>
      <c r="W53" s="66"/>
      <c r="X53" s="67"/>
    </row>
    <row r="54" s="68" customFormat="true" ht="12" hidden="false" customHeight="false" outlineLevel="0" collapsed="false">
      <c r="B54" s="69" t="str">
        <f aca="false">VLOOKUP(A48,Matches!$B$4:$K$72,2,0)</f>
        <v>1A</v>
      </c>
      <c r="C54" s="70" t="str">
        <f aca="false">VLOOKUP(A48,Matches!$B$4:$K$72,3,0)</f>
        <v>2B</v>
      </c>
      <c r="D54" s="70"/>
      <c r="E54" s="69" t="str">
        <f aca="false">VLOOKUP(D48,Matches!$B$4:$K$72,2,0)</f>
        <v>1C</v>
      </c>
      <c r="F54" s="70" t="str">
        <f aca="false">VLOOKUP(D48,Matches!$B$4:$K$72,3,0)</f>
        <v>2D</v>
      </c>
      <c r="G54" s="70"/>
      <c r="H54" s="69" t="str">
        <f aca="false">VLOOKUP(G48,Matches!$B$4:$K$72,2,0)</f>
        <v>1E</v>
      </c>
      <c r="I54" s="70" t="str">
        <f aca="false">VLOOKUP(G48,Matches!$B$4:$K$72,3,0)</f>
        <v>2F</v>
      </c>
      <c r="J54" s="70"/>
      <c r="K54" s="69" t="str">
        <f aca="false">VLOOKUP(J48,Matches!$B$4:$K$72,2,0)</f>
        <v>1G</v>
      </c>
      <c r="L54" s="70" t="str">
        <f aca="false">VLOOKUP(J48,Matches!$B$4:$K$72,3,0)</f>
        <v>2H</v>
      </c>
      <c r="M54" s="70"/>
      <c r="N54" s="69" t="str">
        <f aca="false">VLOOKUP(M48,Matches!$B$4:$K$72,2,0)</f>
        <v>1B</v>
      </c>
      <c r="O54" s="70" t="str">
        <f aca="false">VLOOKUP(M48,Matches!$B$4:$K$72,3,0)</f>
        <v>2A</v>
      </c>
      <c r="P54" s="70"/>
      <c r="Q54" s="69" t="str">
        <f aca="false">VLOOKUP(P48,Matches!$B$4:$K$72,2,0)</f>
        <v>1D</v>
      </c>
      <c r="R54" s="70" t="str">
        <f aca="false">VLOOKUP(P48,Matches!$B$4:$K$72,3,0)</f>
        <v>2C</v>
      </c>
      <c r="S54" s="70"/>
      <c r="T54" s="69" t="str">
        <f aca="false">VLOOKUP(S48,Matches!$B$4:$K$72,2,0)</f>
        <v>1F</v>
      </c>
      <c r="U54" s="70" t="str">
        <f aca="false">VLOOKUP(S48,Matches!$B$4:$K$72,3,0)</f>
        <v>2E</v>
      </c>
      <c r="V54" s="70"/>
      <c r="W54" s="69" t="str">
        <f aca="false">VLOOKUP(V48,Matches!$B$4:$K$72,2,0)</f>
        <v>1H</v>
      </c>
      <c r="X54" s="70" t="str">
        <f aca="false">VLOOKUP(V48,Matches!$B$4:$K$72,3,0)</f>
        <v>2G</v>
      </c>
    </row>
    <row r="55" s="68" customFormat="true" ht="12" hidden="false" customHeight="false" outlineLevel="0" collapsed="false">
      <c r="B55" s="71" t="str">
        <f aca="false">IF(AND(B51&lt;&gt;"",C51&lt;&gt;"",B51=C51,B53&lt;&gt;"",C53&lt;&gt;"",B53=C53),Language!$E$159,"")</f>
        <v/>
      </c>
      <c r="C55" s="71"/>
      <c r="D55" s="70"/>
      <c r="E55" s="71" t="str">
        <f aca="false">IF(AND(E51&lt;&gt;"",F51&lt;&gt;"",E51=F51,E53&lt;&gt;"",F53&lt;&gt;"",E53=F53),Language!$E$159,"")</f>
        <v/>
      </c>
      <c r="F55" s="71"/>
      <c r="G55" s="70"/>
      <c r="H55" s="71" t="str">
        <f aca="false">IF(AND(H51&lt;&gt;"",I51&lt;&gt;"",H51=I51,H53&lt;&gt;"",I53&lt;&gt;"",H53=I53),Language!$E$159,"")</f>
        <v/>
      </c>
      <c r="I55" s="71"/>
      <c r="J55" s="70"/>
      <c r="K55" s="71" t="str">
        <f aca="false">IF(AND(K51&lt;&gt;"",L51&lt;&gt;"",K51=L51,K53&lt;&gt;"",L53&lt;&gt;"",K53=L53),Language!$E$159,"")</f>
        <v/>
      </c>
      <c r="L55" s="71"/>
      <c r="M55" s="70"/>
      <c r="N55" s="71" t="str">
        <f aca="false">IF(AND(N51&lt;&gt;"",O51&lt;&gt;"",N51=O51,N53&lt;&gt;"",O53&lt;&gt;"",N53=O53),Language!$E$159,"")</f>
        <v/>
      </c>
      <c r="O55" s="71"/>
      <c r="P55" s="70"/>
      <c r="Q55" s="71" t="str">
        <f aca="false">IF(AND(Q51&lt;&gt;"",R51&lt;&gt;"",Q51=R51,Q53&lt;&gt;"",R53&lt;&gt;"",Q53=R53),Language!$E$159,"")</f>
        <v/>
      </c>
      <c r="R55" s="71"/>
      <c r="S55" s="70"/>
      <c r="T55" s="71" t="str">
        <f aca="false">IF(AND(T51&lt;&gt;"",U51&lt;&gt;"",T51=U51,T53&lt;&gt;"",U53&lt;&gt;"",T53=U53),Language!$E$159,"")</f>
        <v/>
      </c>
      <c r="U55" s="71"/>
      <c r="V55" s="70"/>
      <c r="W55" s="71" t="str">
        <f aca="false">IF(AND(W51&lt;&gt;"",X51&lt;&gt;"",W51=X51,W53&lt;&gt;"",X53&lt;&gt;"",W53=X53),Language!$E$159,"")</f>
        <v/>
      </c>
      <c r="X55" s="71"/>
    </row>
    <row r="56" s="11" customFormat="true" ht="15" hidden="false" customHeight="false" outlineLevel="0" collapsed="false">
      <c r="B56" s="44"/>
      <c r="C56" s="72"/>
      <c r="E56" s="72"/>
      <c r="F56" s="44"/>
      <c r="H56" s="44"/>
      <c r="L56" s="44"/>
      <c r="N56" s="44"/>
      <c r="R56" s="44"/>
      <c r="T56" s="44"/>
      <c r="X56" s="44"/>
    </row>
    <row r="57" s="11" customFormat="true" ht="15.75" hidden="false" customHeight="true" outlineLevel="0" collapsed="false">
      <c r="B57" s="44"/>
      <c r="C57" s="73" t="str">
        <f aca="false">VLOOKUP(VLOOKUP(B58,Matches!$B$62:$K$65,10,0),Language!$D$144:$E$147,2,0)</f>
        <v>Quarter final 2</v>
      </c>
      <c r="D57" s="73"/>
      <c r="E57" s="73"/>
      <c r="F57" s="44"/>
      <c r="H57" s="44"/>
      <c r="I57" s="73" t="str">
        <f aca="false">VLOOKUP(VLOOKUP(H58,Matches!$B$62:$K$65,10,0),Language!$D$144:$E$147,2,0)</f>
        <v>Quarter final 1</v>
      </c>
      <c r="J57" s="73"/>
      <c r="K57" s="73"/>
      <c r="L57" s="44"/>
      <c r="N57" s="44"/>
      <c r="O57" s="73" t="str">
        <f aca="false">VLOOKUP(VLOOKUP(N58,Matches!$B$62:$K$65,10,0),Language!$D$144:$E$147,2,0)</f>
        <v>Quarter final 4</v>
      </c>
      <c r="P57" s="73"/>
      <c r="Q57" s="73"/>
      <c r="R57" s="44"/>
      <c r="T57" s="44"/>
      <c r="U57" s="73" t="str">
        <f aca="false">VLOOKUP(VLOOKUP(T58,Matches!$B$62:$K$65,10,0),Language!$D$144:$E$147,2,0)</f>
        <v>Quarter final 3</v>
      </c>
      <c r="V57" s="73"/>
      <c r="W57" s="73"/>
      <c r="X57" s="44"/>
    </row>
    <row r="58" s="11" customFormat="true" ht="15.75" hidden="false" customHeight="true" outlineLevel="0" collapsed="false">
      <c r="B58" s="45" t="n">
        <f aca="false">RIGHT($F$74,2)*1</f>
        <v>57</v>
      </c>
      <c r="C58" s="74" t="str">
        <f aca="false">VLOOKUP(B58,Matches!$B$4:$K$72,7,0)</f>
        <v>Lusail</v>
      </c>
      <c r="D58" s="74"/>
      <c r="E58" s="74"/>
      <c r="H58" s="45" t="n">
        <f aca="false">RIGHT($H$74,2)*1</f>
        <v>58</v>
      </c>
      <c r="I58" s="74" t="str">
        <f aca="false">VLOOKUP(H58,Matches!$B$4:$K$72,7,0)</f>
        <v>Education City</v>
      </c>
      <c r="J58" s="74"/>
      <c r="K58" s="74"/>
      <c r="N58" s="45" t="n">
        <f aca="false">RIGHT($R$74,2)*1</f>
        <v>59</v>
      </c>
      <c r="O58" s="74" t="str">
        <f aca="false">VLOOKUP(N58,Matches!$B$4:$K$72,7,0)</f>
        <v>Al Bayt</v>
      </c>
      <c r="P58" s="74"/>
      <c r="Q58" s="74"/>
      <c r="T58" s="45" t="n">
        <f aca="false">RIGHT($T$74,2)*1</f>
        <v>60</v>
      </c>
      <c r="U58" s="74" t="str">
        <f aca="false">VLOOKUP(T58,Matches!$B$4:$K$72,7,0)</f>
        <v>Al Thumama</v>
      </c>
      <c r="V58" s="74"/>
      <c r="W58" s="74"/>
    </row>
    <row r="59" s="11" customFormat="true" ht="15" hidden="false" customHeight="false" outlineLevel="0" collapsed="false">
      <c r="C59" s="47" t="n">
        <f aca="false">VLOOKUP(B58,Matches!$B$4:$K$72,5,0)</f>
        <v>44904.8333333334</v>
      </c>
      <c r="D59" s="47"/>
      <c r="E59" s="47"/>
      <c r="I59" s="47" t="n">
        <f aca="false">VLOOKUP(H58,Matches!$B$4:$K$72,5,0)</f>
        <v>44904.6666666667</v>
      </c>
      <c r="J59" s="47"/>
      <c r="K59" s="47"/>
      <c r="O59" s="47" t="n">
        <f aca="false">VLOOKUP(N58,Matches!$B$4:$K$72,5,0)</f>
        <v>44905.8333333334</v>
      </c>
      <c r="P59" s="47"/>
      <c r="Q59" s="47"/>
      <c r="U59" s="47" t="n">
        <f aca="false">VLOOKUP(T58,Matches!$B$4:$K$72,5,0)</f>
        <v>44905.6666666667</v>
      </c>
      <c r="V59" s="47"/>
      <c r="W59" s="47"/>
    </row>
    <row r="60" s="11" customFormat="true" ht="15" hidden="false" customHeight="false" outlineLevel="0" collapsed="false">
      <c r="C60" s="75" t="str">
        <f aca="false">IF(AND(B51&lt;&gt;"",C51&lt;&gt;""),IF(B51&gt;C51,B50,IF(B51&lt;C51,C50,IF(AND(B53&lt;&gt;"",C53&lt;&gt;""),IF(B53&gt;C53,B50,IF(B53&lt;C53,C50,"")),""))),"")</f>
        <v/>
      </c>
      <c r="D60" s="44"/>
      <c r="E60" s="76" t="str">
        <f aca="false">IF(AND(E51&lt;&gt;"",F51&lt;&gt;""),IF(E51&gt;F51,E50,IF(E51&lt;F51,F50,IF(AND(E53&lt;&gt;"",F53&lt;&gt;""),IF(E53&gt;F53,E50,IF(E53&lt;F53,F50,"")),""))),"")</f>
        <v/>
      </c>
      <c r="I60" s="75" t="str">
        <f aca="false">IF(AND(H51&lt;&gt;"",I51&lt;&gt;""),IF(H51&gt;I51,H50,IF(H51&lt;I51,I50,IF(AND(H53&lt;&gt;"",I53&lt;&gt;""),IF(H53&gt;I53,H50,IF(H53&lt;I53,I50,"")),""))),"")</f>
        <v/>
      </c>
      <c r="J60" s="44"/>
      <c r="K60" s="76" t="str">
        <f aca="false">IF(AND(K51&lt;&gt;"",L51&lt;&gt;""),IF(K51&gt;L51,K50,IF(K51&lt;L51,L50,IF(AND(K53&lt;&gt;"",L53&lt;&gt;""),IF(K53&gt;L53,K50,IF(K53&lt;L53,L50,"")),""))),"")</f>
        <v/>
      </c>
      <c r="O60" s="75" t="str">
        <f aca="false">IF(AND(N51&lt;&gt;"",O51&lt;&gt;""),IF(N51&gt;O51,N50,IF(N51&lt;O51,O50,IF(AND(N53&lt;&gt;"",O53&lt;&gt;""),IF(N53&gt;O53,N50,IF(N53&lt;O53,O50,"")),""))),"")</f>
        <v/>
      </c>
      <c r="P60" s="44"/>
      <c r="Q60" s="76" t="str">
        <f aca="false">IF(AND(Q51&lt;&gt;"",R51&lt;&gt;""),IF(Q51&gt;R51,Q50,IF(Q51&lt;R51,R50,IF(AND(Q53&lt;&gt;"",R53&lt;&gt;""),IF(Q53&gt;R53,Q50,IF(Q53&lt;R53,R50,"")),""))),"")</f>
        <v/>
      </c>
      <c r="U60" s="75" t="str">
        <f aca="false">IF(AND(T51&lt;&gt;"",U51&lt;&gt;""),IF(T51&gt;U51,T50,IF(T51&lt;U51,U50,IF(AND(T53&lt;&gt;"",U53&lt;&gt;""),IF(T53&gt;U53,T50,IF(T53&lt;U53,U50,"")),""))),"")</f>
        <v/>
      </c>
      <c r="V60" s="44"/>
      <c r="W60" s="76" t="str">
        <f aca="false">IF(AND(W51&lt;&gt;"",X51&lt;&gt;""),IF(W51&gt;X51,W50,IF(W51&lt;X51,X50,IF(AND(W53&lt;&gt;"",X53&lt;&gt;""),IF(W53&gt;X53,W50,IF(W53&lt;X53,X50,"")),""))),"")</f>
        <v/>
      </c>
    </row>
    <row r="61" s="11" customFormat="true" ht="15.75" hidden="false" customHeight="false" outlineLevel="0" collapsed="false">
      <c r="C61" s="50"/>
      <c r="D61" s="77"/>
      <c r="E61" s="78"/>
      <c r="F61" s="79"/>
      <c r="I61" s="50"/>
      <c r="J61" s="77"/>
      <c r="K61" s="78"/>
      <c r="L61" s="79"/>
      <c r="O61" s="50"/>
      <c r="P61" s="77"/>
      <c r="Q61" s="78"/>
      <c r="R61" s="79"/>
      <c r="U61" s="50"/>
      <c r="V61" s="77"/>
      <c r="W61" s="78"/>
      <c r="X61" s="79"/>
    </row>
    <row r="62" s="11" customFormat="true" ht="9.75" hidden="false" customHeight="true" outlineLevel="0" collapsed="false">
      <c r="C62" s="80" t="str">
        <f aca="false">Language!$E$153</f>
        <v>Penalty shoot-out:</v>
      </c>
      <c r="D62" s="80"/>
      <c r="E62" s="80"/>
      <c r="I62" s="80" t="str">
        <f aca="false">Language!$E$153</f>
        <v>Penalty shoot-out:</v>
      </c>
      <c r="J62" s="80"/>
      <c r="K62" s="80"/>
      <c r="O62" s="80" t="str">
        <f aca="false">Language!$E$153</f>
        <v>Penalty shoot-out:</v>
      </c>
      <c r="P62" s="80"/>
      <c r="Q62" s="80"/>
      <c r="U62" s="80" t="str">
        <f aca="false">Language!$E$153</f>
        <v>Penalty shoot-out:</v>
      </c>
      <c r="V62" s="80"/>
      <c r="W62" s="80"/>
    </row>
    <row r="63" s="11" customFormat="true" ht="15.75" hidden="false" customHeight="false" outlineLevel="0" collapsed="false">
      <c r="C63" s="81"/>
      <c r="D63" s="77"/>
      <c r="E63" s="82"/>
      <c r="I63" s="81"/>
      <c r="J63" s="77"/>
      <c r="K63" s="82"/>
      <c r="O63" s="81"/>
      <c r="P63" s="77"/>
      <c r="Q63" s="82"/>
      <c r="U63" s="81"/>
      <c r="V63" s="77"/>
      <c r="W63" s="82"/>
    </row>
    <row r="64" s="68" customFormat="true" ht="15" hidden="false" customHeight="false" outlineLevel="0" collapsed="false">
      <c r="C64" s="70" t="str">
        <f aca="false">VLOOKUP(B58,Matches!$B$62:$K$72,2,0)</f>
        <v>W49</v>
      </c>
      <c r="D64" s="83"/>
      <c r="E64" s="70" t="str">
        <f aca="false">VLOOKUP(B58,Matches!$B$62:$K$72,3,0)</f>
        <v>W50</v>
      </c>
      <c r="F64" s="84"/>
      <c r="G64" s="84"/>
      <c r="H64" s="84"/>
      <c r="I64" s="70" t="str">
        <f aca="false">VLOOKUP(H58,Matches!$B$62:$K$72,2,0)</f>
        <v>W53</v>
      </c>
      <c r="J64" s="83"/>
      <c r="K64" s="70" t="str">
        <f aca="false">VLOOKUP(H58,Matches!$B$62:$K$72,3,0)</f>
        <v>W54</v>
      </c>
      <c r="L64" s="84"/>
      <c r="M64" s="84"/>
      <c r="N64" s="84"/>
      <c r="O64" s="70" t="str">
        <f aca="false">VLOOKUP(N58,Matches!$B$62:$K$72,2,0)</f>
        <v>W51</v>
      </c>
      <c r="P64" s="11"/>
      <c r="Q64" s="70" t="str">
        <f aca="false">VLOOKUP(N58,Matches!$B$62:$K$72,3,0)</f>
        <v>W52</v>
      </c>
      <c r="R64" s="84"/>
      <c r="S64" s="84"/>
      <c r="T64" s="84"/>
      <c r="U64" s="70" t="str">
        <f aca="false">VLOOKUP(T58,Matches!$B$62:$K$72,2,0)</f>
        <v>W55</v>
      </c>
      <c r="V64" s="83"/>
      <c r="W64" s="70" t="str">
        <f aca="false">VLOOKUP(T58,Matches!$B$62:$K$72,3,0)</f>
        <v>W56</v>
      </c>
    </row>
    <row r="65" s="11" customFormat="true" ht="12" hidden="false" customHeight="true" outlineLevel="0" collapsed="false">
      <c r="C65" s="85" t="str">
        <f aca="false">IF(AND(C61&lt;&gt;"",E61&lt;&gt;"",C61=E61,C63&lt;&gt;"",E63&lt;&gt;"",C63=E63),Language!$E$159,"")</f>
        <v/>
      </c>
      <c r="D65" s="85"/>
      <c r="E65" s="85"/>
      <c r="I65" s="85" t="str">
        <f aca="false">IF(AND(I61&lt;&gt;"",K61&lt;&gt;"",I61=K61,I63&lt;&gt;"",K63&lt;&gt;"",I63=K63),Language!$E$159,"")</f>
        <v/>
      </c>
      <c r="J65" s="85"/>
      <c r="K65" s="85"/>
      <c r="O65" s="85" t="str">
        <f aca="false">IF(AND(O61&lt;&gt;"",Q61&lt;&gt;"",O61=Q61,O63&lt;&gt;"",Q63&lt;&gt;"",O63=Q63),Language!$E$159,"")</f>
        <v/>
      </c>
      <c r="P65" s="85"/>
      <c r="Q65" s="85"/>
      <c r="U65" s="85" t="str">
        <f aca="false">IF(AND(U61&lt;&gt;"",W61&lt;&gt;"",U61=W61,U63&lt;&gt;"",W63&lt;&gt;"",U63=W63),Language!$E$159,"")</f>
        <v/>
      </c>
      <c r="V65" s="85"/>
      <c r="W65" s="85"/>
    </row>
    <row r="66" s="11" customFormat="true" ht="15" hidden="false" customHeight="false" outlineLevel="0" collapsed="false"/>
    <row r="67" s="11" customFormat="true" ht="15.75" hidden="false" customHeight="false" outlineLevel="0" collapsed="false">
      <c r="F67" s="73" t="str">
        <f aca="false">VLOOKUP(E68,Matches!$B$62:$K$72,10,0)</f>
        <v>Semi-Final 1</v>
      </c>
      <c r="G67" s="73"/>
      <c r="H67" s="73"/>
      <c r="R67" s="73" t="str">
        <f aca="false">VLOOKUP(Q68,Matches!$B$62:$K$72,10,0)</f>
        <v>Semi-Final 2</v>
      </c>
      <c r="S67" s="73"/>
      <c r="T67" s="73"/>
    </row>
    <row r="68" s="11" customFormat="true" ht="15" hidden="false" customHeight="false" outlineLevel="0" collapsed="false">
      <c r="E68" s="45" t="n">
        <f aca="false">RIGHT($L$92,2)*1</f>
        <v>61</v>
      </c>
      <c r="F68" s="74" t="str">
        <f aca="false">VLOOKUP(E68,Matches!$B$4:$K$72,7,0)</f>
        <v>Lusail</v>
      </c>
      <c r="G68" s="74"/>
      <c r="H68" s="74"/>
      <c r="Q68" s="45" t="n">
        <f aca="false">RIGHT($N$92,2)*1</f>
        <v>62</v>
      </c>
      <c r="R68" s="74" t="str">
        <f aca="false">VLOOKUP(Q68,Matches!$B$4:$K$72,7,0)</f>
        <v>Al Bayt</v>
      </c>
      <c r="S68" s="74"/>
      <c r="T68" s="74"/>
    </row>
    <row r="69" s="11" customFormat="true" ht="15.75" hidden="false" customHeight="false" outlineLevel="0" collapsed="false">
      <c r="F69" s="47" t="n">
        <f aca="false">VLOOKUP(E68,Matches!$B$4:$K$72,5,0)</f>
        <v>44908.8333333334</v>
      </c>
      <c r="G69" s="47"/>
      <c r="H69" s="47"/>
      <c r="L69" s="86"/>
      <c r="M69" s="86"/>
      <c r="R69" s="47" t="n">
        <f aca="false">VLOOKUP(Q68,Matches!$B$4:$K$72,5,0)</f>
        <v>44909.8333333334</v>
      </c>
      <c r="S69" s="47"/>
      <c r="T69" s="47"/>
    </row>
    <row r="70" s="11" customFormat="true" ht="15" hidden="false" customHeight="false" outlineLevel="0" collapsed="false">
      <c r="F70" s="75" t="str">
        <f aca="false">IF(AND(C61&lt;&gt;"",E61&lt;&gt;""),IF(C61&gt;E61,C60,IF(C61&lt;E61,E60,IF(AND(C63&lt;&gt;"",E63&lt;&gt;""),IF(C63&gt;E63,C60,IF(C63&lt;E63,E60,"")),""))),"")</f>
        <v/>
      </c>
      <c r="G70" s="44"/>
      <c r="H70" s="76" t="str">
        <f aca="false">IF(AND(I61&lt;&gt;"",K61&lt;&gt;""),IF(I61&gt;K61,I60,IF(I61&lt;K61,K60,IF(AND(I63&lt;&gt;"",K63&lt;&gt;""),IF(I63&gt;K63,I60,IF(I63&lt;K63,K60,"")),""))),"")</f>
        <v/>
      </c>
      <c r="L70" s="87"/>
      <c r="M70" s="87"/>
      <c r="R70" s="75" t="str">
        <f aca="false">IF(AND(O61&lt;&gt;"",Q61&lt;&gt;""),IF(O61&gt;Q61,O60,IF(O61&lt;Q61,Q60,IF(AND(O63&lt;&gt;"",Q63&lt;&gt;""),IF(O63&gt;Q63,O60,IF(O63&lt;Q63,Q60,"")),""))),"")</f>
        <v/>
      </c>
      <c r="S70" s="44"/>
      <c r="T70" s="76" t="str">
        <f aca="false">IF(AND(U61&lt;&gt;"",W61&lt;&gt;""),IF(U61&gt;W61,U60,IF(U61&lt;W61,W60,IF(AND(U63&lt;&gt;"",W63&lt;&gt;""),IF(U63&gt;W63,U60,IF(U63&lt;W63,W60,"")),""))),"")</f>
        <v/>
      </c>
    </row>
    <row r="71" s="11" customFormat="true" ht="15.75" hidden="false" customHeight="false" outlineLevel="0" collapsed="false">
      <c r="F71" s="50"/>
      <c r="G71" s="77"/>
      <c r="H71" s="78"/>
      <c r="I71" s="79"/>
      <c r="L71" s="88"/>
      <c r="M71" s="44"/>
      <c r="R71" s="50"/>
      <c r="S71" s="77"/>
      <c r="T71" s="78"/>
      <c r="U71" s="79"/>
    </row>
    <row r="72" s="11" customFormat="true" ht="9.75" hidden="false" customHeight="true" outlineLevel="0" collapsed="false">
      <c r="F72" s="80" t="str">
        <f aca="false">Language!$E$153</f>
        <v>Penalty shoot-out:</v>
      </c>
      <c r="G72" s="80"/>
      <c r="H72" s="80"/>
      <c r="L72" s="88"/>
      <c r="M72" s="44"/>
      <c r="R72" s="80" t="str">
        <f aca="false">Language!$E$153</f>
        <v>Penalty shoot-out:</v>
      </c>
      <c r="S72" s="80"/>
      <c r="T72" s="80"/>
    </row>
    <row r="73" s="11" customFormat="true" ht="15.75" hidden="false" customHeight="false" outlineLevel="0" collapsed="false">
      <c r="F73" s="81"/>
      <c r="G73" s="89"/>
      <c r="H73" s="82"/>
      <c r="L73" s="88"/>
      <c r="M73" s="44"/>
      <c r="R73" s="81"/>
      <c r="S73" s="89"/>
      <c r="T73" s="82"/>
    </row>
    <row r="74" s="11" customFormat="true" ht="15" hidden="false" customHeight="false" outlineLevel="0" collapsed="false">
      <c r="F74" s="70" t="str">
        <f aca="false">VLOOKUP(E68,Matches!$B$62:$K$72,2,0)</f>
        <v>W57</v>
      </c>
      <c r="G74" s="83"/>
      <c r="H74" s="70" t="str">
        <f aca="false">VLOOKUP(E68,Matches!$B$62:$K$72,3,0)</f>
        <v>W58</v>
      </c>
      <c r="L74" s="90"/>
      <c r="M74" s="44"/>
      <c r="R74" s="70" t="str">
        <f aca="false">VLOOKUP(Q68,Matches!$B$62:$K$72,2,0)</f>
        <v>W59</v>
      </c>
      <c r="S74" s="83"/>
      <c r="T74" s="70" t="str">
        <f aca="false">VLOOKUP(Q68,Matches!$B$62:$K$72,3,0)</f>
        <v>W60</v>
      </c>
    </row>
    <row r="75" s="11" customFormat="true" ht="15.75" hidden="false" customHeight="true" outlineLevel="0" collapsed="false">
      <c r="F75" s="85" t="str">
        <f aca="false">IF(AND(F71&lt;&gt;"",H71&lt;&gt;"",F71=H71,F73&lt;&gt;"",H73&lt;&gt;"",F73=H73),Language!$E$159,"")</f>
        <v/>
      </c>
      <c r="G75" s="85"/>
      <c r="H75" s="85"/>
      <c r="L75" s="73" t="str">
        <f aca="false">VLOOKUP(K76,Matches!$B$62:$K$72,10,0)</f>
        <v>Third place</v>
      </c>
      <c r="M75" s="73"/>
      <c r="N75" s="73"/>
      <c r="R75" s="85" t="str">
        <f aca="false">IF(AND(R71&lt;&gt;"",T71&lt;&gt;"",R71=T71,R73&lt;&gt;"",T73&lt;&gt;"",R73=T73),Language!$E$159,"")</f>
        <v/>
      </c>
      <c r="S75" s="85"/>
      <c r="T75" s="85"/>
    </row>
    <row r="76" s="11" customFormat="true" ht="15" hidden="false" customHeight="false" outlineLevel="0" collapsed="false">
      <c r="K76" s="45" t="n">
        <v>63</v>
      </c>
      <c r="L76" s="74" t="str">
        <f aca="false">VLOOKUP(K76,Matches!$B$4:$K$72,7,0)</f>
        <v>Khalifa Internat.</v>
      </c>
      <c r="M76" s="74"/>
      <c r="N76" s="74"/>
    </row>
    <row r="77" s="11" customFormat="true" ht="15" hidden="false" customHeight="false" outlineLevel="0" collapsed="false">
      <c r="L77" s="47" t="n">
        <f aca="false">VLOOKUP(K76,Matches!$B$4:$K$72,5,0)</f>
        <v>44912.6666666667</v>
      </c>
      <c r="M77" s="47"/>
      <c r="N77" s="47"/>
    </row>
    <row r="78" s="11" customFormat="true" ht="15" hidden="false" customHeight="false" outlineLevel="0" collapsed="false">
      <c r="L78" s="75" t="str">
        <f aca="false">IF(AND(F71&lt;&gt;"",H71&lt;&gt;""),IF(F71&lt;H71,F70,IF(F71&gt;H71,H70,IF(AND(F73&lt;&gt;"",H73&lt;&gt;""),IF(F73&lt;H73,F70,IF(F73&gt;H73,H70,"")),""))),"")</f>
        <v/>
      </c>
      <c r="M78" s="44"/>
      <c r="N78" s="76" t="str">
        <f aca="false">IF(AND(R71&lt;&gt;"",T71&lt;&gt;""),IF(R71&lt;T71,R70,IF(R71&gt;T71,T70,IF(AND(R73&lt;&gt;"",T73&lt;&gt;""),IF(R73&lt;T73,R70,IF(R73&gt;T73,T70,"")),""))),"")</f>
        <v/>
      </c>
    </row>
    <row r="79" s="11" customFormat="true" ht="15.75" hidden="false" customHeight="false" outlineLevel="0" collapsed="false">
      <c r="L79" s="50"/>
      <c r="M79" s="77"/>
      <c r="N79" s="78"/>
      <c r="O79" s="79"/>
    </row>
    <row r="80" s="11" customFormat="true" ht="9.75" hidden="false" customHeight="true" outlineLevel="0" collapsed="false">
      <c r="L80" s="80" t="str">
        <f aca="false">Language!$E$153</f>
        <v>Penalty shoot-out:</v>
      </c>
      <c r="M80" s="80"/>
      <c r="N80" s="80"/>
    </row>
    <row r="81" s="11" customFormat="true" ht="15.75" hidden="false" customHeight="false" outlineLevel="0" collapsed="false">
      <c r="L81" s="81"/>
      <c r="M81" s="89"/>
      <c r="N81" s="82"/>
    </row>
    <row r="82" s="11" customFormat="true" ht="15" hidden="false" customHeight="false" outlineLevel="0" collapsed="false">
      <c r="L82" s="70" t="str">
        <f aca="false">VLOOKUP(K76,Matches!$B$62:$K$72,2,0)</f>
        <v>RU61</v>
      </c>
      <c r="M82" s="91"/>
      <c r="N82" s="70" t="str">
        <f aca="false">VLOOKUP(K76,Matches!$B$62:$K$72,3,0)</f>
        <v>RU62</v>
      </c>
    </row>
    <row r="83" s="11" customFormat="true" ht="12" hidden="false" customHeight="true" outlineLevel="0" collapsed="false">
      <c r="L83" s="85" t="str">
        <f aca="false">IF(AND(L79&lt;&gt;"",N79&lt;&gt;"",L79=N79,L81&lt;&gt;"",N81&lt;&gt;"",L81=N81),Language!$E$159,"")</f>
        <v/>
      </c>
      <c r="M83" s="85"/>
      <c r="N83" s="85"/>
    </row>
    <row r="84" s="11" customFormat="true" ht="23.25" hidden="false" customHeight="true" outlineLevel="0" collapsed="false"/>
    <row r="85" s="11" customFormat="true" ht="31.5" hidden="false" customHeight="false" outlineLevel="0" collapsed="false">
      <c r="L85" s="92" t="str">
        <f aca="false">VLOOKUP(K86,Matches!$B$62:$K$72,10,0)</f>
        <v>Final</v>
      </c>
      <c r="M85" s="92"/>
      <c r="N85" s="92"/>
    </row>
    <row r="86" s="11" customFormat="true" ht="15" hidden="false" customHeight="true" outlineLevel="0" collapsed="false">
      <c r="K86" s="45" t="n">
        <v>64</v>
      </c>
      <c r="L86" s="74" t="str">
        <f aca="false">VLOOKUP(K86,Matches!$B$4:$K$72,7,0)</f>
        <v>Lusail</v>
      </c>
      <c r="M86" s="74"/>
      <c r="N86" s="74"/>
      <c r="R86" s="93" t="str">
        <f aca="false">Language!$E$135</f>
        <v>World Champion 2022:</v>
      </c>
      <c r="S86" s="93"/>
      <c r="T86" s="93"/>
      <c r="U86" s="93"/>
      <c r="V86" s="93"/>
      <c r="W86" s="93"/>
    </row>
    <row r="87" s="11" customFormat="true" ht="15" hidden="false" customHeight="true" outlineLevel="0" collapsed="false">
      <c r="L87" s="47" t="n">
        <f aca="false">VLOOKUP(K86,Matches!$B$4:$K$72,5,0)</f>
        <v>44913.6666666667</v>
      </c>
      <c r="M87" s="47"/>
      <c r="N87" s="47"/>
      <c r="R87" s="93"/>
      <c r="S87" s="93"/>
      <c r="T87" s="93"/>
      <c r="U87" s="93"/>
      <c r="V87" s="93"/>
      <c r="W87" s="93"/>
    </row>
    <row r="88" s="11" customFormat="true" ht="15" hidden="false" customHeight="true" outlineLevel="0" collapsed="false">
      <c r="L88" s="75" t="str">
        <f aca="false">IF(AND(F71&lt;&gt;"",H71&lt;&gt;""),IF(F71&gt;H71,F70,IF(F71&lt;H71,H70,IF(AND(F73&lt;&gt;"",H73&lt;&gt;""),IF(F73&gt;H73,F70,IF(F73&lt;H73,H70,"")),""))),"")</f>
        <v/>
      </c>
      <c r="M88" s="44"/>
      <c r="N88" s="76" t="str">
        <f aca="false">IF(AND(R71&lt;&gt;"",T71&lt;&gt;""),IF(R71&gt;T71,R70,IF(R71&lt;T71,T70,IF(AND(R73&lt;&gt;"",T73&lt;&gt;""),IF(R73&gt;T73,R70,IF(R73&lt;T73,T70,"")),""))),"")</f>
        <v/>
      </c>
      <c r="R88" s="94" t="str">
        <f aca="false">IF(AND(L89&lt;&gt;"",N89&lt;&gt;""),IF(L89&gt;N89,L88,IF(L89&lt;N89,N88,IF(AND(L91&lt;&gt;"",N91&lt;&gt;""),IF(L91&gt;N91,L88,IF(L91&lt;N91,N88,"")),""))),"")</f>
        <v/>
      </c>
      <c r="S88" s="94"/>
      <c r="T88" s="94"/>
      <c r="U88" s="94"/>
      <c r="V88" s="94"/>
      <c r="W88" s="94"/>
    </row>
    <row r="89" s="11" customFormat="true" ht="15" hidden="false" customHeight="true" outlineLevel="0" collapsed="false">
      <c r="B89" s="95"/>
      <c r="L89" s="50"/>
      <c r="M89" s="72"/>
      <c r="N89" s="78"/>
      <c r="O89" s="79"/>
      <c r="R89" s="94"/>
      <c r="S89" s="94"/>
      <c r="T89" s="94"/>
      <c r="U89" s="94"/>
      <c r="V89" s="94"/>
      <c r="W89" s="94"/>
    </row>
    <row r="90" s="11" customFormat="true" ht="9.75" hidden="false" customHeight="true" outlineLevel="0" collapsed="false">
      <c r="B90" s="95"/>
      <c r="L90" s="80" t="str">
        <f aca="false">Language!$E$153</f>
        <v>Penalty shoot-out:</v>
      </c>
      <c r="M90" s="80"/>
      <c r="N90" s="80"/>
      <c r="R90" s="96"/>
      <c r="S90" s="96"/>
      <c r="T90" s="96"/>
      <c r="U90" s="96"/>
      <c r="V90" s="96"/>
      <c r="W90" s="96"/>
    </row>
    <row r="91" s="11" customFormat="true" ht="15" hidden="false" customHeight="true" outlineLevel="0" collapsed="false">
      <c r="B91" s="95"/>
      <c r="L91" s="81"/>
      <c r="M91" s="89"/>
      <c r="N91" s="82"/>
      <c r="R91" s="96"/>
      <c r="S91" s="96"/>
      <c r="T91" s="96"/>
      <c r="U91" s="96"/>
      <c r="V91" s="96"/>
      <c r="W91" s="96"/>
    </row>
    <row r="92" s="11" customFormat="true" ht="15" hidden="false" customHeight="false" outlineLevel="0" collapsed="false">
      <c r="L92" s="70" t="str">
        <f aca="false">VLOOKUP(K86,Matches!$B$62:$K$72,2,0)</f>
        <v>W61</v>
      </c>
      <c r="M92" s="83"/>
      <c r="N92" s="70" t="str">
        <f aca="false">VLOOKUP(K86,Matches!$B$62:$K$72,3,0)</f>
        <v>W62</v>
      </c>
    </row>
    <row r="93" s="11" customFormat="true" ht="12" hidden="false" customHeight="true" outlineLevel="0" collapsed="false">
      <c r="L93" s="85" t="str">
        <f aca="false">IF(AND(L89&lt;&gt;"",N89&lt;&gt;"",L89=N89,L91&lt;&gt;"",N91&lt;&gt;"",L91=N91),Language!$E$159,"")</f>
        <v/>
      </c>
      <c r="M93" s="85"/>
      <c r="N93" s="85"/>
    </row>
    <row r="94" s="11" customFormat="true" ht="15" hidden="false" customHeight="false" outlineLevel="0" collapsed="false"/>
    <row r="95" s="11" customFormat="true" ht="15" hidden="false" customHeight="false" outlineLevel="0" collapsed="false">
      <c r="U95" s="97"/>
      <c r="V95" s="97"/>
      <c r="W95" s="97"/>
      <c r="X95" s="97"/>
    </row>
    <row r="96" s="11" customFormat="true" ht="15" hidden="false" customHeight="false" outlineLevel="0" collapsed="false">
      <c r="B96" s="98" t="s">
        <v>49</v>
      </c>
      <c r="C96" s="98"/>
      <c r="D96" s="98"/>
      <c r="T96" s="99" t="s">
        <v>50</v>
      </c>
      <c r="U96" s="99"/>
      <c r="V96" s="99"/>
      <c r="W96" s="99"/>
      <c r="X96" s="99"/>
    </row>
    <row r="97" customFormat="false" ht="15" hidden="false" customHeight="false" outlineLevel="0" collapsed="false"/>
  </sheetData>
  <sheetProtection sheet="true" objects="true" scenarios="true" selectLockedCells="true"/>
  <mergeCells count="239">
    <mergeCell ref="E1:U1"/>
    <mergeCell ref="B7:X7"/>
    <mergeCell ref="B8:C8"/>
    <mergeCell ref="E8:F8"/>
    <mergeCell ref="H8:I8"/>
    <mergeCell ref="K8:L8"/>
    <mergeCell ref="N8:O8"/>
    <mergeCell ref="Q8:R8"/>
    <mergeCell ref="T8:U8"/>
    <mergeCell ref="W8:X8"/>
    <mergeCell ref="B9:C9"/>
    <mergeCell ref="E9:F9"/>
    <mergeCell ref="H9:I9"/>
    <mergeCell ref="K9:L9"/>
    <mergeCell ref="N9:O9"/>
    <mergeCell ref="Q9:R9"/>
    <mergeCell ref="T9:U9"/>
    <mergeCell ref="W9:X9"/>
    <mergeCell ref="B11:C11"/>
    <mergeCell ref="E11:F11"/>
    <mergeCell ref="H11:I11"/>
    <mergeCell ref="K11:L11"/>
    <mergeCell ref="N11:O11"/>
    <mergeCell ref="Q11:R11"/>
    <mergeCell ref="T11:U11"/>
    <mergeCell ref="W11:X11"/>
    <mergeCell ref="B12:C12"/>
    <mergeCell ref="E12:F12"/>
    <mergeCell ref="H12:I12"/>
    <mergeCell ref="K12:L12"/>
    <mergeCell ref="N12:O12"/>
    <mergeCell ref="Q12:R12"/>
    <mergeCell ref="T12:U12"/>
    <mergeCell ref="W12:X12"/>
    <mergeCell ref="B16:C16"/>
    <mergeCell ref="E16:F16"/>
    <mergeCell ref="H16:I16"/>
    <mergeCell ref="K16:L16"/>
    <mergeCell ref="N16:O16"/>
    <mergeCell ref="Q16:R16"/>
    <mergeCell ref="T16:U16"/>
    <mergeCell ref="W16:X16"/>
    <mergeCell ref="B17:C17"/>
    <mergeCell ref="E17:F17"/>
    <mergeCell ref="H17:I17"/>
    <mergeCell ref="K17:L17"/>
    <mergeCell ref="N17:O17"/>
    <mergeCell ref="Q17:R17"/>
    <mergeCell ref="T17:U17"/>
    <mergeCell ref="W17:X17"/>
    <mergeCell ref="B21:C21"/>
    <mergeCell ref="E21:F21"/>
    <mergeCell ref="H21:I21"/>
    <mergeCell ref="K21:L21"/>
    <mergeCell ref="N21:O21"/>
    <mergeCell ref="Q21:R21"/>
    <mergeCell ref="T21:U21"/>
    <mergeCell ref="W21:X21"/>
    <mergeCell ref="B22:C22"/>
    <mergeCell ref="E22:F22"/>
    <mergeCell ref="H22:I22"/>
    <mergeCell ref="K22:L22"/>
    <mergeCell ref="N22:O22"/>
    <mergeCell ref="Q22:R22"/>
    <mergeCell ref="T22:U22"/>
    <mergeCell ref="W22:X22"/>
    <mergeCell ref="B26:C26"/>
    <mergeCell ref="E26:F26"/>
    <mergeCell ref="H26:I26"/>
    <mergeCell ref="K26:L26"/>
    <mergeCell ref="N26:O26"/>
    <mergeCell ref="Q26:R26"/>
    <mergeCell ref="T26:U26"/>
    <mergeCell ref="W26:X26"/>
    <mergeCell ref="B27:C27"/>
    <mergeCell ref="E27:F27"/>
    <mergeCell ref="H27:I27"/>
    <mergeCell ref="K27:L27"/>
    <mergeCell ref="N27:O27"/>
    <mergeCell ref="Q27:R27"/>
    <mergeCell ref="T27:U27"/>
    <mergeCell ref="W27:X27"/>
    <mergeCell ref="B31:C31"/>
    <mergeCell ref="E31:F31"/>
    <mergeCell ref="H31:I31"/>
    <mergeCell ref="K31:L31"/>
    <mergeCell ref="N31:O31"/>
    <mergeCell ref="Q31:R31"/>
    <mergeCell ref="T31:U31"/>
    <mergeCell ref="W31:X31"/>
    <mergeCell ref="B32:C32"/>
    <mergeCell ref="E32:F32"/>
    <mergeCell ref="H32:I32"/>
    <mergeCell ref="K32:L32"/>
    <mergeCell ref="N32:O32"/>
    <mergeCell ref="Q32:R32"/>
    <mergeCell ref="T32:U32"/>
    <mergeCell ref="W32:X32"/>
    <mergeCell ref="B36:C36"/>
    <mergeCell ref="E36:F36"/>
    <mergeCell ref="H36:I36"/>
    <mergeCell ref="K36:L36"/>
    <mergeCell ref="N36:O36"/>
    <mergeCell ref="Q36:R36"/>
    <mergeCell ref="T36:U36"/>
    <mergeCell ref="W36:X36"/>
    <mergeCell ref="B37:C37"/>
    <mergeCell ref="E37:F37"/>
    <mergeCell ref="H37:I37"/>
    <mergeCell ref="K37:L37"/>
    <mergeCell ref="N37:O37"/>
    <mergeCell ref="Q37:R37"/>
    <mergeCell ref="T37:U37"/>
    <mergeCell ref="W37:X37"/>
    <mergeCell ref="B41:C41"/>
    <mergeCell ref="E41:F41"/>
    <mergeCell ref="H41:I41"/>
    <mergeCell ref="K41:L41"/>
    <mergeCell ref="N41:O41"/>
    <mergeCell ref="Q41:R41"/>
    <mergeCell ref="T41:U41"/>
    <mergeCell ref="W41:X41"/>
    <mergeCell ref="B42:C42"/>
    <mergeCell ref="E42:F42"/>
    <mergeCell ref="H42:I42"/>
    <mergeCell ref="K42:L42"/>
    <mergeCell ref="N42:O42"/>
    <mergeCell ref="Q42:R42"/>
    <mergeCell ref="T42:U42"/>
    <mergeCell ref="W42:X42"/>
    <mergeCell ref="B43:C43"/>
    <mergeCell ref="E43:F43"/>
    <mergeCell ref="H43:I43"/>
    <mergeCell ref="K43:L43"/>
    <mergeCell ref="N43:O43"/>
    <mergeCell ref="Q43:R43"/>
    <mergeCell ref="T43:U43"/>
    <mergeCell ref="W43:X43"/>
    <mergeCell ref="B44:C44"/>
    <mergeCell ref="E44:F44"/>
    <mergeCell ref="H44:I44"/>
    <mergeCell ref="K44:L44"/>
    <mergeCell ref="N44:O44"/>
    <mergeCell ref="Q44:R44"/>
    <mergeCell ref="T44:U44"/>
    <mergeCell ref="W44:X44"/>
    <mergeCell ref="B45:C45"/>
    <mergeCell ref="E45:F45"/>
    <mergeCell ref="H45:I45"/>
    <mergeCell ref="K45:L45"/>
    <mergeCell ref="N45:O45"/>
    <mergeCell ref="Q45:R45"/>
    <mergeCell ref="T45:U45"/>
    <mergeCell ref="W45:X45"/>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W49:X49"/>
    <mergeCell ref="B52:C52"/>
    <mergeCell ref="E52:F52"/>
    <mergeCell ref="H52:I52"/>
    <mergeCell ref="K52:L52"/>
    <mergeCell ref="N52:O52"/>
    <mergeCell ref="Q52:R52"/>
    <mergeCell ref="T52:U52"/>
    <mergeCell ref="W52:X52"/>
    <mergeCell ref="B55:C55"/>
    <mergeCell ref="E55:F55"/>
    <mergeCell ref="H55:I55"/>
    <mergeCell ref="K55:L55"/>
    <mergeCell ref="N55:O55"/>
    <mergeCell ref="Q55:R55"/>
    <mergeCell ref="T55:U55"/>
    <mergeCell ref="W55:X55"/>
    <mergeCell ref="C57:E57"/>
    <mergeCell ref="I57:K57"/>
    <mergeCell ref="O57:Q57"/>
    <mergeCell ref="U57:W57"/>
    <mergeCell ref="C58:E58"/>
    <mergeCell ref="I58:K58"/>
    <mergeCell ref="O58:Q58"/>
    <mergeCell ref="U58:W58"/>
    <mergeCell ref="C59:E59"/>
    <mergeCell ref="I59:K59"/>
    <mergeCell ref="O59:Q59"/>
    <mergeCell ref="U59:W59"/>
    <mergeCell ref="C62:E62"/>
    <mergeCell ref="I62:K62"/>
    <mergeCell ref="O62:Q62"/>
    <mergeCell ref="U62:W62"/>
    <mergeCell ref="C65:E65"/>
    <mergeCell ref="I65:K65"/>
    <mergeCell ref="O65:Q65"/>
    <mergeCell ref="U65:W65"/>
    <mergeCell ref="F67:H67"/>
    <mergeCell ref="R67:T67"/>
    <mergeCell ref="F68:H68"/>
    <mergeCell ref="R68:T68"/>
    <mergeCell ref="F69:H69"/>
    <mergeCell ref="R69:T69"/>
    <mergeCell ref="F72:H72"/>
    <mergeCell ref="R72:T72"/>
    <mergeCell ref="F75:H75"/>
    <mergeCell ref="L75:N75"/>
    <mergeCell ref="R75:T75"/>
    <mergeCell ref="L76:N76"/>
    <mergeCell ref="L77:N77"/>
    <mergeCell ref="L80:N80"/>
    <mergeCell ref="L83:N83"/>
    <mergeCell ref="L85:N85"/>
    <mergeCell ref="L86:N86"/>
    <mergeCell ref="R86:W87"/>
    <mergeCell ref="L87:N87"/>
    <mergeCell ref="R88:W89"/>
    <mergeCell ref="L90:N90"/>
    <mergeCell ref="L93:N93"/>
    <mergeCell ref="U95:X95"/>
    <mergeCell ref="B96:D96"/>
    <mergeCell ref="T96:X96"/>
  </mergeCells>
  <conditionalFormatting sqref="B12">
    <cfRule type="expression" priority="2" aboveAverage="0" equalAverage="0" bottom="0" percent="0" rank="0" text="" dxfId="0">
      <formula>INT(B12)=TODAY()</formula>
    </cfRule>
  </conditionalFormatting>
  <conditionalFormatting sqref="L71:L73">
    <cfRule type="expression" priority="3" aboveAverage="0" equalAverage="0" bottom="0" percent="0" rank="0" text="" dxfId="1">
      <formula>AND(L71=TODAY())</formula>
    </cfRule>
  </conditionalFormatting>
  <conditionalFormatting sqref="C14 C51 F51 I51 L51 O51 R51 U51 X51">
    <cfRule type="expression" priority="4" aboveAverage="0" equalAverage="0" bottom="0" percent="0" rank="0" text="" dxfId="2">
      <formula>AND(B12&lt;TODAY(),C14="")</formula>
    </cfRule>
  </conditionalFormatting>
  <conditionalFormatting sqref="B14 B51 E51 H51 K51 N51 Q51 T51 W51 C61 I61 O61 U61 R71 F71 L79 L89">
    <cfRule type="expression" priority="5" aboveAverage="0" equalAverage="0" bottom="0" percent="0" rank="0" text="" dxfId="3">
      <formula>AND(B12&lt;TODAY(),B14="")</formula>
    </cfRule>
  </conditionalFormatting>
  <conditionalFormatting sqref="V49">
    <cfRule type="expression" priority="6" aboveAverage="0" equalAverage="0" bottom="0" percent="0" rank="0" text="" dxfId="4">
      <formula>AND(V49=TODAY())</formula>
    </cfRule>
  </conditionalFormatting>
  <conditionalFormatting sqref="E61 K61 Q61 W61 T71 H71 N79 N89">
    <cfRule type="expression" priority="7" aboveAverage="0" equalAverage="0" bottom="0" percent="0" rank="0" text="" dxfId="5">
      <formula>AND(C59&lt;TODAY(),E61="")</formula>
    </cfRule>
  </conditionalFormatting>
  <conditionalFormatting sqref="C59">
    <cfRule type="expression" priority="8" aboveAverage="0" equalAverage="0" bottom="0" percent="0" rank="0" text="" dxfId="6">
      <formula>INT(C59)=TODAY()</formula>
    </cfRule>
  </conditionalFormatting>
  <conditionalFormatting sqref="B19">
    <cfRule type="expression" priority="9" aboveAverage="0" equalAverage="0" bottom="0" percent="0" rank="0" text="" dxfId="7">
      <formula>AND(B17&lt;TODAY(),B19="")</formula>
    </cfRule>
  </conditionalFormatting>
  <conditionalFormatting sqref="B24">
    <cfRule type="expression" priority="10" aboveAverage="0" equalAverage="0" bottom="0" percent="0" rank="0" text="" dxfId="8">
      <formula>AND(B22&lt;TODAY(),B24="")</formula>
    </cfRule>
  </conditionalFormatting>
  <conditionalFormatting sqref="B29">
    <cfRule type="expression" priority="11" aboveAverage="0" equalAverage="0" bottom="0" percent="0" rank="0" text="" dxfId="9">
      <formula>AND(B27&lt;TODAY(),B29="")</formula>
    </cfRule>
  </conditionalFormatting>
  <conditionalFormatting sqref="B34">
    <cfRule type="expression" priority="12" aboveAverage="0" equalAverage="0" bottom="0" percent="0" rank="0" text="" dxfId="10">
      <formula>AND(B32&lt;TODAY(),B34="")</formula>
    </cfRule>
  </conditionalFormatting>
  <conditionalFormatting sqref="B39">
    <cfRule type="expression" priority="13" aboveAverage="0" equalAverage="0" bottom="0" percent="0" rank="0" text="" dxfId="11">
      <formula>AND(B37&lt;TODAY(),B39="")</formula>
    </cfRule>
  </conditionalFormatting>
  <conditionalFormatting sqref="E39">
    <cfRule type="expression" priority="14" aboveAverage="0" equalAverage="0" bottom="0" percent="0" rank="0" text="" dxfId="12">
      <formula>AND(E37&lt;TODAY(),E39="")</formula>
    </cfRule>
  </conditionalFormatting>
  <conditionalFormatting sqref="E34">
    <cfRule type="expression" priority="15" aboveAverage="0" equalAverage="0" bottom="0" percent="0" rank="0" text="" dxfId="13">
      <formula>AND(E32&lt;TODAY(),E34="")</formula>
    </cfRule>
  </conditionalFormatting>
  <conditionalFormatting sqref="E29">
    <cfRule type="expression" priority="16" aboveAverage="0" equalAverage="0" bottom="0" percent="0" rank="0" text="" dxfId="14">
      <formula>AND(E27&lt;TODAY(),E29="")</formula>
    </cfRule>
  </conditionalFormatting>
  <conditionalFormatting sqref="E24">
    <cfRule type="expression" priority="17" aboveAverage="0" equalAverage="0" bottom="0" percent="0" rank="0" text="" dxfId="15">
      <formula>AND(E22&lt;TODAY(),E24="")</formula>
    </cfRule>
  </conditionalFormatting>
  <conditionalFormatting sqref="E19">
    <cfRule type="expression" priority="18" aboveAverage="0" equalAverage="0" bottom="0" percent="0" rank="0" text="" dxfId="16">
      <formula>AND(E17&lt;TODAY(),E19="")</formula>
    </cfRule>
  </conditionalFormatting>
  <conditionalFormatting sqref="E14">
    <cfRule type="expression" priority="19" aboveAverage="0" equalAverage="0" bottom="0" percent="0" rank="0" text="" dxfId="17">
      <formula>AND(E12&lt;TODAY(),E14="")</formula>
    </cfRule>
  </conditionalFormatting>
  <conditionalFormatting sqref="H14">
    <cfRule type="expression" priority="20" aboveAverage="0" equalAverage="0" bottom="0" percent="0" rank="0" text="" dxfId="18">
      <formula>AND(H12&lt;TODAY(),H14="")</formula>
    </cfRule>
  </conditionalFormatting>
  <conditionalFormatting sqref="H19">
    <cfRule type="expression" priority="21" aboveAverage="0" equalAverage="0" bottom="0" percent="0" rank="0" text="" dxfId="19">
      <formula>AND(H17&lt;TODAY(),H19="")</formula>
    </cfRule>
  </conditionalFormatting>
  <conditionalFormatting sqref="H24">
    <cfRule type="expression" priority="22" aboveAverage="0" equalAverage="0" bottom="0" percent="0" rank="0" text="" dxfId="20">
      <formula>AND(H22&lt;TODAY(),H24="")</formula>
    </cfRule>
  </conditionalFormatting>
  <conditionalFormatting sqref="H29">
    <cfRule type="expression" priority="23" aboveAverage="0" equalAverage="0" bottom="0" percent="0" rank="0" text="" dxfId="21">
      <formula>AND(H27&lt;TODAY(),H29="")</formula>
    </cfRule>
  </conditionalFormatting>
  <conditionalFormatting sqref="H34">
    <cfRule type="expression" priority="24" aboveAverage="0" equalAverage="0" bottom="0" percent="0" rank="0" text="" dxfId="22">
      <formula>AND(H32&lt;TODAY(),H34="")</formula>
    </cfRule>
  </conditionalFormatting>
  <conditionalFormatting sqref="H39">
    <cfRule type="expression" priority="25" aboveAverage="0" equalAverage="0" bottom="0" percent="0" rank="0" text="" dxfId="23">
      <formula>AND(H37&lt;TODAY(),H39="")</formula>
    </cfRule>
  </conditionalFormatting>
  <conditionalFormatting sqref="K39">
    <cfRule type="expression" priority="26" aboveAverage="0" equalAverage="0" bottom="0" percent="0" rank="0" text="" dxfId="24">
      <formula>AND(K37&lt;TODAY(),K39="")</formula>
    </cfRule>
  </conditionalFormatting>
  <conditionalFormatting sqref="K34">
    <cfRule type="expression" priority="27" aboveAverage="0" equalAverage="0" bottom="0" percent="0" rank="0" text="" dxfId="25">
      <formula>AND(K32&lt;TODAY(),K34="")</formula>
    </cfRule>
  </conditionalFormatting>
  <conditionalFormatting sqref="K29">
    <cfRule type="expression" priority="28" aboveAverage="0" equalAverage="0" bottom="0" percent="0" rank="0" text="" dxfId="26">
      <formula>AND(K27&lt;TODAY(),K29="")</formula>
    </cfRule>
  </conditionalFormatting>
  <conditionalFormatting sqref="K24">
    <cfRule type="expression" priority="29" aboveAverage="0" equalAverage="0" bottom="0" percent="0" rank="0" text="" dxfId="27">
      <formula>AND(K22&lt;TODAY(),K24="")</formula>
    </cfRule>
  </conditionalFormatting>
  <conditionalFormatting sqref="K19">
    <cfRule type="expression" priority="30" aboveAverage="0" equalAverage="0" bottom="0" percent="0" rank="0" text="" dxfId="28">
      <formula>AND(K17&lt;TODAY(),K19="")</formula>
    </cfRule>
  </conditionalFormatting>
  <conditionalFormatting sqref="K14">
    <cfRule type="expression" priority="31" aboveAverage="0" equalAverage="0" bottom="0" percent="0" rank="0" text="" dxfId="29">
      <formula>AND(K12&lt;TODAY(),K14="")</formula>
    </cfRule>
  </conditionalFormatting>
  <conditionalFormatting sqref="N14">
    <cfRule type="expression" priority="32" aboveAverage="0" equalAverage="0" bottom="0" percent="0" rank="0" text="" dxfId="30">
      <formula>AND(N12&lt;TODAY(),N14="")</formula>
    </cfRule>
  </conditionalFormatting>
  <conditionalFormatting sqref="N19">
    <cfRule type="expression" priority="33" aboveAverage="0" equalAverage="0" bottom="0" percent="0" rank="0" text="" dxfId="31">
      <formula>AND(N17&lt;TODAY(),N19="")</formula>
    </cfRule>
  </conditionalFormatting>
  <conditionalFormatting sqref="N24">
    <cfRule type="expression" priority="34" aboveAverage="0" equalAverage="0" bottom="0" percent="0" rank="0" text="" dxfId="32">
      <formula>AND(N22&lt;TODAY(),N24="")</formula>
    </cfRule>
  </conditionalFormatting>
  <conditionalFormatting sqref="N29">
    <cfRule type="expression" priority="35" aboveAverage="0" equalAverage="0" bottom="0" percent="0" rank="0" text="" dxfId="33">
      <formula>AND(N27&lt;TODAY(),N29="")</formula>
    </cfRule>
  </conditionalFormatting>
  <conditionalFormatting sqref="N34">
    <cfRule type="expression" priority="36" aboveAverage="0" equalAverage="0" bottom="0" percent="0" rank="0" text="" dxfId="34">
      <formula>AND(N32&lt;TODAY(),N34="")</formula>
    </cfRule>
  </conditionalFormatting>
  <conditionalFormatting sqref="N39">
    <cfRule type="expression" priority="37" aboveAverage="0" equalAverage="0" bottom="0" percent="0" rank="0" text="" dxfId="35">
      <formula>AND(N37&lt;TODAY(),N39="")</formula>
    </cfRule>
  </conditionalFormatting>
  <conditionalFormatting sqref="Q39">
    <cfRule type="expression" priority="38" aboveAverage="0" equalAverage="0" bottom="0" percent="0" rank="0" text="" dxfId="36">
      <formula>AND(Q37&lt;TODAY(),Q39="")</formula>
    </cfRule>
  </conditionalFormatting>
  <conditionalFormatting sqref="Q34">
    <cfRule type="expression" priority="39" aboveAverage="0" equalAverage="0" bottom="0" percent="0" rank="0" text="" dxfId="37">
      <formula>AND(Q32&lt;TODAY(),Q34="")</formula>
    </cfRule>
  </conditionalFormatting>
  <conditionalFormatting sqref="Q29">
    <cfRule type="expression" priority="40" aboveAverage="0" equalAverage="0" bottom="0" percent="0" rank="0" text="" dxfId="38">
      <formula>AND(Q27&lt;TODAY(),Q29="")</formula>
    </cfRule>
  </conditionalFormatting>
  <conditionalFormatting sqref="Q24">
    <cfRule type="expression" priority="41" aboveAverage="0" equalAverage="0" bottom="0" percent="0" rank="0" text="" dxfId="39">
      <formula>AND(Q22&lt;TODAY(),Q24="")</formula>
    </cfRule>
  </conditionalFormatting>
  <conditionalFormatting sqref="Q19">
    <cfRule type="expression" priority="42" aboveAverage="0" equalAverage="0" bottom="0" percent="0" rank="0" text="" dxfId="40">
      <formula>AND(Q17&lt;TODAY(),Q19="")</formula>
    </cfRule>
  </conditionalFormatting>
  <conditionalFormatting sqref="Q14">
    <cfRule type="expression" priority="43" aboveAverage="0" equalAverage="0" bottom="0" percent="0" rank="0" text="" dxfId="41">
      <formula>AND(Q12&lt;TODAY(),Q14="")</formula>
    </cfRule>
  </conditionalFormatting>
  <conditionalFormatting sqref="T14">
    <cfRule type="expression" priority="44" aboveAverage="0" equalAverage="0" bottom="0" percent="0" rank="0" text="" dxfId="42">
      <formula>AND(T12&lt;TODAY(),T14="")</formula>
    </cfRule>
  </conditionalFormatting>
  <conditionalFormatting sqref="T19">
    <cfRule type="expression" priority="45" aboveAverage="0" equalAverage="0" bottom="0" percent="0" rank="0" text="" dxfId="43">
      <formula>AND(T17&lt;TODAY(),T19="")</formula>
    </cfRule>
  </conditionalFormatting>
  <conditionalFormatting sqref="T24">
    <cfRule type="expression" priority="46" aboveAverage="0" equalAverage="0" bottom="0" percent="0" rank="0" text="" dxfId="44">
      <formula>AND(T22&lt;TODAY(),T24="")</formula>
    </cfRule>
  </conditionalFormatting>
  <conditionalFormatting sqref="T29">
    <cfRule type="expression" priority="47" aboveAverage="0" equalAverage="0" bottom="0" percent="0" rank="0" text="" dxfId="45">
      <formula>AND(T27&lt;TODAY(),T29="")</formula>
    </cfRule>
  </conditionalFormatting>
  <conditionalFormatting sqref="T34">
    <cfRule type="expression" priority="48" aboveAverage="0" equalAverage="0" bottom="0" percent="0" rank="0" text="" dxfId="46">
      <formula>AND(T32&lt;TODAY(),T34="")</formula>
    </cfRule>
  </conditionalFormatting>
  <conditionalFormatting sqref="T39">
    <cfRule type="expression" priority="49" aboveAverage="0" equalAverage="0" bottom="0" percent="0" rank="0" text="" dxfId="47">
      <formula>AND(T37&lt;TODAY(),T39="")</formula>
    </cfRule>
  </conditionalFormatting>
  <conditionalFormatting sqref="W39">
    <cfRule type="expression" priority="50" aboveAverage="0" equalAverage="0" bottom="0" percent="0" rank="0" text="" dxfId="48">
      <formula>AND(W37&lt;TODAY(),W39="")</formula>
    </cfRule>
  </conditionalFormatting>
  <conditionalFormatting sqref="W34">
    <cfRule type="expression" priority="51" aboveAverage="0" equalAverage="0" bottom="0" percent="0" rank="0" text="" dxfId="49">
      <formula>AND(W32&lt;TODAY(),W34="")</formula>
    </cfRule>
  </conditionalFormatting>
  <conditionalFormatting sqref="W29">
    <cfRule type="expression" priority="52" aboveAverage="0" equalAverage="0" bottom="0" percent="0" rank="0" text="" dxfId="50">
      <formula>AND(W27&lt;TODAY(),W29="")</formula>
    </cfRule>
  </conditionalFormatting>
  <conditionalFormatting sqref="W24">
    <cfRule type="expression" priority="53" aboveAverage="0" equalAverage="0" bottom="0" percent="0" rank="0" text="" dxfId="51">
      <formula>AND(W22&lt;TODAY(),W24="")</formula>
    </cfRule>
  </conditionalFormatting>
  <conditionalFormatting sqref="W19">
    <cfRule type="expression" priority="54" aboveAverage="0" equalAverage="0" bottom="0" percent="0" rank="0" text="" dxfId="52">
      <formula>AND(W17&lt;TODAY(),W19="")</formula>
    </cfRule>
  </conditionalFormatting>
  <conditionalFormatting sqref="W14">
    <cfRule type="expression" priority="55" aboveAverage="0" equalAverage="0" bottom="0" percent="0" rank="0" text="" dxfId="53">
      <formula>AND(W12&lt;TODAY(),W14="")</formula>
    </cfRule>
  </conditionalFormatting>
  <conditionalFormatting sqref="C19">
    <cfRule type="expression" priority="56" aboveAverage="0" equalAverage="0" bottom="0" percent="0" rank="0" text="" dxfId="54">
      <formula>AND(B17&lt;TODAY(),C19="")</formula>
    </cfRule>
  </conditionalFormatting>
  <conditionalFormatting sqref="C24">
    <cfRule type="expression" priority="57" aboveAverage="0" equalAverage="0" bottom="0" percent="0" rank="0" text="" dxfId="55">
      <formula>AND(B22&lt;TODAY(),C24="")</formula>
    </cfRule>
  </conditionalFormatting>
  <conditionalFormatting sqref="C29">
    <cfRule type="expression" priority="58" aboveAverage="0" equalAverage="0" bottom="0" percent="0" rank="0" text="" dxfId="56">
      <formula>AND(B27&lt;TODAY(),C29="")</formula>
    </cfRule>
  </conditionalFormatting>
  <conditionalFormatting sqref="C34">
    <cfRule type="expression" priority="59" aboveAverage="0" equalAverage="0" bottom="0" percent="0" rank="0" text="" dxfId="57">
      <formula>AND(B32&lt;TODAY(),C34="")</formula>
    </cfRule>
  </conditionalFormatting>
  <conditionalFormatting sqref="C39">
    <cfRule type="expression" priority="60" aboveAverage="0" equalAverage="0" bottom="0" percent="0" rank="0" text="" dxfId="58">
      <formula>AND(B37&lt;TODAY(),C39="")</formula>
    </cfRule>
  </conditionalFormatting>
  <conditionalFormatting sqref="F39">
    <cfRule type="expression" priority="61" aboveAverage="0" equalAverage="0" bottom="0" percent="0" rank="0" text="" dxfId="59">
      <formula>AND(E37&lt;TODAY(),F39="")</formula>
    </cfRule>
  </conditionalFormatting>
  <conditionalFormatting sqref="F34">
    <cfRule type="expression" priority="62" aboveAverage="0" equalAverage="0" bottom="0" percent="0" rank="0" text="" dxfId="60">
      <formula>AND(E32&lt;TODAY(),F34="")</formula>
    </cfRule>
  </conditionalFormatting>
  <conditionalFormatting sqref="F29">
    <cfRule type="expression" priority="63" aboveAverage="0" equalAverage="0" bottom="0" percent="0" rank="0" text="" dxfId="61">
      <formula>AND(E27&lt;TODAY(),F29="")</formula>
    </cfRule>
  </conditionalFormatting>
  <conditionalFormatting sqref="F24">
    <cfRule type="expression" priority="64" aboveAverage="0" equalAverage="0" bottom="0" percent="0" rank="0" text="" dxfId="62">
      <formula>AND(E22&lt;TODAY(),F24="")</formula>
    </cfRule>
  </conditionalFormatting>
  <conditionalFormatting sqref="F19">
    <cfRule type="expression" priority="65" aboveAverage="0" equalAverage="0" bottom="0" percent="0" rank="0" text="" dxfId="63">
      <formula>AND(E17&lt;TODAY(),F19="")</formula>
    </cfRule>
  </conditionalFormatting>
  <conditionalFormatting sqref="F14">
    <cfRule type="expression" priority="66" aboveAverage="0" equalAverage="0" bottom="0" percent="0" rank="0" text="" dxfId="64">
      <formula>AND(E12&lt;TODAY(),F14="")</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39">
    <cfRule type="expression" priority="72" aboveAverage="0" equalAverage="0" bottom="0" percent="0" rank="0" text="" dxfId="70">
      <formula>AND(H37&lt;TODAY(),I39="")</formula>
    </cfRule>
  </conditionalFormatting>
  <conditionalFormatting sqref="L39">
    <cfRule type="expression" priority="73" aboveAverage="0" equalAverage="0" bottom="0" percent="0" rank="0" text="" dxfId="71">
      <formula>AND(K37&lt;TODAY(),L39="")</formula>
    </cfRule>
  </conditionalFormatting>
  <conditionalFormatting sqref="L34">
    <cfRule type="expression" priority="74" aboveAverage="0" equalAverage="0" bottom="0" percent="0" rank="0" text="" dxfId="72">
      <formula>AND(K32&lt;TODAY(),L34="")</formula>
    </cfRule>
  </conditionalFormatting>
  <conditionalFormatting sqref="L29">
    <cfRule type="expression" priority="75" aboveAverage="0" equalAverage="0" bottom="0" percent="0" rank="0" text="" dxfId="73">
      <formula>AND(K27&lt;TODAY(),L29="")</formula>
    </cfRule>
  </conditionalFormatting>
  <conditionalFormatting sqref="L24">
    <cfRule type="expression" priority="76" aboveAverage="0" equalAverage="0" bottom="0" percent="0" rank="0" text="" dxfId="74">
      <formula>AND(K22&lt;TODAY(),L24="")</formula>
    </cfRule>
  </conditionalFormatting>
  <conditionalFormatting sqref="L19">
    <cfRule type="expression" priority="77" aboveAverage="0" equalAverage="0" bottom="0" percent="0" rank="0" text="" dxfId="75">
      <formula>AND(K17&lt;TODAY(),L19="")</formula>
    </cfRule>
  </conditionalFormatting>
  <conditionalFormatting sqref="L14">
    <cfRule type="expression" priority="78" aboveAverage="0" equalAverage="0" bottom="0" percent="0" rank="0" text="" dxfId="76">
      <formula>AND(K12&lt;TODAY(),L14="")</formula>
    </cfRule>
  </conditionalFormatting>
  <conditionalFormatting sqref="O14">
    <cfRule type="expression" priority="79" aboveAverage="0" equalAverage="0" bottom="0" percent="0" rank="0" text="" dxfId="77">
      <formula>AND(N12&lt;TODAY(),O14="")</formula>
    </cfRule>
  </conditionalFormatting>
  <conditionalFormatting sqref="O19">
    <cfRule type="expression" priority="80" aboveAverage="0" equalAverage="0" bottom="0" percent="0" rank="0" text="" dxfId="78">
      <formula>AND(N17&lt;TODAY(),O19="")</formula>
    </cfRule>
  </conditionalFormatting>
  <conditionalFormatting sqref="O24">
    <cfRule type="expression" priority="81" aboveAverage="0" equalAverage="0" bottom="0" percent="0" rank="0" text="" dxfId="79">
      <formula>AND(N22&lt;TODAY(),O24="")</formula>
    </cfRule>
  </conditionalFormatting>
  <conditionalFormatting sqref="O29">
    <cfRule type="expression" priority="82" aboveAverage="0" equalAverage="0" bottom="0" percent="0" rank="0" text="" dxfId="80">
      <formula>AND(N27&lt;TODAY(),O29="")</formula>
    </cfRule>
  </conditionalFormatting>
  <conditionalFormatting sqref="O34">
    <cfRule type="expression" priority="83" aboveAverage="0" equalAverage="0" bottom="0" percent="0" rank="0" text="" dxfId="81">
      <formula>AND(N32&lt;TODAY(),O34="")</formula>
    </cfRule>
  </conditionalFormatting>
  <conditionalFormatting sqref="O39">
    <cfRule type="expression" priority="84" aboveAverage="0" equalAverage="0" bottom="0" percent="0" rank="0" text="" dxfId="82">
      <formula>AND(N37&lt;TODAY(),O39="")</formula>
    </cfRule>
  </conditionalFormatting>
  <conditionalFormatting sqref="R39">
    <cfRule type="expression" priority="85" aboveAverage="0" equalAverage="0" bottom="0" percent="0" rank="0" text="" dxfId="83">
      <formula>AND(Q37&lt;TODAY(),R39="")</formula>
    </cfRule>
  </conditionalFormatting>
  <conditionalFormatting sqref="R34">
    <cfRule type="expression" priority="86" aboveAverage="0" equalAverage="0" bottom="0" percent="0" rank="0" text="" dxfId="84">
      <formula>AND(Q32&lt;TODAY(),R34="")</formula>
    </cfRule>
  </conditionalFormatting>
  <conditionalFormatting sqref="R29">
    <cfRule type="expression" priority="87" aboveAverage="0" equalAverage="0" bottom="0" percent="0" rank="0" text="" dxfId="85">
      <formula>AND(Q27&lt;TODAY(),R29="")</formula>
    </cfRule>
  </conditionalFormatting>
  <conditionalFormatting sqref="R24">
    <cfRule type="expression" priority="88" aboveAverage="0" equalAverage="0" bottom="0" percent="0" rank="0" text="" dxfId="86">
      <formula>AND(Q22&lt;TODAY(),R24="")</formula>
    </cfRule>
  </conditionalFormatting>
  <conditionalFormatting sqref="R19">
    <cfRule type="expression" priority="89" aboveAverage="0" equalAverage="0" bottom="0" percent="0" rank="0" text="" dxfId="87">
      <formula>AND(Q17&lt;TODAY(),R19="")</formula>
    </cfRule>
  </conditionalFormatting>
  <conditionalFormatting sqref="R14">
    <cfRule type="expression" priority="90" aboveAverage="0" equalAverage="0" bottom="0" percent="0" rank="0" text="" dxfId="88">
      <formula>AND(Q12&lt;TODAY(),R14="")</formula>
    </cfRule>
  </conditionalFormatting>
  <conditionalFormatting sqref="U14">
    <cfRule type="expression" priority="91" aboveAverage="0" equalAverage="0" bottom="0" percent="0" rank="0" text="" dxfId="89">
      <formula>AND(T12&lt;TODAY(),U14="")</formula>
    </cfRule>
  </conditionalFormatting>
  <conditionalFormatting sqref="U19">
    <cfRule type="expression" priority="92" aboveAverage="0" equalAverage="0" bottom="0" percent="0" rank="0" text="" dxfId="90">
      <formula>AND(T17&lt;TODAY(),U19="")</formula>
    </cfRule>
  </conditionalFormatting>
  <conditionalFormatting sqref="U24">
    <cfRule type="expression" priority="93" aboveAverage="0" equalAverage="0" bottom="0" percent="0" rank="0" text="" dxfId="91">
      <formula>AND(T22&lt;TODAY(),U24="")</formula>
    </cfRule>
  </conditionalFormatting>
  <conditionalFormatting sqref="U29">
    <cfRule type="expression" priority="94" aboveAverage="0" equalAverage="0" bottom="0" percent="0" rank="0" text="" dxfId="92">
      <formula>AND(T27&lt;TODAY(),U29="")</formula>
    </cfRule>
  </conditionalFormatting>
  <conditionalFormatting sqref="U34">
    <cfRule type="expression" priority="95" aboveAverage="0" equalAverage="0" bottom="0" percent="0" rank="0" text="" dxfId="93">
      <formula>AND(T32&lt;TODAY(),U34="")</formula>
    </cfRule>
  </conditionalFormatting>
  <conditionalFormatting sqref="U39">
    <cfRule type="expression" priority="96" aboveAverage="0" equalAverage="0" bottom="0" percent="0" rank="0" text="" dxfId="94">
      <formula>AND(T37&lt;TODAY(),U39="")</formula>
    </cfRule>
  </conditionalFormatting>
  <conditionalFormatting sqref="X39">
    <cfRule type="expression" priority="97" aboveAverage="0" equalAverage="0" bottom="0" percent="0" rank="0" text="" dxfId="95">
      <formula>AND(W37&lt;TODAY(),X39="")</formula>
    </cfRule>
  </conditionalFormatting>
  <conditionalFormatting sqref="X34">
    <cfRule type="expression" priority="98" aboveAverage="0" equalAverage="0" bottom="0" percent="0" rank="0" text="" dxfId="96">
      <formula>AND(W32&lt;TODAY(),X34="")</formula>
    </cfRule>
  </conditionalFormatting>
  <conditionalFormatting sqref="X29">
    <cfRule type="expression" priority="99" aboveAverage="0" equalAverage="0" bottom="0" percent="0" rank="0" text="" dxfId="97">
      <formula>AND(W27&lt;TODAY(),X29="")</formula>
    </cfRule>
  </conditionalFormatting>
  <conditionalFormatting sqref="X24">
    <cfRule type="expression" priority="100" aboveAverage="0" equalAverage="0" bottom="0" percent="0" rank="0" text="" dxfId="98">
      <formula>AND(W22&lt;TODAY(),X24="")</formula>
    </cfRule>
  </conditionalFormatting>
  <conditionalFormatting sqref="X19">
    <cfRule type="expression" priority="101" aboveAverage="0" equalAverage="0" bottom="0" percent="0" rank="0" text="" dxfId="99">
      <formula>AND(W17&lt;TODAY(),X19="")</formula>
    </cfRule>
  </conditionalFormatting>
  <conditionalFormatting sqref="X14">
    <cfRule type="expression" priority="102" aboveAverage="0" equalAverage="0" bottom="0" percent="0" rank="0" text="" dxfId="100">
      <formula>AND(W12&lt;TODAY(),X14="")</formula>
    </cfRule>
  </conditionalFormatting>
  <conditionalFormatting sqref="E12">
    <cfRule type="expression" priority="103" aboveAverage="0" equalAverage="0" bottom="0" percent="0" rank="0" text="" dxfId="101">
      <formula>INT(E12)=TODAY()</formula>
    </cfRule>
  </conditionalFormatting>
  <conditionalFormatting sqref="K12 H12">
    <cfRule type="expression" priority="104" aboveAverage="0" equalAverage="0" bottom="0" percent="0" rank="0" text="" dxfId="102">
      <formula>INT(H12)=TODAY()</formula>
    </cfRule>
  </conditionalFormatting>
  <conditionalFormatting sqref="W12 T12 Q12 N12">
    <cfRule type="expression" priority="105" aboveAverage="0" equalAverage="0" bottom="0" percent="0" rank="0" text="" dxfId="103">
      <formula>INT(N12)=TODAY()</formula>
    </cfRule>
  </conditionalFormatting>
  <conditionalFormatting sqref="B17 E17 H17 K17 N17 Q17 T17 W17">
    <cfRule type="expression" priority="106" aboveAverage="0" equalAverage="0" bottom="0" percent="0" rank="0" text="" dxfId="104">
      <formula>INT(B17)=TODAY()</formula>
    </cfRule>
  </conditionalFormatting>
  <conditionalFormatting sqref="B27 E27 H27 K27 N27 Q27 T27 W27 W22 T22 Q22 N22 K22 H22 E22 B22">
    <cfRule type="expression" priority="107" aboveAverage="0" equalAverage="0" bottom="0" percent="0" rank="0" text="" dxfId="105">
      <formula>INT(B22)=TODAY()</formula>
    </cfRule>
  </conditionalFormatting>
  <conditionalFormatting sqref="W37 T37 Q37 N37 K37 H37 E37 B37 B32 E32 H32 K32 N32 Q32 T32 W32">
    <cfRule type="expression" priority="108" aboveAverage="0" equalAverage="0" bottom="0" percent="0" rank="0" text="" dxfId="106">
      <formula>INT(B32)=TODAY()</formula>
    </cfRule>
  </conditionalFormatting>
  <conditionalFormatting sqref="B49 E49 H49 K49 N49 Q49 T49 W49">
    <cfRule type="expression" priority="109" aboveAverage="0" equalAverage="0" bottom="0" percent="0" rank="0" text="" dxfId="107">
      <formula>INT(B49)=TODAY()</formula>
    </cfRule>
  </conditionalFormatting>
  <conditionalFormatting sqref="I59">
    <cfRule type="expression" priority="110" aboveAverage="0" equalAverage="0" bottom="0" percent="0" rank="0" text="" dxfId="108">
      <formula>INT(I59)=TODAY()</formula>
    </cfRule>
  </conditionalFormatting>
  <conditionalFormatting sqref="O59">
    <cfRule type="expression" priority="111" aboveAverage="0" equalAverage="0" bottom="0" percent="0" rank="0" text="" dxfId="109">
      <formula>INT(O59)=TODAY()</formula>
    </cfRule>
  </conditionalFormatting>
  <conditionalFormatting sqref="U59">
    <cfRule type="expression" priority="112" aboveAverage="0" equalAverage="0" bottom="0" percent="0" rank="0" text="" dxfId="110">
      <formula>INT(U59)=TODAY()</formula>
    </cfRule>
  </conditionalFormatting>
  <conditionalFormatting sqref="R69">
    <cfRule type="expression" priority="113" aboveAverage="0" equalAverage="0" bottom="0" percent="0" rank="0" text="" dxfId="111">
      <formula>INT(R69)=TODAY()</formula>
    </cfRule>
  </conditionalFormatting>
  <conditionalFormatting sqref="F69">
    <cfRule type="expression" priority="114" aboveAverage="0" equalAverage="0" bottom="0" percent="0" rank="0" text="" dxfId="112">
      <formula>INT(F69)=TODAY()</formula>
    </cfRule>
  </conditionalFormatting>
  <conditionalFormatting sqref="L77">
    <cfRule type="expression" priority="115" aboveAverage="0" equalAverage="0" bottom="0" percent="0" rank="0" text="" dxfId="113">
      <formula>INT(L77)=TODAY()</formula>
    </cfRule>
  </conditionalFormatting>
  <conditionalFormatting sqref="L87">
    <cfRule type="expression" priority="116" aboveAverage="0" equalAverage="0" bottom="0" percent="0" rank="0" text="" dxfId="114">
      <formula>INT(L87)=TODAY()</formula>
    </cfRule>
  </conditionalFormatting>
  <conditionalFormatting sqref="C53">
    <cfRule type="expression" priority="117" aboveAverage="0" equalAverage="0" bottom="0" percent="0" rank="0" text="" dxfId="115">
      <formula>AND(B51=C51,B51&lt;&gt;"")</formula>
    </cfRule>
  </conditionalFormatting>
  <conditionalFormatting sqref="B53">
    <cfRule type="expression" priority="118" aboveAverage="0" equalAverage="0" bottom="0" percent="0" rank="0" text="" dxfId="116">
      <formula>AND(B51=C51,B51&lt;&gt;"")</formula>
    </cfRule>
  </conditionalFormatting>
  <conditionalFormatting sqref="E52:F52">
    <cfRule type="expression" priority="119" aboveAverage="0" equalAverage="0" bottom="0" percent="0" rank="0" text="" dxfId="117">
      <formula>AND(E51=F51,E51&lt;&gt;"",F51&lt;&gt;"")</formula>
    </cfRule>
  </conditionalFormatting>
  <conditionalFormatting sqref="F53">
    <cfRule type="expression" priority="120" aboveAverage="0" equalAverage="0" bottom="0" percent="0" rank="0" text="" dxfId="118">
      <formula>AND(E51=F51,E51&lt;&gt;"")</formula>
    </cfRule>
  </conditionalFormatting>
  <conditionalFormatting sqref="E53">
    <cfRule type="expression" priority="121" aboveAverage="0" equalAverage="0" bottom="0" percent="0" rank="0" text="" dxfId="119">
      <formula>AND(E51=F51,E51&lt;&gt;"")</formula>
    </cfRule>
  </conditionalFormatting>
  <conditionalFormatting sqref="I53">
    <cfRule type="expression" priority="122" aboveAverage="0" equalAverage="0" bottom="0" percent="0" rank="0" text="" dxfId="120">
      <formula>AND(H51=I51,H51&lt;&gt;"")</formula>
    </cfRule>
  </conditionalFormatting>
  <conditionalFormatting sqref="H53">
    <cfRule type="expression" priority="123" aboveAverage="0" equalAverage="0" bottom="0" percent="0" rank="0" text="" dxfId="121">
      <formula>AND(H51=I51,H51&lt;&gt;"")</formula>
    </cfRule>
  </conditionalFormatting>
  <conditionalFormatting sqref="L53">
    <cfRule type="expression" priority="124" aboveAverage="0" equalAverage="0" bottom="0" percent="0" rank="0" text="" dxfId="122">
      <formula>AND(K51=L51,K51&lt;&gt;"")</formula>
    </cfRule>
  </conditionalFormatting>
  <conditionalFormatting sqref="K53">
    <cfRule type="expression" priority="125" aboveAverage="0" equalAverage="0" bottom="0" percent="0" rank="0" text="" dxfId="123">
      <formula>AND(K51=L51,K51&lt;&gt;"")</formula>
    </cfRule>
  </conditionalFormatting>
  <conditionalFormatting sqref="O53">
    <cfRule type="expression" priority="126" aboveAverage="0" equalAverage="0" bottom="0" percent="0" rank="0" text="" dxfId="124">
      <formula>AND(N51=O51,N51&lt;&gt;"")</formula>
    </cfRule>
  </conditionalFormatting>
  <conditionalFormatting sqref="N53">
    <cfRule type="expression" priority="127" aboveAverage="0" equalAverage="0" bottom="0" percent="0" rank="0" text="" dxfId="125">
      <formula>AND(N51=O51,N51&lt;&gt;"")</formula>
    </cfRule>
  </conditionalFormatting>
  <conditionalFormatting sqref="R53">
    <cfRule type="expression" priority="128" aboveAverage="0" equalAverage="0" bottom="0" percent="0" rank="0" text="" dxfId="126">
      <formula>AND(Q51=R51,Q51&lt;&gt;"")</formula>
    </cfRule>
  </conditionalFormatting>
  <conditionalFormatting sqref="Q53">
    <cfRule type="expression" priority="129" aboveAverage="0" equalAverage="0" bottom="0" percent="0" rank="0" text="" dxfId="127">
      <formula>AND(Q51=R51,Q51&lt;&gt;"")</formula>
    </cfRule>
  </conditionalFormatting>
  <conditionalFormatting sqref="U53">
    <cfRule type="expression" priority="130" aboveAverage="0" equalAverage="0" bottom="0" percent="0" rank="0" text="" dxfId="128">
      <formula>AND(T51=U51,T51&lt;&gt;"")</formula>
    </cfRule>
  </conditionalFormatting>
  <conditionalFormatting sqref="T53">
    <cfRule type="expression" priority="131" aboveAverage="0" equalAverage="0" bottom="0" percent="0" rank="0" text="" dxfId="129">
      <formula>AND(T51=U51,T51&lt;&gt;"")</formula>
    </cfRule>
  </conditionalFormatting>
  <conditionalFormatting sqref="X53">
    <cfRule type="expression" priority="132" aboveAverage="0" equalAverage="0" bottom="0" percent="0" rank="0" text="" dxfId="130">
      <formula>AND(W51=X51,W51&lt;&gt;"")</formula>
    </cfRule>
  </conditionalFormatting>
  <conditionalFormatting sqref="W53">
    <cfRule type="expression" priority="133" aboveAverage="0" equalAverage="0" bottom="0" percent="0" rank="0" text="" dxfId="131">
      <formula>AND(W51=X51,W51&lt;&gt;"")</formula>
    </cfRule>
  </conditionalFormatting>
  <conditionalFormatting sqref="O62:Q62">
    <cfRule type="expression" priority="134" aboveAverage="0" equalAverage="0" bottom="0" percent="0" rank="0" text="" dxfId="132">
      <formula>AND(O61=Q61,O61&lt;&gt;"",Q61&lt;&gt;"")</formula>
    </cfRule>
  </conditionalFormatting>
  <conditionalFormatting sqref="C63">
    <cfRule type="expression" priority="135" aboveAverage="0" equalAverage="0" bottom="0" percent="0" rank="0" text="" dxfId="133">
      <formula>AND(C61=E61,C61&lt;&gt;"")</formula>
    </cfRule>
  </conditionalFormatting>
  <conditionalFormatting sqref="E63">
    <cfRule type="expression" priority="136" aboveAverage="0" equalAverage="0" bottom="0" percent="0" rank="0" text="" dxfId="134">
      <formula>AND(C61=E61,C61&lt;&gt;"")</formula>
    </cfRule>
  </conditionalFormatting>
  <conditionalFormatting sqref="F73">
    <cfRule type="expression" priority="137" aboveAverage="0" equalAverage="0" bottom="0" percent="0" rank="0" text="" dxfId="135">
      <formula>AND(F71=H71,F71&lt;&gt;"")</formula>
    </cfRule>
  </conditionalFormatting>
  <conditionalFormatting sqref="H73">
    <cfRule type="expression" priority="138" aboveAverage="0" equalAverage="0" bottom="0" percent="0" rank="0" text="" dxfId="136">
      <formula>AND(F71=H71,F71&lt;&gt;"")</formula>
    </cfRule>
  </conditionalFormatting>
  <conditionalFormatting sqref="R73">
    <cfRule type="expression" priority="139" aboveAverage="0" equalAverage="0" bottom="0" percent="0" rank="0" text="" dxfId="137">
      <formula>AND(R71=T71,R71&lt;&gt;"")</formula>
    </cfRule>
  </conditionalFormatting>
  <conditionalFormatting sqref="T73">
    <cfRule type="expression" priority="140" aboveAverage="0" equalAverage="0" bottom="0" percent="0" rank="0" text="" dxfId="138">
      <formula>AND(R71=T71,R71&lt;&gt;"")</formula>
    </cfRule>
  </conditionalFormatting>
  <conditionalFormatting sqref="L81">
    <cfRule type="expression" priority="141" aboveAverage="0" equalAverage="0" bottom="0" percent="0" rank="0" text="" dxfId="139">
      <formula>AND(L79=N79,L79&lt;&gt;"")</formula>
    </cfRule>
  </conditionalFormatting>
  <conditionalFormatting sqref="N81">
    <cfRule type="expression" priority="142" aboveAverage="0" equalAverage="0" bottom="0" percent="0" rank="0" text="" dxfId="140">
      <formula>AND(L79=N79,L79&lt;&gt;"")</formula>
    </cfRule>
  </conditionalFormatting>
  <conditionalFormatting sqref="L91">
    <cfRule type="expression" priority="143" aboveAverage="0" equalAverage="0" bottom="0" percent="0" rank="0" text="" dxfId="141">
      <formula>AND(L89=N89,L89&lt;&gt;"")</formula>
    </cfRule>
  </conditionalFormatting>
  <conditionalFormatting sqref="N91">
    <cfRule type="expression" priority="144" aboveAverage="0" equalAverage="0" bottom="0" percent="0" rank="0" text="" dxfId="142">
      <formula>AND(L89=N89,L89&lt;&gt;"")</formula>
    </cfRule>
  </conditionalFormatting>
  <conditionalFormatting sqref="I63">
    <cfRule type="expression" priority="145" aboveAverage="0" equalAverage="0" bottom="0" percent="0" rank="0" text="" dxfId="143">
      <formula>AND(I61=K61,I61&lt;&gt;"")</formula>
    </cfRule>
  </conditionalFormatting>
  <conditionalFormatting sqref="K63">
    <cfRule type="expression" priority="146" aboveAverage="0" equalAverage="0" bottom="0" percent="0" rank="0" text="" dxfId="144">
      <formula>AND(I61=K61,I61&lt;&gt;"")</formula>
    </cfRule>
  </conditionalFormatting>
  <conditionalFormatting sqref="O63">
    <cfRule type="expression" priority="147" aboveAverage="0" equalAverage="0" bottom="0" percent="0" rank="0" text="" dxfId="145">
      <formula>AND(O61=Q61,O61&lt;&gt;"")</formula>
    </cfRule>
  </conditionalFormatting>
  <conditionalFormatting sqref="Q63">
    <cfRule type="expression" priority="148" aboveAverage="0" equalAverage="0" bottom="0" percent="0" rank="0" text="" dxfId="146">
      <formula>AND(O61=Q61,O61&lt;&gt;"")</formula>
    </cfRule>
  </conditionalFormatting>
  <conditionalFormatting sqref="W63">
    <cfRule type="expression" priority="149" aboveAverage="0" equalAverage="0" bottom="0" percent="0" rank="0" text="" dxfId="147">
      <formula>AND(U61=W61,U61&lt;&gt;"")</formula>
    </cfRule>
  </conditionalFormatting>
  <conditionalFormatting sqref="U63">
    <cfRule type="expression" priority="150" aboveAverage="0" equalAverage="0" bottom="0" percent="0" rank="0" text="" dxfId="148">
      <formula>AND(U61=W61,U61&lt;&gt;"")</formula>
    </cfRule>
  </conditionalFormatting>
  <conditionalFormatting sqref="B52:C52">
    <cfRule type="expression" priority="151" aboveAverage="0" equalAverage="0" bottom="0" percent="0" rank="0" text="" dxfId="149">
      <formula>AND(B51=C51,B51&lt;&gt;"",C51&lt;&gt;"")</formula>
    </cfRule>
  </conditionalFormatting>
  <conditionalFormatting sqref="H52:I52">
    <cfRule type="expression" priority="152" aboveAverage="0" equalAverage="0" bottom="0" percent="0" rank="0" text="" dxfId="150">
      <formula>AND(H51=I51,H51&lt;&gt;"",I51&lt;&gt;"")</formula>
    </cfRule>
  </conditionalFormatting>
  <conditionalFormatting sqref="K52:L52">
    <cfRule type="expression" priority="153" aboveAverage="0" equalAverage="0" bottom="0" percent="0" rank="0" text="" dxfId="151">
      <formula>AND(K51=L51,K51&lt;&gt;"",L51&lt;&gt;"")</formula>
    </cfRule>
  </conditionalFormatting>
  <conditionalFormatting sqref="N52:O52">
    <cfRule type="expression" priority="154" aboveAverage="0" equalAverage="0" bottom="0" percent="0" rank="0" text="" dxfId="152">
      <formula>AND(N51=O51,N51&lt;&gt;"",O51&lt;&gt;"")</formula>
    </cfRule>
  </conditionalFormatting>
  <conditionalFormatting sqref="Q52:R52">
    <cfRule type="expression" priority="155" aboveAverage="0" equalAverage="0" bottom="0" percent="0" rank="0" text="" dxfId="153">
      <formula>AND(Q51=R51,Q51&lt;&gt;"",R51&lt;&gt;"")</formula>
    </cfRule>
  </conditionalFormatting>
  <conditionalFormatting sqref="T52:U52">
    <cfRule type="expression" priority="156" aboveAverage="0" equalAverage="0" bottom="0" percent="0" rank="0" text="" dxfId="154">
      <formula>AND(T51=U51,T51&lt;&gt;"",U51&lt;&gt;"")</formula>
    </cfRule>
  </conditionalFormatting>
  <conditionalFormatting sqref="W52:X52">
    <cfRule type="expression" priority="157" aboveAverage="0" equalAverage="0" bottom="0" percent="0" rank="0" text="" dxfId="155">
      <formula>AND(W51=X51,W51&lt;&gt;"",X51&lt;&gt;"")</formula>
    </cfRule>
  </conditionalFormatting>
  <conditionalFormatting sqref="U62:W62">
    <cfRule type="expression" priority="158" aboveAverage="0" equalAverage="0" bottom="0" percent="0" rank="0" text="" dxfId="156">
      <formula>AND(U61=W61,U61&lt;&gt;"",W61&lt;&gt;"")</formula>
    </cfRule>
  </conditionalFormatting>
  <conditionalFormatting sqref="I62:K62">
    <cfRule type="expression" priority="159" aboveAverage="0" equalAverage="0" bottom="0" percent="0" rank="0" text="" dxfId="157">
      <formula>AND(I61=K61,I61&lt;&gt;"",K61&lt;&gt;"")</formula>
    </cfRule>
  </conditionalFormatting>
  <conditionalFormatting sqref="C62:E62">
    <cfRule type="expression" priority="160" aboveAverage="0" equalAverage="0" bottom="0" percent="0" rank="0" text="" dxfId="158">
      <formula>AND(C61=E61,C61&lt;&gt;"",E61&lt;&gt;"")</formula>
    </cfRule>
  </conditionalFormatting>
  <conditionalFormatting sqref="F72:H72">
    <cfRule type="expression" priority="161" aboveAverage="0" equalAverage="0" bottom="0" percent="0" rank="0" text="" dxfId="159">
      <formula>AND(F71=H71,F71&lt;&gt;"",H71&lt;&gt;"")</formula>
    </cfRule>
  </conditionalFormatting>
  <conditionalFormatting sqref="R72:T72">
    <cfRule type="expression" priority="162" aboveAverage="0" equalAverage="0" bottom="0" percent="0" rank="0" text="" dxfId="160">
      <formula>AND(R71=T71,R71&lt;&gt;"",T71&lt;&gt;"")</formula>
    </cfRule>
  </conditionalFormatting>
  <conditionalFormatting sqref="L80:N80">
    <cfRule type="expression" priority="163" aboveAverage="0" equalAverage="0" bottom="0" percent="0" rank="0" text="" dxfId="161">
      <formula>AND(L79=N79,L79&lt;&gt;"",N79&lt;&gt;"")</formula>
    </cfRule>
  </conditionalFormatting>
  <conditionalFormatting sqref="L90:N90">
    <cfRule type="expression" priority="164" aboveAverage="0" equalAverage="0" bottom="0" percent="0" rank="0" text="" dxfId="162">
      <formula>AND(L89=N89,L89&lt;&gt;"",N89&lt;&gt;"")</formula>
    </cfRule>
  </conditionalFormatting>
  <dataValidations count="1">
    <dataValidation allowBlank="true" errorStyle="stop" operator="between" showDropDown="false" showErrorMessage="true" showInputMessage="true" sqref="B14:C15 E14:F15 H14:I15 K14:L15 N14:O15 Q14:R15 T14:U15 W14:X15 B19:C20 E19:F20 H19:I20 K19:L20 N19:O20 Q19:R20 T19:U20 W19:X20 B24:C25 E24:F25 H24:I25 K24:L25 N24:O25 Q24:R25 T24:U25 W24:X25 B29:C30 E29:F30 H29:I30 K29:L30 N29:O30 Q29:R30 T29:U30 W29:X30 B34:C35 E34:F35 H34:I35 K34:L35 N34:O35 Q34:R35 T34:U35 W34:X35 B39:C39 E39:F39 H39:I39 K39:L39 N39:O39 Q39:R39 T39:U39 W39:X39 B51:C51 E51:F51 H51:I51 K51:L51 N51:O51 Q51:R51 T51:U51 W51:X51 B53:C53 E53:F53 H53:I53 K53:L53 N53:O53 Q53:R53 T53:U53 W53:X53 C61 E61 I61 K61 O61 Q61 U61 W61 C63 E63 I63 K63 O63 Q63 U63 W63 F71 H71 R71 T71 F73 H73 R73 T73 L79 N79 L81 N81 L89 N89 L91 N91" type="whole">
      <formula1>0</formula1>
      <formula2>99</formula2>
    </dataValidation>
  </dataValidations>
  <hyperlinks>
    <hyperlink ref="T96" r:id="rId1" display="https://hermann-baum.de/excel/WorldCup2022/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5" id="{5C20E062-38BD-405F-AD9F-A53B58C8E294}">
            <xm:f>Distinctness!$D$4&gt;0</xm:f>
            <x14:dxf>
              <font>
                <color rgb="FFD0CECE"/>
              </font>
            </x14:dxf>
          </x14:cfRule>
          <xm:sqref>B7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8"/>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K4" activeCellId="0" sqref="K4"/>
    </sheetView>
  </sheetViews>
  <sheetFormatPr defaultColWidth="11.43359375" defaultRowHeight="15" zeroHeight="true" outlineLevelRow="0" outlineLevelCol="0"/>
  <cols>
    <col collapsed="false" customWidth="true" hidden="false" outlineLevel="0" max="1" min="1" style="100" width="3.3"/>
    <col collapsed="false" customWidth="true" hidden="false" outlineLevel="0" max="2" min="2" style="100" width="4.71"/>
    <col collapsed="false" customWidth="true" hidden="false" outlineLevel="0" max="3" min="3" style="11" width="15.71"/>
    <col collapsed="false" customWidth="true" hidden="false" outlineLevel="0" max="4" min="4" style="11" width="4.71"/>
    <col collapsed="false" customWidth="true" hidden="false" outlineLevel="0" max="5" min="5" style="11" width="15.71"/>
    <col collapsed="false" customWidth="true" hidden="false" outlineLevel="0" max="7" min="6" style="101" width="4.71"/>
    <col collapsed="false" customWidth="true" hidden="false" outlineLevel="0" max="8" min="8" style="102" width="9.85"/>
    <col collapsed="false" customWidth="false" hidden="false" outlineLevel="0" max="672" min="9" style="11" width="11.42"/>
    <col collapsed="false" customWidth="true" hidden="false" outlineLevel="0" max="1024" min="673" style="0" width="11.52"/>
  </cols>
  <sheetData>
    <row r="1" customFormat="false" ht="28.5" hidden="false" customHeight="false" outlineLevel="0" collapsed="false">
      <c r="B1" s="103" t="str">
        <f aca="false">Language!$E$169</f>
        <v>Predictions</v>
      </c>
      <c r="C1" s="103"/>
      <c r="D1" s="103"/>
      <c r="E1" s="103"/>
      <c r="F1" s="103"/>
      <c r="G1" s="103"/>
    </row>
    <row r="2" customFormat="false" ht="18.75" hidden="false" customHeight="true" outlineLevel="0" collapsed="false">
      <c r="A2" s="104"/>
      <c r="B2" s="104"/>
      <c r="C2" s="105"/>
      <c r="D2" s="105"/>
      <c r="E2" s="105"/>
    </row>
    <row r="3" customFormat="false" ht="24.75" hidden="false" customHeight="true" outlineLevel="0" collapsed="false">
      <c r="A3" s="104"/>
      <c r="B3" s="106" t="str">
        <f aca="false">Instructions!C3</f>
        <v>&lt;write in your alias here&gt;</v>
      </c>
      <c r="C3" s="106"/>
      <c r="D3" s="106"/>
      <c r="E3" s="106"/>
      <c r="F3" s="106"/>
      <c r="G3" s="106"/>
    </row>
    <row r="4" customFormat="false" ht="40.5" hidden="false" customHeight="true" outlineLevel="0" collapsed="false">
      <c r="A4" s="104"/>
      <c r="B4" s="107"/>
      <c r="C4" s="108"/>
      <c r="D4" s="108"/>
      <c r="E4" s="109"/>
      <c r="F4" s="110" t="str">
        <f aca="false">Language!$E$171</f>
        <v>Result</v>
      </c>
      <c r="G4" s="110"/>
    </row>
    <row r="5" customFormat="false" ht="24" hidden="false" customHeight="true" outlineLevel="0" collapsed="false">
      <c r="A5" s="111"/>
      <c r="B5" s="112" t="str">
        <f aca="false">Language!$E$124&amp;" A"</f>
        <v>Group A</v>
      </c>
      <c r="C5" s="113"/>
      <c r="D5" s="114"/>
      <c r="E5" s="115"/>
      <c r="F5" s="116"/>
      <c r="G5" s="117"/>
    </row>
    <row r="6" customFormat="false" ht="15" hidden="false" customHeight="false" outlineLevel="0" collapsed="false">
      <c r="B6" s="118" t="n">
        <f aca="false">INDEX(Groups!$C$7:$C$45,MATCH(C6,Groups!$D$7:$D$45,0))</f>
        <v>51</v>
      </c>
      <c r="C6" s="119" t="str">
        <f aca="false">GrpA!$B$4</f>
        <v>Qatar</v>
      </c>
      <c r="D6" s="120" t="n">
        <f aca="false">INDEX(Groups!$C$7:$C$45,MATCH(E6,Groups!$D$7:$D$45,0))</f>
        <v>46</v>
      </c>
      <c r="E6" s="119" t="str">
        <f aca="false">GrpA!$D$4</f>
        <v>Ecuador</v>
      </c>
      <c r="F6" s="121" t="str">
        <f aca="false">GrpA!$E$4</f>
        <v/>
      </c>
      <c r="G6" s="122" t="str">
        <f aca="false">GrpA!$G$4</f>
        <v/>
      </c>
    </row>
    <row r="7" customFormat="false" ht="15" hidden="false" customHeight="false" outlineLevel="0" collapsed="false">
      <c r="B7" s="118" t="n">
        <f aca="false">INDEX(Groups!$C$7:$C$45,MATCH(C7,Groups!$D$7:$D$45,0))</f>
        <v>20</v>
      </c>
      <c r="C7" s="119" t="str">
        <f aca="false">GrpA!$B$5</f>
        <v>Senegal</v>
      </c>
      <c r="D7" s="120" t="n">
        <f aca="false">INDEX(Groups!$C$7:$C$45,MATCH(E7,Groups!$D$7:$D$45,0))</f>
        <v>10</v>
      </c>
      <c r="E7" s="119" t="str">
        <f aca="false">GrpA!$D$5</f>
        <v>Netherlands</v>
      </c>
      <c r="F7" s="121" t="str">
        <f aca="false">GrpA!$E$5</f>
        <v/>
      </c>
      <c r="G7" s="122" t="str">
        <f aca="false">GrpA!$G$5</f>
        <v/>
      </c>
    </row>
    <row r="8" customFormat="false" ht="15" hidden="false" customHeight="false" outlineLevel="0" collapsed="false">
      <c r="B8" s="118" t="n">
        <f aca="false">INDEX(Groups!$C$7:$C$45,MATCH(C8,Groups!$D$7:$D$45,0))</f>
        <v>51</v>
      </c>
      <c r="C8" s="119" t="str">
        <f aca="false">GrpA!$B$6</f>
        <v>Qatar</v>
      </c>
      <c r="D8" s="120" t="n">
        <f aca="false">INDEX(Groups!$C$7:$C$45,MATCH(E8,Groups!$D$7:$D$45,0))</f>
        <v>20</v>
      </c>
      <c r="E8" s="119" t="str">
        <f aca="false">GrpA!$D$6</f>
        <v>Senegal</v>
      </c>
      <c r="F8" s="121" t="str">
        <f aca="false">GrpA!$E$6</f>
        <v/>
      </c>
      <c r="G8" s="122" t="str">
        <f aca="false">GrpA!$G$6</f>
        <v/>
      </c>
    </row>
    <row r="9" customFormat="false" ht="15" hidden="false" customHeight="false" outlineLevel="0" collapsed="false">
      <c r="B9" s="118" t="n">
        <f aca="false">INDEX(Groups!$C$7:$C$45,MATCH(C9,Groups!$D$7:$D$45,0))</f>
        <v>10</v>
      </c>
      <c r="C9" s="119" t="str">
        <f aca="false">GrpA!$B$7</f>
        <v>Netherlands</v>
      </c>
      <c r="D9" s="120" t="n">
        <f aca="false">INDEX(Groups!$C$7:$C$45,MATCH(E9,Groups!$D$7:$D$45,0))</f>
        <v>46</v>
      </c>
      <c r="E9" s="119" t="str">
        <f aca="false">GrpA!$D$7</f>
        <v>Ecuador</v>
      </c>
      <c r="F9" s="121" t="str">
        <f aca="false">GrpA!$E$7</f>
        <v/>
      </c>
      <c r="G9" s="122" t="str">
        <f aca="false">GrpA!$G$7</f>
        <v/>
      </c>
    </row>
    <row r="10" customFormat="false" ht="15" hidden="false" customHeight="false" outlineLevel="0" collapsed="false">
      <c r="B10" s="118" t="n">
        <f aca="false">INDEX(Groups!$C$7:$C$45,MATCH(C10,Groups!$D$7:$D$45,0))</f>
        <v>46</v>
      </c>
      <c r="C10" s="119" t="str">
        <f aca="false">GrpA!$B$8</f>
        <v>Ecuador</v>
      </c>
      <c r="D10" s="120" t="n">
        <f aca="false">INDEX(Groups!$C$7:$C$45,MATCH(E10,Groups!$D$7:$D$45,0))</f>
        <v>20</v>
      </c>
      <c r="E10" s="119" t="str">
        <f aca="false">GrpA!$D$8</f>
        <v>Senegal</v>
      </c>
      <c r="F10" s="121" t="str">
        <f aca="false">GrpA!$E$8</f>
        <v/>
      </c>
      <c r="G10" s="122" t="str">
        <f aca="false">GrpA!$G$8</f>
        <v/>
      </c>
    </row>
    <row r="11" customFormat="false" ht="15" hidden="false" customHeight="false" outlineLevel="0" collapsed="false">
      <c r="B11" s="118" t="n">
        <f aca="false">INDEX(Groups!$C$7:$C$45,MATCH(C11,Groups!$D$7:$D$45,0))</f>
        <v>10</v>
      </c>
      <c r="C11" s="119" t="str">
        <f aca="false">GrpA!$B$9</f>
        <v>Netherlands</v>
      </c>
      <c r="D11" s="120" t="n">
        <f aca="false">INDEX(Groups!$C$7:$C$45,MATCH(E11,Groups!$D$7:$D$45,0))</f>
        <v>51</v>
      </c>
      <c r="E11" s="119" t="str">
        <f aca="false">GrpA!$D$9</f>
        <v>Qatar</v>
      </c>
      <c r="F11" s="121" t="str">
        <f aca="false">GrpA!$E$9</f>
        <v/>
      </c>
      <c r="G11" s="122" t="str">
        <f aca="false">GrpA!$G$9</f>
        <v/>
      </c>
    </row>
    <row r="12" customFormat="false" ht="24" hidden="false" customHeight="true" outlineLevel="0" collapsed="false">
      <c r="B12" s="112" t="str">
        <f aca="false">Language!$E$124&amp;" B"</f>
        <v>Group B</v>
      </c>
      <c r="C12" s="113"/>
      <c r="D12" s="123"/>
      <c r="E12" s="115"/>
      <c r="F12" s="124"/>
      <c r="G12" s="125"/>
    </row>
    <row r="13" customFormat="false" ht="15" hidden="false" customHeight="false" outlineLevel="0" collapsed="false">
      <c r="B13" s="118" t="n">
        <f aca="false">INDEX(Groups!$C$7:$C$45,MATCH(C13,Groups!$D$7:$D$45,0))</f>
        <v>5</v>
      </c>
      <c r="C13" s="119" t="str">
        <f aca="false">GrpB!$B$4</f>
        <v>England</v>
      </c>
      <c r="D13" s="120" t="n">
        <f aca="false">INDEX(Groups!$C$7:$C$45,MATCH(E13,Groups!$D$7:$D$45,0))</f>
        <v>21</v>
      </c>
      <c r="E13" s="119" t="str">
        <f aca="false">GrpB!$D$4</f>
        <v>IR Iran</v>
      </c>
      <c r="F13" s="121" t="str">
        <f aca="false">GrpB!$E$4</f>
        <v/>
      </c>
      <c r="G13" s="122" t="str">
        <f aca="false">GrpB!$G$4</f>
        <v/>
      </c>
    </row>
    <row r="14" customFormat="false" ht="15" hidden="false" customHeight="false" outlineLevel="0" collapsed="false">
      <c r="B14" s="118" t="n">
        <f aca="false">INDEX(Groups!$C$7:$C$45,MATCH(C14,Groups!$D$7:$D$45,0))</f>
        <v>15</v>
      </c>
      <c r="C14" s="119" t="str">
        <f aca="false">GrpB!$B$5</f>
        <v>USA</v>
      </c>
      <c r="D14" s="120" t="n">
        <f aca="false">INDEX(Groups!$C$7:$C$45,MATCH(E14,Groups!$D$7:$D$45,0))</f>
        <v>18</v>
      </c>
      <c r="E14" s="119" t="str">
        <f aca="false">GrpB!$D$5</f>
        <v>Wales</v>
      </c>
      <c r="F14" s="121" t="str">
        <f aca="false">GrpB!$E$5</f>
        <v/>
      </c>
      <c r="G14" s="122" t="str">
        <f aca="false">GrpB!$G$5</f>
        <v/>
      </c>
    </row>
    <row r="15" customFormat="false" ht="15" hidden="false" customHeight="false" outlineLevel="0" collapsed="false">
      <c r="B15" s="118" t="n">
        <f aca="false">INDEX(Groups!$C$7:$C$45,MATCH(C15,Groups!$D$7:$D$45,0))</f>
        <v>18</v>
      </c>
      <c r="C15" s="119" t="str">
        <f aca="false">GrpB!$B$6</f>
        <v>Wales</v>
      </c>
      <c r="D15" s="120" t="n">
        <f aca="false">INDEX(Groups!$C$7:$C$45,MATCH(E15,Groups!$D$7:$D$45,0))</f>
        <v>21</v>
      </c>
      <c r="E15" s="119" t="str">
        <f aca="false">GrpB!$D$6</f>
        <v>IR Iran</v>
      </c>
      <c r="F15" s="121" t="str">
        <f aca="false">GrpB!$E$6</f>
        <v/>
      </c>
      <c r="G15" s="122" t="str">
        <f aca="false">GrpB!$G$6</f>
        <v/>
      </c>
    </row>
    <row r="16" customFormat="false" ht="15" hidden="false" customHeight="false" outlineLevel="0" collapsed="false">
      <c r="B16" s="118" t="n">
        <f aca="false">INDEX(Groups!$C$7:$C$45,MATCH(C16,Groups!$D$7:$D$45,0))</f>
        <v>5</v>
      </c>
      <c r="C16" s="119" t="str">
        <f aca="false">GrpB!$B$7</f>
        <v>England</v>
      </c>
      <c r="D16" s="120" t="n">
        <f aca="false">INDEX(Groups!$C$7:$C$45,MATCH(E16,Groups!$D$7:$D$45,0))</f>
        <v>15</v>
      </c>
      <c r="E16" s="119" t="str">
        <f aca="false">GrpB!$D$7</f>
        <v>USA</v>
      </c>
      <c r="F16" s="121" t="str">
        <f aca="false">GrpB!$E$7</f>
        <v/>
      </c>
      <c r="G16" s="122" t="str">
        <f aca="false">GrpB!$G$7</f>
        <v/>
      </c>
    </row>
    <row r="17" customFormat="false" ht="15" hidden="false" customHeight="false" outlineLevel="0" collapsed="false">
      <c r="B17" s="118" t="n">
        <f aca="false">INDEX(Groups!$C$7:$C$45,MATCH(C17,Groups!$D$7:$D$45,0))</f>
        <v>18</v>
      </c>
      <c r="C17" s="119" t="str">
        <f aca="false">GrpB!$B$8</f>
        <v>Wales</v>
      </c>
      <c r="D17" s="120" t="n">
        <f aca="false">INDEX(Groups!$C$7:$C$45,MATCH(E17,Groups!$D$7:$D$45,0))</f>
        <v>5</v>
      </c>
      <c r="E17" s="119" t="str">
        <f aca="false">GrpB!$D$8</f>
        <v>England</v>
      </c>
      <c r="F17" s="121" t="str">
        <f aca="false">GrpB!$E$8</f>
        <v/>
      </c>
      <c r="G17" s="122" t="str">
        <f aca="false">GrpB!$G$8</f>
        <v/>
      </c>
    </row>
    <row r="18" customFormat="false" ht="15" hidden="false" customHeight="false" outlineLevel="0" collapsed="false">
      <c r="B18" s="118" t="n">
        <f aca="false">INDEX(Groups!$C$7:$C$45,MATCH(C18,Groups!$D$7:$D$45,0))</f>
        <v>21</v>
      </c>
      <c r="C18" s="119" t="str">
        <f aca="false">GrpB!$B$9</f>
        <v>IR Iran</v>
      </c>
      <c r="D18" s="120" t="n">
        <f aca="false">INDEX(Groups!$C$7:$C$45,MATCH(E18,Groups!$D$7:$D$45,0))</f>
        <v>15</v>
      </c>
      <c r="E18" s="119" t="str">
        <f aca="false">GrpB!$D$9</f>
        <v>USA</v>
      </c>
      <c r="F18" s="121" t="str">
        <f aca="false">GrpB!$E$9</f>
        <v/>
      </c>
      <c r="G18" s="122" t="str">
        <f aca="false">GrpB!$G$9</f>
        <v/>
      </c>
    </row>
    <row r="19" customFormat="false" ht="24" hidden="false" customHeight="true" outlineLevel="0" collapsed="false">
      <c r="B19" s="112" t="str">
        <f aca="false">Language!$E$124&amp;" C"</f>
        <v>Group C</v>
      </c>
      <c r="C19" s="113"/>
      <c r="D19" s="123"/>
      <c r="E19" s="115"/>
      <c r="F19" s="124"/>
      <c r="G19" s="125"/>
    </row>
    <row r="20" customFormat="false" ht="15" hidden="false" customHeight="false" outlineLevel="0" collapsed="false">
      <c r="B20" s="118" t="n">
        <f aca="false">INDEX(Groups!$C$7:$C$45,MATCH(C20,Groups!$D$7:$D$45,0))</f>
        <v>4</v>
      </c>
      <c r="C20" s="119" t="str">
        <f aca="false">GrpC!$B$4</f>
        <v>Argentina</v>
      </c>
      <c r="D20" s="120" t="n">
        <f aca="false">INDEX(Groups!$C$7:$C$45,MATCH(E20,Groups!$D$7:$D$45,0))</f>
        <v>49</v>
      </c>
      <c r="E20" s="119" t="str">
        <f aca="false">GrpC!$D$4</f>
        <v>Saudi Arabia</v>
      </c>
      <c r="F20" s="121" t="str">
        <f aca="false">GrpC!$E$4</f>
        <v/>
      </c>
      <c r="G20" s="122" t="str">
        <f aca="false">GrpC!$G$4</f>
        <v/>
      </c>
    </row>
    <row r="21" customFormat="false" ht="15" hidden="false" customHeight="false" outlineLevel="0" collapsed="false">
      <c r="B21" s="118" t="n">
        <f aca="false">INDEX(Groups!$C$7:$C$45,MATCH(C21,Groups!$D$7:$D$45,0))</f>
        <v>9</v>
      </c>
      <c r="C21" s="119" t="str">
        <f aca="false">GrpC!$B$5</f>
        <v>Mexico</v>
      </c>
      <c r="D21" s="120" t="n">
        <f aca="false">INDEX(Groups!$C$7:$C$45,MATCH(E21,Groups!$D$7:$D$45,0))</f>
        <v>26</v>
      </c>
      <c r="E21" s="119" t="str">
        <f aca="false">GrpC!$D$5</f>
        <v>Poland</v>
      </c>
      <c r="F21" s="121" t="str">
        <f aca="false">GrpC!$E$5</f>
        <v/>
      </c>
      <c r="G21" s="122" t="str">
        <f aca="false">GrpC!$G$5</f>
        <v/>
      </c>
    </row>
    <row r="22" customFormat="false" ht="15" hidden="false" customHeight="false" outlineLevel="0" collapsed="false">
      <c r="B22" s="118" t="n">
        <f aca="false">INDEX(Groups!$C$7:$C$45,MATCH(C22,Groups!$D$7:$D$45,0))</f>
        <v>26</v>
      </c>
      <c r="C22" s="119" t="str">
        <f aca="false">GrpC!$B$6</f>
        <v>Poland</v>
      </c>
      <c r="D22" s="120" t="n">
        <f aca="false">INDEX(Groups!$C$7:$C$45,MATCH(E22,Groups!$D$7:$D$45,0))</f>
        <v>49</v>
      </c>
      <c r="E22" s="119" t="str">
        <f aca="false">GrpC!$D$6</f>
        <v>Saudi Arabia</v>
      </c>
      <c r="F22" s="121" t="str">
        <f aca="false">GrpC!$E$6</f>
        <v/>
      </c>
      <c r="G22" s="122" t="str">
        <f aca="false">GrpC!$G$6</f>
        <v/>
      </c>
    </row>
    <row r="23" customFormat="false" ht="15" hidden="false" customHeight="false" outlineLevel="0" collapsed="false">
      <c r="B23" s="118" t="n">
        <f aca="false">INDEX(Groups!$C$7:$C$45,MATCH(C23,Groups!$D$7:$D$45,0))</f>
        <v>4</v>
      </c>
      <c r="C23" s="119" t="str">
        <f aca="false">GrpC!$B$7</f>
        <v>Argentina</v>
      </c>
      <c r="D23" s="120" t="n">
        <f aca="false">INDEX(Groups!$C$7:$C$45,MATCH(E23,Groups!$D$7:$D$45,0))</f>
        <v>9</v>
      </c>
      <c r="E23" s="119" t="str">
        <f aca="false">GrpC!$D$7</f>
        <v>Mexico</v>
      </c>
      <c r="F23" s="121" t="str">
        <f aca="false">GrpC!$E$7</f>
        <v/>
      </c>
      <c r="G23" s="122" t="str">
        <f aca="false">GrpC!$G$7</f>
        <v/>
      </c>
    </row>
    <row r="24" customFormat="false" ht="15" hidden="false" customHeight="false" outlineLevel="0" collapsed="false">
      <c r="B24" s="118" t="n">
        <f aca="false">INDEX(Groups!$C$7:$C$45,MATCH(C24,Groups!$D$7:$D$45,0))</f>
        <v>26</v>
      </c>
      <c r="C24" s="119" t="str">
        <f aca="false">GrpC!$B$8</f>
        <v>Poland</v>
      </c>
      <c r="D24" s="120" t="n">
        <f aca="false">INDEX(Groups!$C$7:$C$45,MATCH(E24,Groups!$D$7:$D$45,0))</f>
        <v>4</v>
      </c>
      <c r="E24" s="119" t="str">
        <f aca="false">GrpC!$D$8</f>
        <v>Argentina</v>
      </c>
      <c r="F24" s="121" t="str">
        <f aca="false">GrpC!$E$8</f>
        <v/>
      </c>
      <c r="G24" s="122" t="str">
        <f aca="false">GrpC!$G$8</f>
        <v/>
      </c>
    </row>
    <row r="25" customFormat="false" ht="15" hidden="false" customHeight="false" outlineLevel="0" collapsed="false">
      <c r="B25" s="118" t="n">
        <f aca="false">INDEX(Groups!$C$7:$C$45,MATCH(C25,Groups!$D$7:$D$45,0))</f>
        <v>49</v>
      </c>
      <c r="C25" s="119" t="str">
        <f aca="false">GrpC!$B$9</f>
        <v>Saudi Arabia</v>
      </c>
      <c r="D25" s="120" t="n">
        <f aca="false">INDEX(Groups!$C$7:$C$45,MATCH(E25,Groups!$D$7:$D$45,0))</f>
        <v>9</v>
      </c>
      <c r="E25" s="119" t="str">
        <f aca="false">GrpC!$D$9</f>
        <v>Mexico</v>
      </c>
      <c r="F25" s="121" t="str">
        <f aca="false">GrpC!$E$9</f>
        <v/>
      </c>
      <c r="G25" s="122" t="str">
        <f aca="false">GrpC!$G$9</f>
        <v/>
      </c>
    </row>
    <row r="26" customFormat="false" ht="24" hidden="false" customHeight="true" outlineLevel="0" collapsed="false">
      <c r="B26" s="112" t="str">
        <f aca="false">Language!$E$124&amp;" D"</f>
        <v>Group D</v>
      </c>
      <c r="C26" s="113"/>
      <c r="D26" s="123"/>
      <c r="E26" s="115"/>
      <c r="F26" s="124"/>
      <c r="G26" s="125"/>
    </row>
    <row r="27" customFormat="false" ht="15" hidden="false" customHeight="false" outlineLevel="0" collapsed="false">
      <c r="B27" s="118" t="n">
        <f aca="false">INDEX(Groups!$C$7:$C$45,MATCH(C27,Groups!$D$7:$D$45,0))</f>
        <v>11</v>
      </c>
      <c r="C27" s="119" t="str">
        <f aca="false">GrpD!$B$4</f>
        <v>Denmark</v>
      </c>
      <c r="D27" s="120" t="n">
        <f aca="false">INDEX(Groups!$C$7:$C$45,MATCH(E27,Groups!$D$7:$D$45,0))</f>
        <v>35</v>
      </c>
      <c r="E27" s="119" t="str">
        <f aca="false">GrpD!$D$4</f>
        <v>Tunisia</v>
      </c>
      <c r="F27" s="121" t="str">
        <f aca="false">GrpD!$E$4</f>
        <v/>
      </c>
      <c r="G27" s="122" t="str">
        <f aca="false">GrpD!$G$4</f>
        <v/>
      </c>
    </row>
    <row r="28" customFormat="false" ht="15" hidden="false" customHeight="false" outlineLevel="0" collapsed="false">
      <c r="B28" s="118" t="n">
        <f aca="false">INDEX(Groups!$C$7:$C$45,MATCH(C28,Groups!$D$7:$D$45,0))</f>
        <v>3</v>
      </c>
      <c r="C28" s="119" t="str">
        <f aca="false">GrpD!$B$5</f>
        <v>France</v>
      </c>
      <c r="D28" s="120" t="n">
        <f aca="false">INDEX(Groups!$C$7:$C$45,MATCH(E28,Groups!$D$7:$D$45,0))</f>
        <v>42</v>
      </c>
      <c r="E28" s="119" t="str">
        <f aca="false">GrpD!$D$5</f>
        <v>Australia</v>
      </c>
      <c r="F28" s="121" t="str">
        <f aca="false">GrpD!$E$5</f>
        <v/>
      </c>
      <c r="G28" s="122" t="str">
        <f aca="false">GrpD!$G$5</f>
        <v/>
      </c>
    </row>
    <row r="29" customFormat="false" ht="15" hidden="false" customHeight="false" outlineLevel="0" collapsed="false">
      <c r="B29" s="118" t="n">
        <f aca="false">INDEX(Groups!$C$7:$C$45,MATCH(C29,Groups!$D$7:$D$45,0))</f>
        <v>35</v>
      </c>
      <c r="C29" s="119" t="str">
        <f aca="false">GrpD!$B$6</f>
        <v>Tunisia</v>
      </c>
      <c r="D29" s="120" t="n">
        <f aca="false">INDEX(Groups!$C$7:$C$45,MATCH(E29,Groups!$D$7:$D$45,0))</f>
        <v>42</v>
      </c>
      <c r="E29" s="119" t="str">
        <f aca="false">GrpD!$D$6</f>
        <v>Australia</v>
      </c>
      <c r="F29" s="121" t="str">
        <f aca="false">GrpD!$E$6</f>
        <v/>
      </c>
      <c r="G29" s="122" t="str">
        <f aca="false">GrpD!$G$6</f>
        <v/>
      </c>
    </row>
    <row r="30" customFormat="false" ht="15" hidden="false" customHeight="false" outlineLevel="0" collapsed="false">
      <c r="B30" s="118" t="n">
        <f aca="false">INDEX(Groups!$C$7:$C$45,MATCH(C30,Groups!$D$7:$D$45,0))</f>
        <v>3</v>
      </c>
      <c r="C30" s="119" t="str">
        <f aca="false">GrpD!$B$7</f>
        <v>France</v>
      </c>
      <c r="D30" s="120" t="n">
        <f aca="false">INDEX(Groups!$C$7:$C$45,MATCH(E30,Groups!$D$7:$D$45,0))</f>
        <v>11</v>
      </c>
      <c r="E30" s="119" t="str">
        <f aca="false">GrpD!$D$7</f>
        <v>Denmark</v>
      </c>
      <c r="F30" s="121" t="str">
        <f aca="false">GrpD!$E$7</f>
        <v/>
      </c>
      <c r="G30" s="122" t="str">
        <f aca="false">GrpD!$G$7</f>
        <v/>
      </c>
    </row>
    <row r="31" customFormat="false" ht="15" hidden="false" customHeight="false" outlineLevel="0" collapsed="false">
      <c r="B31" s="118" t="n">
        <f aca="false">INDEX(Groups!$C$7:$C$45,MATCH(C31,Groups!$D$7:$D$45,0))</f>
        <v>42</v>
      </c>
      <c r="C31" s="119" t="str">
        <f aca="false">GrpD!$B$8</f>
        <v>Australia</v>
      </c>
      <c r="D31" s="120" t="n">
        <f aca="false">INDEX(Groups!$C$7:$C$45,MATCH(E31,Groups!$D$7:$D$45,0))</f>
        <v>11</v>
      </c>
      <c r="E31" s="119" t="str">
        <f aca="false">GrpD!$D$8</f>
        <v>Denmark</v>
      </c>
      <c r="F31" s="121" t="str">
        <f aca="false">GrpD!$E$8</f>
        <v/>
      </c>
      <c r="G31" s="122" t="str">
        <f aca="false">GrpD!$G$8</f>
        <v/>
      </c>
    </row>
    <row r="32" customFormat="false" ht="15" hidden="false" customHeight="false" outlineLevel="0" collapsed="false">
      <c r="B32" s="118" t="n">
        <f aca="false">INDEX(Groups!$C$7:$C$45,MATCH(C32,Groups!$D$7:$D$45,0))</f>
        <v>35</v>
      </c>
      <c r="C32" s="119" t="str">
        <f aca="false">GrpD!$B$9</f>
        <v>Tunisia</v>
      </c>
      <c r="D32" s="120" t="n">
        <f aca="false">INDEX(Groups!$C$7:$C$45,MATCH(E32,Groups!$D$7:$D$45,0))</f>
        <v>3</v>
      </c>
      <c r="E32" s="119" t="str">
        <f aca="false">GrpD!$D$9</f>
        <v>France</v>
      </c>
      <c r="F32" s="121" t="str">
        <f aca="false">GrpD!$E$9</f>
        <v/>
      </c>
      <c r="G32" s="122" t="str">
        <f aca="false">GrpD!$G$9</f>
        <v/>
      </c>
    </row>
    <row r="33" customFormat="false" ht="24" hidden="false" customHeight="true" outlineLevel="0" collapsed="false">
      <c r="B33" s="112" t="str">
        <f aca="false">Language!$E$124&amp;" E"</f>
        <v>Group E</v>
      </c>
      <c r="C33" s="113"/>
      <c r="D33" s="123"/>
      <c r="E33" s="115"/>
      <c r="F33" s="124"/>
      <c r="G33" s="125"/>
    </row>
    <row r="34" customFormat="false" ht="15" hidden="false" customHeight="false" outlineLevel="0" collapsed="false">
      <c r="B34" s="118" t="n">
        <f aca="false">INDEX(Groups!$C$7:$C$45,MATCH(C34,Groups!$D$7:$D$45,0))</f>
        <v>12</v>
      </c>
      <c r="C34" s="119" t="str">
        <f aca="false">GrpE!$B$4</f>
        <v>Germany</v>
      </c>
      <c r="D34" s="120" t="n">
        <f aca="false">INDEX(Groups!$C$7:$C$45,MATCH(E34,Groups!$D$7:$D$45,0))</f>
        <v>23</v>
      </c>
      <c r="E34" s="119" t="str">
        <f aca="false">GrpE!$D$4</f>
        <v>Japan</v>
      </c>
      <c r="F34" s="121" t="str">
        <f aca="false">GrpE!$E$4</f>
        <v/>
      </c>
      <c r="G34" s="122" t="str">
        <f aca="false">GrpE!$G$4</f>
        <v/>
      </c>
    </row>
    <row r="35" customFormat="false" ht="15" hidden="false" customHeight="false" outlineLevel="0" collapsed="false">
      <c r="B35" s="118" t="n">
        <f aca="false">INDEX(Groups!$C$7:$C$45,MATCH(C35,Groups!$D$7:$D$45,0))</f>
        <v>7</v>
      </c>
      <c r="C35" s="119" t="str">
        <f aca="false">GrpE!$B$5</f>
        <v>Spain</v>
      </c>
      <c r="D35" s="120" t="n">
        <f aca="false">INDEX(Groups!$C$7:$C$45,MATCH(E35,Groups!$D$7:$D$45,0))</f>
        <v>31</v>
      </c>
      <c r="E35" s="119" t="str">
        <f aca="false">GrpE!$D$5</f>
        <v>Costa Rica</v>
      </c>
      <c r="F35" s="121" t="str">
        <f aca="false">GrpE!$E$5</f>
        <v/>
      </c>
      <c r="G35" s="122" t="str">
        <f aca="false">GrpE!$G$5</f>
        <v/>
      </c>
    </row>
    <row r="36" customFormat="false" ht="15" hidden="false" customHeight="false" outlineLevel="0" collapsed="false">
      <c r="B36" s="118" t="n">
        <f aca="false">INDEX(Groups!$C$7:$C$45,MATCH(C36,Groups!$D$7:$D$45,0))</f>
        <v>23</v>
      </c>
      <c r="C36" s="119" t="str">
        <f aca="false">GrpE!$B$6</f>
        <v>Japan</v>
      </c>
      <c r="D36" s="120" t="n">
        <f aca="false">INDEX(Groups!$C$7:$C$45,MATCH(E36,Groups!$D$7:$D$45,0))</f>
        <v>31</v>
      </c>
      <c r="E36" s="119" t="str">
        <f aca="false">GrpE!$D$6</f>
        <v>Costa Rica</v>
      </c>
      <c r="F36" s="121" t="str">
        <f aca="false">GrpE!$E$6</f>
        <v/>
      </c>
      <c r="G36" s="122" t="str">
        <f aca="false">GrpE!$G$6</f>
        <v/>
      </c>
    </row>
    <row r="37" customFormat="false" ht="15" hidden="false" customHeight="false" outlineLevel="0" collapsed="false">
      <c r="B37" s="118" t="n">
        <f aca="false">INDEX(Groups!$C$7:$C$45,MATCH(C37,Groups!$D$7:$D$45,0))</f>
        <v>7</v>
      </c>
      <c r="C37" s="119" t="str">
        <f aca="false">GrpE!$B$7</f>
        <v>Spain</v>
      </c>
      <c r="D37" s="120" t="n">
        <f aca="false">INDEX(Groups!$C$7:$C$45,MATCH(E37,Groups!$D$7:$D$45,0))</f>
        <v>12</v>
      </c>
      <c r="E37" s="119" t="str">
        <f aca="false">GrpE!$D$7</f>
        <v>Germany</v>
      </c>
      <c r="F37" s="121" t="str">
        <f aca="false">GrpE!$E$7</f>
        <v/>
      </c>
      <c r="G37" s="122" t="str">
        <f aca="false">GrpE!$G$7</f>
        <v/>
      </c>
    </row>
    <row r="38" customFormat="false" ht="15" hidden="false" customHeight="false" outlineLevel="0" collapsed="false">
      <c r="B38" s="118" t="n">
        <f aca="false">INDEX(Groups!$C$7:$C$45,MATCH(C38,Groups!$D$7:$D$45,0))</f>
        <v>23</v>
      </c>
      <c r="C38" s="119" t="str">
        <f aca="false">GrpE!$B$8</f>
        <v>Japan</v>
      </c>
      <c r="D38" s="120" t="n">
        <f aca="false">INDEX(Groups!$C$7:$C$45,MATCH(E38,Groups!$D$7:$D$45,0))</f>
        <v>7</v>
      </c>
      <c r="E38" s="119" t="str">
        <f aca="false">GrpE!$D$8</f>
        <v>Spain</v>
      </c>
      <c r="F38" s="121" t="str">
        <f aca="false">GrpE!$E$8</f>
        <v/>
      </c>
      <c r="G38" s="122" t="str">
        <f aca="false">GrpE!$G$8</f>
        <v/>
      </c>
    </row>
    <row r="39" customFormat="false" ht="15" hidden="false" customHeight="false" outlineLevel="0" collapsed="false">
      <c r="B39" s="118" t="n">
        <f aca="false">INDEX(Groups!$C$7:$C$45,MATCH(C39,Groups!$D$7:$D$45,0))</f>
        <v>31</v>
      </c>
      <c r="C39" s="119" t="str">
        <f aca="false">GrpE!$B$9</f>
        <v>Costa Rica</v>
      </c>
      <c r="D39" s="120" t="n">
        <f aca="false">INDEX(Groups!$C$7:$C$45,MATCH(E39,Groups!$D$7:$D$45,0))</f>
        <v>12</v>
      </c>
      <c r="E39" s="119" t="str">
        <f aca="false">GrpE!$D$9</f>
        <v>Germany</v>
      </c>
      <c r="F39" s="121" t="str">
        <f aca="false">GrpE!$E$9</f>
        <v/>
      </c>
      <c r="G39" s="122" t="str">
        <f aca="false">GrpE!$G$9</f>
        <v/>
      </c>
    </row>
    <row r="40" customFormat="false" ht="24" hidden="false" customHeight="true" outlineLevel="0" collapsed="false">
      <c r="B40" s="112" t="str">
        <f aca="false">Language!$E$124&amp;" F"</f>
        <v>Group F</v>
      </c>
      <c r="C40" s="113"/>
      <c r="D40" s="123"/>
      <c r="E40" s="115"/>
      <c r="F40" s="124"/>
      <c r="G40" s="125"/>
    </row>
    <row r="41" customFormat="false" ht="15" hidden="false" customHeight="false" outlineLevel="0" collapsed="false">
      <c r="B41" s="118" t="n">
        <f aca="false">INDEX(Groups!$C$7:$C$45,MATCH(C41,Groups!$D$7:$D$45,0))</f>
        <v>24</v>
      </c>
      <c r="C41" s="119" t="str">
        <f aca="false">GrpF!$B$4</f>
        <v>Morocco</v>
      </c>
      <c r="D41" s="120" t="n">
        <f aca="false">INDEX(Groups!$C$7:$C$45,MATCH(E41,Groups!$D$7:$D$45,0))</f>
        <v>16</v>
      </c>
      <c r="E41" s="119" t="str">
        <f aca="false">GrpF!$D$4</f>
        <v>Croatia</v>
      </c>
      <c r="F41" s="121" t="str">
        <f aca="false">GrpF!$E$4</f>
        <v/>
      </c>
      <c r="G41" s="122" t="str">
        <f aca="false">GrpF!$G$4</f>
        <v/>
      </c>
    </row>
    <row r="42" customFormat="false" ht="15" hidden="false" customHeight="false" outlineLevel="0" collapsed="false">
      <c r="B42" s="118" t="n">
        <f aca="false">INDEX(Groups!$C$7:$C$45,MATCH(C42,Groups!$D$7:$D$45,0))</f>
        <v>2</v>
      </c>
      <c r="C42" s="119" t="str">
        <f aca="false">GrpF!$B$5</f>
        <v>Belgium</v>
      </c>
      <c r="D42" s="120" t="n">
        <f aca="false">INDEX(Groups!$C$7:$C$45,MATCH(E42,Groups!$D$7:$D$45,0))</f>
        <v>38</v>
      </c>
      <c r="E42" s="119" t="str">
        <f aca="false">GrpF!$D$5</f>
        <v>Canada</v>
      </c>
      <c r="F42" s="121" t="str">
        <f aca="false">GrpF!$E$5</f>
        <v/>
      </c>
      <c r="G42" s="122" t="str">
        <f aca="false">GrpF!$G$5</f>
        <v/>
      </c>
    </row>
    <row r="43" customFormat="false" ht="15" hidden="false" customHeight="false" outlineLevel="0" collapsed="false">
      <c r="B43" s="118" t="n">
        <f aca="false">INDEX(Groups!$C$7:$C$45,MATCH(C43,Groups!$D$7:$D$45,0))</f>
        <v>2</v>
      </c>
      <c r="C43" s="119" t="str">
        <f aca="false">GrpF!$B$6</f>
        <v>Belgium</v>
      </c>
      <c r="D43" s="120" t="n">
        <f aca="false">INDEX(Groups!$C$7:$C$45,MATCH(E43,Groups!$D$7:$D$45,0))</f>
        <v>24</v>
      </c>
      <c r="E43" s="119" t="str">
        <f aca="false">GrpF!$D$6</f>
        <v>Morocco</v>
      </c>
      <c r="F43" s="121" t="str">
        <f aca="false">GrpF!$E$6</f>
        <v/>
      </c>
      <c r="G43" s="122" t="str">
        <f aca="false">GrpF!$G$6</f>
        <v/>
      </c>
    </row>
    <row r="44" customFormat="false" ht="15" hidden="false" customHeight="false" outlineLevel="0" collapsed="false">
      <c r="B44" s="118" t="n">
        <f aca="false">INDEX(Groups!$C$7:$C$45,MATCH(C44,Groups!$D$7:$D$45,0))</f>
        <v>16</v>
      </c>
      <c r="C44" s="119" t="str">
        <f aca="false">GrpF!$B$7</f>
        <v>Croatia</v>
      </c>
      <c r="D44" s="120" t="n">
        <f aca="false">INDEX(Groups!$C$7:$C$45,MATCH(E44,Groups!$D$7:$D$45,0))</f>
        <v>38</v>
      </c>
      <c r="E44" s="119" t="str">
        <f aca="false">GrpF!$D$7</f>
        <v>Canada</v>
      </c>
      <c r="F44" s="121" t="str">
        <f aca="false">GrpF!$E$7</f>
        <v/>
      </c>
      <c r="G44" s="122" t="str">
        <f aca="false">GrpF!$G$7</f>
        <v/>
      </c>
    </row>
    <row r="45" customFormat="false" ht="15" hidden="false" customHeight="false" outlineLevel="0" collapsed="false">
      <c r="B45" s="118" t="n">
        <f aca="false">INDEX(Groups!$C$7:$C$45,MATCH(C45,Groups!$D$7:$D$45,0))</f>
        <v>16</v>
      </c>
      <c r="C45" s="119" t="str">
        <f aca="false">GrpF!$B$8</f>
        <v>Croatia</v>
      </c>
      <c r="D45" s="120" t="n">
        <f aca="false">INDEX(Groups!$C$7:$C$45,MATCH(E45,Groups!$D$7:$D$45,0))</f>
        <v>2</v>
      </c>
      <c r="E45" s="119" t="str">
        <f aca="false">GrpF!$D$8</f>
        <v>Belgium</v>
      </c>
      <c r="F45" s="121" t="str">
        <f aca="false">GrpF!$E$8</f>
        <v/>
      </c>
      <c r="G45" s="122" t="str">
        <f aca="false">GrpF!$G$8</f>
        <v/>
      </c>
    </row>
    <row r="46" customFormat="false" ht="15" hidden="false" customHeight="false" outlineLevel="0" collapsed="false">
      <c r="B46" s="118" t="n">
        <f aca="false">INDEX(Groups!$C$7:$C$45,MATCH(C46,Groups!$D$7:$D$45,0))</f>
        <v>38</v>
      </c>
      <c r="C46" s="119" t="str">
        <f aca="false">GrpF!$B$9</f>
        <v>Canada</v>
      </c>
      <c r="D46" s="120" t="n">
        <f aca="false">INDEX(Groups!$C$7:$C$45,MATCH(E46,Groups!$D$7:$D$45,0))</f>
        <v>24</v>
      </c>
      <c r="E46" s="119" t="str">
        <f aca="false">GrpF!$D$9</f>
        <v>Morocco</v>
      </c>
      <c r="F46" s="121" t="str">
        <f aca="false">GrpF!$E$9</f>
        <v/>
      </c>
      <c r="G46" s="122" t="str">
        <f aca="false">GrpF!$G$9</f>
        <v/>
      </c>
    </row>
    <row r="47" customFormat="false" ht="24" hidden="false" customHeight="true" outlineLevel="0" collapsed="false">
      <c r="B47" s="112" t="str">
        <f aca="false">Language!$E$124&amp;" G"</f>
        <v>Group G</v>
      </c>
      <c r="C47" s="113"/>
      <c r="D47" s="123"/>
      <c r="E47" s="115"/>
      <c r="F47" s="124"/>
      <c r="G47" s="125"/>
    </row>
    <row r="48" customFormat="false" ht="15" hidden="false" customHeight="false" outlineLevel="0" collapsed="false">
      <c r="B48" s="118" t="n">
        <f aca="false">INDEX(Groups!$C$7:$C$45,MATCH(C48,Groups!$D$7:$D$45,0))</f>
        <v>14</v>
      </c>
      <c r="C48" s="119" t="str">
        <f aca="false">GrpG!$B$4</f>
        <v>Switzerland</v>
      </c>
      <c r="D48" s="120" t="n">
        <f aca="false">INDEX(Groups!$C$7:$C$45,MATCH(E48,Groups!$D$7:$D$45,0))</f>
        <v>37</v>
      </c>
      <c r="E48" s="119" t="str">
        <f aca="false">GrpG!$D$4</f>
        <v>Cameroon</v>
      </c>
      <c r="F48" s="121" t="str">
        <f aca="false">GrpG!$E$4</f>
        <v/>
      </c>
      <c r="G48" s="122" t="str">
        <f aca="false">GrpG!$G$4</f>
        <v/>
      </c>
    </row>
    <row r="49" customFormat="false" ht="15" hidden="false" customHeight="false" outlineLevel="0" collapsed="false">
      <c r="B49" s="118" t="n">
        <f aca="false">INDEX(Groups!$C$7:$C$45,MATCH(C49,Groups!$D$7:$D$45,0))</f>
        <v>1</v>
      </c>
      <c r="C49" s="119" t="str">
        <f aca="false">GrpG!$B$5</f>
        <v>Brazil</v>
      </c>
      <c r="D49" s="120" t="n">
        <f aca="false">INDEX(Groups!$C$7:$C$45,MATCH(E49,Groups!$D$7:$D$45,0))</f>
        <v>25</v>
      </c>
      <c r="E49" s="119" t="str">
        <f aca="false">GrpG!$D$5</f>
        <v>Serbia</v>
      </c>
      <c r="F49" s="121" t="str">
        <f aca="false">GrpG!$E$5</f>
        <v/>
      </c>
      <c r="G49" s="122" t="str">
        <f aca="false">GrpG!$G$5</f>
        <v/>
      </c>
    </row>
    <row r="50" customFormat="false" ht="15" hidden="false" customHeight="false" outlineLevel="0" collapsed="false">
      <c r="B50" s="118" t="n">
        <f aca="false">INDEX(Groups!$C$7:$C$45,MATCH(C50,Groups!$D$7:$D$45,0))</f>
        <v>37</v>
      </c>
      <c r="C50" s="119" t="str">
        <f aca="false">GrpG!$B$6</f>
        <v>Cameroon</v>
      </c>
      <c r="D50" s="120" t="n">
        <f aca="false">INDEX(Groups!$C$7:$C$45,MATCH(E50,Groups!$D$7:$D$45,0))</f>
        <v>25</v>
      </c>
      <c r="E50" s="119" t="str">
        <f aca="false">GrpG!$D$6</f>
        <v>Serbia</v>
      </c>
      <c r="F50" s="121" t="str">
        <f aca="false">GrpG!$E$6</f>
        <v/>
      </c>
      <c r="G50" s="122" t="str">
        <f aca="false">GrpG!$G$6</f>
        <v/>
      </c>
    </row>
    <row r="51" s="102" customFormat="true" ht="15" hidden="false" customHeight="false" outlineLevel="0" collapsed="false">
      <c r="A51" s="100"/>
      <c r="B51" s="118" t="n">
        <f aca="false">INDEX(Groups!$C$7:$C$45,MATCH(C51,Groups!$D$7:$D$45,0))</f>
        <v>1</v>
      </c>
      <c r="C51" s="119" t="str">
        <f aca="false">GrpG!$B$7</f>
        <v>Brazil</v>
      </c>
      <c r="D51" s="120" t="n">
        <f aca="false">INDEX(Groups!$C$7:$C$45,MATCH(E51,Groups!$D$7:$D$45,0))</f>
        <v>14</v>
      </c>
      <c r="E51" s="119" t="str">
        <f aca="false">GrpG!$D$7</f>
        <v>Switzerland</v>
      </c>
      <c r="F51" s="121" t="str">
        <f aca="false">GrpG!$E$7</f>
        <v/>
      </c>
      <c r="G51" s="122" t="str">
        <f aca="false">GrpG!$G$7</f>
        <v/>
      </c>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02" customFormat="true" ht="15" hidden="false" customHeight="false" outlineLevel="0" collapsed="false">
      <c r="A52" s="100"/>
      <c r="B52" s="118" t="n">
        <f aca="false">INDEX(Groups!$C$7:$C$45,MATCH(C52,Groups!$D$7:$D$45,0))</f>
        <v>25</v>
      </c>
      <c r="C52" s="119" t="str">
        <f aca="false">GrpG!$B$8</f>
        <v>Serbia</v>
      </c>
      <c r="D52" s="120" t="n">
        <f aca="false">INDEX(Groups!$C$7:$C$45,MATCH(E52,Groups!$D$7:$D$45,0))</f>
        <v>14</v>
      </c>
      <c r="E52" s="119" t="str">
        <f aca="false">GrpG!$D$8</f>
        <v>Switzerland</v>
      </c>
      <c r="F52" s="121" t="str">
        <f aca="false">GrpG!$E$8</f>
        <v/>
      </c>
      <c r="G52" s="122" t="str">
        <f aca="false">GrpG!$G$8</f>
        <v/>
      </c>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02" customFormat="true" ht="15" hidden="false" customHeight="false" outlineLevel="0" collapsed="false">
      <c r="A53" s="100"/>
      <c r="B53" s="118" t="n">
        <f aca="false">INDEX(Groups!$C$7:$C$45,MATCH(C53,Groups!$D$7:$D$45,0))</f>
        <v>37</v>
      </c>
      <c r="C53" s="119" t="str">
        <f aca="false">GrpG!$B$9</f>
        <v>Cameroon</v>
      </c>
      <c r="D53" s="120" t="n">
        <f aca="false">INDEX(Groups!$C$7:$C$45,MATCH(E53,Groups!$D$7:$D$45,0))</f>
        <v>1</v>
      </c>
      <c r="E53" s="119" t="str">
        <f aca="false">GrpG!$D$9</f>
        <v>Brazil</v>
      </c>
      <c r="F53" s="121" t="str">
        <f aca="false">GrpG!$E$9</f>
        <v/>
      </c>
      <c r="G53" s="122" t="str">
        <f aca="false">GrpG!$G$9</f>
        <v/>
      </c>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02" customFormat="true" ht="24" hidden="false" customHeight="true" outlineLevel="0" collapsed="false">
      <c r="A54" s="100"/>
      <c r="B54" s="112" t="str">
        <f aca="false">Language!$E$124&amp;" H"</f>
        <v>Group H</v>
      </c>
      <c r="C54" s="123"/>
      <c r="D54" s="123"/>
      <c r="E54" s="115"/>
      <c r="F54" s="124"/>
      <c r="G54" s="125"/>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02" customFormat="true" ht="15" hidden="false" customHeight="false" outlineLevel="0" collapsed="false">
      <c r="A55" s="100"/>
      <c r="B55" s="118" t="n">
        <f aca="false">INDEX(Groups!$C$7:$C$45,MATCH(C55,Groups!$D$7:$D$45,0))</f>
        <v>13</v>
      </c>
      <c r="C55" s="119" t="str">
        <f aca="false">GrpH!$B$4</f>
        <v>Uruguay</v>
      </c>
      <c r="D55" s="120" t="n">
        <f aca="false">INDEX(Groups!$C$7:$C$45,MATCH(E55,Groups!$D$7:$D$45,0))</f>
        <v>29</v>
      </c>
      <c r="E55" s="119" t="str">
        <f aca="false">GrpH!$D$4</f>
        <v>South Korea</v>
      </c>
      <c r="F55" s="121" t="str">
        <f aca="false">GrpH!$E$4</f>
        <v/>
      </c>
      <c r="G55" s="122" t="str">
        <f aca="false">GrpH!$G$4</f>
        <v/>
      </c>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02" customFormat="true" ht="15" hidden="false" customHeight="false" outlineLevel="0" collapsed="false">
      <c r="A56" s="100"/>
      <c r="B56" s="118" t="n">
        <f aca="false">INDEX(Groups!$C$7:$C$45,MATCH(C56,Groups!$D$7:$D$45,0))</f>
        <v>8</v>
      </c>
      <c r="C56" s="119" t="str">
        <f aca="false">GrpH!$B$5</f>
        <v>Portugal</v>
      </c>
      <c r="D56" s="120" t="n">
        <f aca="false">INDEX(Groups!$C$7:$C$45,MATCH(E56,Groups!$D$7:$D$45,0))</f>
        <v>60</v>
      </c>
      <c r="E56" s="119" t="str">
        <f aca="false">GrpH!$D$5</f>
        <v>Ghana</v>
      </c>
      <c r="F56" s="121" t="str">
        <f aca="false">GrpH!$E$5</f>
        <v/>
      </c>
      <c r="G56" s="122" t="str">
        <f aca="false">GrpH!$G$5</f>
        <v/>
      </c>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102" customFormat="true" ht="15" hidden="false" customHeight="false" outlineLevel="0" collapsed="false">
      <c r="A57" s="100"/>
      <c r="B57" s="118" t="n">
        <f aca="false">INDEX(Groups!$C$7:$C$45,MATCH(C57,Groups!$D$7:$D$45,0))</f>
        <v>29</v>
      </c>
      <c r="C57" s="119" t="str">
        <f aca="false">GrpH!$B$6</f>
        <v>South Korea</v>
      </c>
      <c r="D57" s="120" t="n">
        <f aca="false">INDEX(Groups!$C$7:$C$45,MATCH(E57,Groups!$D$7:$D$45,0))</f>
        <v>60</v>
      </c>
      <c r="E57" s="119" t="str">
        <f aca="false">GrpH!$D$6</f>
        <v>Ghana</v>
      </c>
      <c r="F57" s="121" t="str">
        <f aca="false">GrpH!$E$6</f>
        <v/>
      </c>
      <c r="G57" s="122" t="str">
        <f aca="false">GrpH!$G$6</f>
        <v/>
      </c>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02" customFormat="true" ht="15" hidden="false" customHeight="false" outlineLevel="0" collapsed="false">
      <c r="A58" s="100"/>
      <c r="B58" s="118" t="n">
        <f aca="false">INDEX(Groups!$C$7:$C$45,MATCH(C58,Groups!$D$7:$D$45,0))</f>
        <v>8</v>
      </c>
      <c r="C58" s="119" t="str">
        <f aca="false">GrpH!$B$7</f>
        <v>Portugal</v>
      </c>
      <c r="D58" s="120" t="n">
        <f aca="false">INDEX(Groups!$C$7:$C$45,MATCH(E58,Groups!$D$7:$D$45,0))</f>
        <v>13</v>
      </c>
      <c r="E58" s="119" t="str">
        <f aca="false">GrpH!$D$7</f>
        <v>Uruguay</v>
      </c>
      <c r="F58" s="121" t="str">
        <f aca="false">GrpH!$E$7</f>
        <v/>
      </c>
      <c r="G58" s="122" t="str">
        <f aca="false">GrpH!$G$7</f>
        <v/>
      </c>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02" customFormat="true" ht="15" hidden="false" customHeight="false" outlineLevel="0" collapsed="false">
      <c r="A59" s="100"/>
      <c r="B59" s="118" t="n">
        <f aca="false">INDEX(Groups!$C$7:$C$45,MATCH(C59,Groups!$D$7:$D$45,0))</f>
        <v>60</v>
      </c>
      <c r="C59" s="119" t="str">
        <f aca="false">GrpH!$B$8</f>
        <v>Ghana</v>
      </c>
      <c r="D59" s="120" t="n">
        <f aca="false">INDEX(Groups!$C$7:$C$45,MATCH(E59,Groups!$D$7:$D$45,0))</f>
        <v>13</v>
      </c>
      <c r="E59" s="119" t="str">
        <f aca="false">GrpH!$D$8</f>
        <v>Uruguay</v>
      </c>
      <c r="F59" s="121" t="str">
        <f aca="false">GrpH!$E$8</f>
        <v/>
      </c>
      <c r="G59" s="122" t="str">
        <f aca="false">GrpH!$G$8</f>
        <v/>
      </c>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102" customFormat="true" ht="15" hidden="false" customHeight="false" outlineLevel="0" collapsed="false">
      <c r="A60" s="100"/>
      <c r="B60" s="118" t="n">
        <f aca="false">INDEX(Groups!$C$7:$C$45,MATCH(C60,Groups!$D$7:$D$45,0))</f>
        <v>29</v>
      </c>
      <c r="C60" s="119" t="str">
        <f aca="false">GrpH!$B$9</f>
        <v>South Korea</v>
      </c>
      <c r="D60" s="120" t="n">
        <f aca="false">INDEX(Groups!$C$7:$C$45,MATCH(E60,Groups!$D$7:$D$45,0))</f>
        <v>8</v>
      </c>
      <c r="E60" s="119" t="str">
        <f aca="false">GrpH!$D$9</f>
        <v>Portugal</v>
      </c>
      <c r="F60" s="121" t="str">
        <f aca="false">GrpH!$E$9</f>
        <v/>
      </c>
      <c r="G60" s="122" t="str">
        <f aca="false">GrpH!$G$9</f>
        <v/>
      </c>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02" customFormat="true" ht="24" hidden="false" customHeight="true" outlineLevel="0" collapsed="false">
      <c r="A61" s="100"/>
      <c r="B61" s="112" t="str">
        <f aca="false">Language!$E$179</f>
        <v>Round of 16</v>
      </c>
      <c r="C61" s="123"/>
      <c r="D61" s="123"/>
      <c r="E61" s="115"/>
      <c r="F61" s="124"/>
      <c r="G61" s="125"/>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102" customFormat="true" ht="15" hidden="false" customHeight="false" outlineLevel="0" collapsed="false">
      <c r="A62" s="100"/>
      <c r="B62" s="118" t="str">
        <f aca="false">IF(C62="","",INDEX(Groups!$C$7:$C$45,MATCH(C62,Groups!$D$7:$D$45,0)))</f>
        <v/>
      </c>
      <c r="C62" s="119" t="str">
        <f aca="true">INDIRECT("'"&amp;References!$A$1&amp;"'!"&amp;"$B$50")</f>
        <v/>
      </c>
      <c r="D62" s="120" t="str">
        <f aca="false">IF(E62="","",INDEX(Groups!$C$7:$C$45,MATCH(E62,Groups!$D$7:$D$45,0)))</f>
        <v/>
      </c>
      <c r="E62" s="119" t="str">
        <f aca="true">INDIRECT("'"&amp;References!$A$1&amp;"'!"&amp;"$C$50")</f>
        <v/>
      </c>
      <c r="F62" s="121" t="str">
        <f aca="true">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
      </c>
      <c r="G62" s="122" t="str">
        <f aca="true">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
      </c>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02" customFormat="true" ht="15" hidden="false" customHeight="false" outlineLevel="0" collapsed="false">
      <c r="A63" s="100"/>
      <c r="B63" s="118" t="str">
        <f aca="false">IF(C63="","",INDEX(Groups!$C$7:$C$45,MATCH(C63,Groups!$D$7:$D$45,0)))</f>
        <v/>
      </c>
      <c r="C63" s="119" t="str">
        <f aca="true">INDIRECT("'"&amp;References!$A$1&amp;"'!"&amp;"$E$50")</f>
        <v/>
      </c>
      <c r="D63" s="120" t="str">
        <f aca="false">IF(E63="","",INDEX(Groups!$C$7:$C$45,MATCH(E63,Groups!$D$7:$D$45,0)))</f>
        <v/>
      </c>
      <c r="E63" s="119" t="str">
        <f aca="true">INDIRECT("'"&amp;References!$A$1&amp;"'!"&amp;"$F$50")</f>
        <v/>
      </c>
      <c r="F63" s="121" t="str">
        <f aca="true">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
      </c>
      <c r="G63" s="122" t="str">
        <f aca="true">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
      </c>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102" customFormat="true" ht="15" hidden="false" customHeight="false" outlineLevel="0" collapsed="false">
      <c r="A64" s="100"/>
      <c r="B64" s="118" t="str">
        <f aca="false">IF(C64="","",INDEX(Groups!$C$7:$C$45,MATCH(C64,Groups!$D$7:$D$45,0)))</f>
        <v/>
      </c>
      <c r="C64" s="119" t="str">
        <f aca="true">INDIRECT("'"&amp;References!$A$1&amp;"'!"&amp;"$H$50")</f>
        <v/>
      </c>
      <c r="D64" s="120" t="str">
        <f aca="false">IF(E64="","",INDEX(Groups!$C$7:$C$45,MATCH(E64,Groups!$D$7:$D$45,0)))</f>
        <v/>
      </c>
      <c r="E64" s="119" t="str">
        <f aca="true">INDIRECT("'"&amp;References!$A$1&amp;"'!"&amp;"$I$50")</f>
        <v/>
      </c>
      <c r="F64" s="121" t="str">
        <f aca="true">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
      </c>
      <c r="G64" s="122" t="str">
        <f aca="true">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
      </c>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102" customFormat="true" ht="15" hidden="false" customHeight="false" outlineLevel="0" collapsed="false">
      <c r="A65" s="100"/>
      <c r="B65" s="118" t="str">
        <f aca="false">IF(C65="","",INDEX(Groups!$C$7:$C$45,MATCH(C65,Groups!$D$7:$D$45,0)))</f>
        <v/>
      </c>
      <c r="C65" s="119" t="str">
        <f aca="true">INDIRECT("'"&amp;References!$A$1&amp;"'!"&amp;"$K$50")</f>
        <v/>
      </c>
      <c r="D65" s="120" t="str">
        <f aca="false">IF(E65="","",INDEX(Groups!$C$7:$C$45,MATCH(E65,Groups!$D$7:$D$45,0)))</f>
        <v/>
      </c>
      <c r="E65" s="119" t="str">
        <f aca="true">INDIRECT("'"&amp;References!$A$1&amp;"'!"&amp;"$L$50")</f>
        <v/>
      </c>
      <c r="F65" s="121" t="str">
        <f aca="true">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
      </c>
      <c r="G65" s="122" t="str">
        <f aca="true">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
      </c>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102" customFormat="true" ht="15" hidden="false" customHeight="false" outlineLevel="0" collapsed="false">
      <c r="A66" s="100"/>
      <c r="B66" s="118" t="str">
        <f aca="false">IF(C66="","",INDEX(Groups!$C$7:$C$45,MATCH(C66,Groups!$D$7:$D$45,0)))</f>
        <v/>
      </c>
      <c r="C66" s="119" t="str">
        <f aca="true">INDIRECT("'"&amp;References!$A$1&amp;"'!"&amp;"$N$50")</f>
        <v/>
      </c>
      <c r="D66" s="120" t="str">
        <f aca="false">IF(E66="","",INDEX(Groups!$C$7:$C$45,MATCH(E66,Groups!$D$7:$D$45,0)))</f>
        <v/>
      </c>
      <c r="E66" s="119" t="str">
        <f aca="true">INDIRECT("'"&amp;References!$A$1&amp;"'!"&amp;"$O$50")</f>
        <v/>
      </c>
      <c r="F66" s="121" t="str">
        <f aca="true">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
      </c>
      <c r="G66" s="122" t="str">
        <f aca="true">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
      </c>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02" customFormat="true" ht="15" hidden="false" customHeight="false" outlineLevel="0" collapsed="false">
      <c r="A67" s="100"/>
      <c r="B67" s="118" t="str">
        <f aca="false">IF(C67="","",INDEX(Groups!$C$7:$C$45,MATCH(C67,Groups!$D$7:$D$45,0)))</f>
        <v/>
      </c>
      <c r="C67" s="119" t="str">
        <f aca="true">INDIRECT("'"&amp;References!$A$1&amp;"'!"&amp;"$Q$50")</f>
        <v/>
      </c>
      <c r="D67" s="120" t="str">
        <f aca="false">IF(E67="","",INDEX(Groups!$C$7:$C$45,MATCH(E67,Groups!$D$7:$D$45,0)))</f>
        <v/>
      </c>
      <c r="E67" s="119" t="str">
        <f aca="true">INDIRECT("'"&amp;References!$A$1&amp;"'!"&amp;"$R$50")</f>
        <v/>
      </c>
      <c r="F67" s="121" t="str">
        <f aca="true">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
      </c>
      <c r="G67" s="122" t="str">
        <f aca="true">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
      </c>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02" customFormat="true" ht="15" hidden="false" customHeight="false" outlineLevel="0" collapsed="false">
      <c r="A68" s="100"/>
      <c r="B68" s="118" t="str">
        <f aca="false">IF(C68="","",INDEX(Groups!$C$7:$C$45,MATCH(C68,Groups!$D$7:$D$45,0)))</f>
        <v/>
      </c>
      <c r="C68" s="119" t="str">
        <f aca="true">INDIRECT("'"&amp;References!$A$1&amp;"'!"&amp;"$T$50")</f>
        <v/>
      </c>
      <c r="D68" s="120" t="str">
        <f aca="false">IF(E68="","",INDEX(Groups!$C$7:$C$45,MATCH(E68,Groups!$D$7:$D$45,0)))</f>
        <v/>
      </c>
      <c r="E68" s="119" t="str">
        <f aca="true">INDIRECT("'"&amp;References!$A$1&amp;"'!"&amp;"$U$50")</f>
        <v/>
      </c>
      <c r="F68" s="121" t="str">
        <f aca="true">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
      </c>
      <c r="G68" s="122" t="str">
        <f aca="true">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
      </c>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02" customFormat="true" ht="15" hidden="false" customHeight="false" outlineLevel="0" collapsed="false">
      <c r="A69" s="100"/>
      <c r="B69" s="118" t="str">
        <f aca="false">IF(C69="","",INDEX(Groups!$C$7:$C$45,MATCH(C69,Groups!$D$7:$D$45,0)))</f>
        <v/>
      </c>
      <c r="C69" s="119" t="str">
        <f aca="true">INDIRECT("'"&amp;References!$A$1&amp;"'!"&amp;"$W$50")</f>
        <v/>
      </c>
      <c r="D69" s="120" t="str">
        <f aca="false">IF(E69="","",INDEX(Groups!$C$7:$C$45,MATCH(E69,Groups!$D$7:$D$45,0)))</f>
        <v/>
      </c>
      <c r="E69" s="119" t="str">
        <f aca="true">INDIRECT("'"&amp;References!$A$1&amp;"'!"&amp;"$X$50")</f>
        <v/>
      </c>
      <c r="F69" s="121" t="str">
        <f aca="true">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
      </c>
      <c r="G69" s="122" t="str">
        <f aca="true">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
      </c>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02" customFormat="true" ht="24" hidden="false" customHeight="true" outlineLevel="0" collapsed="false">
      <c r="A70" s="100"/>
      <c r="B70" s="112" t="str">
        <f aca="false">Language!$E$180</f>
        <v>Quarter final</v>
      </c>
      <c r="C70" s="123"/>
      <c r="D70" s="123"/>
      <c r="E70" s="115"/>
      <c r="F70" s="124"/>
      <c r="G70" s="125"/>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02" customFormat="true" ht="15" hidden="false" customHeight="false" outlineLevel="0" collapsed="false">
      <c r="A71" s="100"/>
      <c r="B71" s="118" t="str">
        <f aca="false">IF(C71="","",INDEX(Groups!$C$7:$C$45,MATCH(C71,Groups!$D$7:$D$45,0)))</f>
        <v/>
      </c>
      <c r="C71" s="119" t="str">
        <f aca="true">INDIRECT("'"&amp;References!$A$1&amp;"'!"&amp;"$C$60")</f>
        <v/>
      </c>
      <c r="D71" s="120" t="str">
        <f aca="false">IF(E71="","",INDEX(Groups!$C$7:$C$45,MATCH(E71,Groups!$D$7:$D$45,0)))</f>
        <v/>
      </c>
      <c r="E71" s="119" t="str">
        <f aca="true">INDIRECT("'"&amp;References!$A$1&amp;"'!"&amp;"$E$60")</f>
        <v/>
      </c>
      <c r="F71" s="121" t="str">
        <f aca="true">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
      </c>
      <c r="G71" s="122" t="str">
        <f aca="true">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
      </c>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02" customFormat="true" ht="15" hidden="false" customHeight="false" outlineLevel="0" collapsed="false">
      <c r="A72" s="100"/>
      <c r="B72" s="118" t="str">
        <f aca="false">IF(C72="","",INDEX(Groups!$C$7:$C$45,MATCH(C72,Groups!$D$7:$D$45,0)))</f>
        <v/>
      </c>
      <c r="C72" s="119" t="str">
        <f aca="true">INDIRECT("'"&amp;References!$A$1&amp;"'!"&amp;"$I$60")</f>
        <v/>
      </c>
      <c r="D72" s="120" t="str">
        <f aca="false">IF(E72="","",INDEX(Groups!$C$7:$C$45,MATCH(E72,Groups!$D$7:$D$45,0)))</f>
        <v/>
      </c>
      <c r="E72" s="119" t="str">
        <f aca="true">INDIRECT("'"&amp;References!$A$1&amp;"'!"&amp;"$K$60")</f>
        <v/>
      </c>
      <c r="F72" s="121" t="str">
        <f aca="true">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
      </c>
      <c r="G72" s="122" t="str">
        <f aca="true">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
      </c>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02" customFormat="true" ht="15" hidden="false" customHeight="false" outlineLevel="0" collapsed="false">
      <c r="A73" s="100"/>
      <c r="B73" s="118" t="str">
        <f aca="false">IF(C73="","",INDEX(Groups!$C$7:$C$45,MATCH(C73,Groups!$D$7:$D$45,0)))</f>
        <v/>
      </c>
      <c r="C73" s="119" t="str">
        <f aca="true">INDIRECT("'"&amp;References!$A$1&amp;"'!"&amp;"$O$60")</f>
        <v/>
      </c>
      <c r="D73" s="120" t="str">
        <f aca="false">IF(E73="","",INDEX(Groups!$C$7:$C$45,MATCH(E73,Groups!$D$7:$D$45,0)))</f>
        <v/>
      </c>
      <c r="E73" s="119" t="str">
        <f aca="true">INDIRECT("'"&amp;References!$A$1&amp;"'!"&amp;"$Q$60")</f>
        <v/>
      </c>
      <c r="F73" s="121" t="str">
        <f aca="true">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
      </c>
      <c r="G73" s="122" t="str">
        <f aca="true">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
      </c>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B74" s="118" t="str">
        <f aca="false">IF(C74="","",INDEX(Groups!$C$7:$C$45,MATCH(C74,Groups!$D$7:$D$45,0)))</f>
        <v/>
      </c>
      <c r="C74" s="119" t="str">
        <f aca="true">INDIRECT("'"&amp;References!$A$1&amp;"'!"&amp;"$U$60")</f>
        <v/>
      </c>
      <c r="D74" s="120" t="str">
        <f aca="false">IF(E74="","",INDEX(Groups!$C$7:$C$45,MATCH(E74,Groups!$D$7:$D$45,0)))</f>
        <v/>
      </c>
      <c r="E74" s="119" t="str">
        <f aca="true">INDIRECT("'"&amp;References!$A$1&amp;"'!"&amp;"$W$60")</f>
        <v/>
      </c>
      <c r="F74" s="121" t="str">
        <f aca="true">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
      </c>
      <c r="G74" s="122" t="str">
        <f aca="true">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
      </c>
    </row>
    <row r="75" customFormat="false" ht="24" hidden="false" customHeight="true" outlineLevel="0" collapsed="false">
      <c r="B75" s="112" t="str">
        <f aca="false">Language!$E$181</f>
        <v>Semi-Final</v>
      </c>
      <c r="C75" s="113"/>
      <c r="D75" s="123"/>
      <c r="E75" s="115"/>
      <c r="F75" s="124"/>
      <c r="G75" s="125"/>
    </row>
    <row r="76" customFormat="false" ht="15" hidden="false" customHeight="false" outlineLevel="0" collapsed="false">
      <c r="B76" s="118" t="str">
        <f aca="false">IF(C76="","",INDEX(Groups!$C$7:$C$45,MATCH(C76,Groups!$D$7:$D$45,0)))</f>
        <v/>
      </c>
      <c r="C76" s="119" t="str">
        <f aca="true">INDIRECT("'"&amp;References!$A$1&amp;"'!"&amp;"$F$70")</f>
        <v/>
      </c>
      <c r="D76" s="120" t="str">
        <f aca="false">IF(E76="","",INDEX(Groups!$C$7:$C$45,MATCH(E76,Groups!$D$7:$D$45,0)))</f>
        <v/>
      </c>
      <c r="E76" s="119" t="str">
        <f aca="true">INDIRECT("'"&amp;References!$A$1&amp;"'!"&amp;"$H$70")</f>
        <v/>
      </c>
      <c r="F76" s="121" t="str">
        <f aca="true">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
      </c>
      <c r="G76" s="122" t="str">
        <f aca="true">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
      </c>
    </row>
    <row r="77" customFormat="false" ht="15" hidden="false" customHeight="false" outlineLevel="0" collapsed="false">
      <c r="B77" s="118" t="str">
        <f aca="false">IF(C77="","",INDEX(Groups!$C$7:$C$45,MATCH(C77,Groups!$D$7:$D$45,0)))</f>
        <v/>
      </c>
      <c r="C77" s="119" t="str">
        <f aca="true">INDIRECT("'"&amp;References!$A$1&amp;"'!"&amp;"$R$70")</f>
        <v/>
      </c>
      <c r="D77" s="120" t="str">
        <f aca="false">IF(E77="","",INDEX(Groups!$C$7:$C$45,MATCH(E77,Groups!$D$7:$D$45,0)))</f>
        <v/>
      </c>
      <c r="E77" s="119" t="str">
        <f aca="true">INDIRECT("'"&amp;References!$A$1&amp;"'!"&amp;"$T$70")</f>
        <v/>
      </c>
      <c r="F77" s="121" t="str">
        <f aca="true">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
      </c>
      <c r="G77" s="122" t="str">
        <f aca="true">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
      </c>
    </row>
    <row r="78" customFormat="false" ht="24" hidden="false" customHeight="true" outlineLevel="0" collapsed="false">
      <c r="B78" s="112" t="str">
        <f aca="false">Language!$E$182</f>
        <v>Third place</v>
      </c>
      <c r="C78" s="113"/>
      <c r="D78" s="123"/>
      <c r="E78" s="115"/>
      <c r="F78" s="124"/>
      <c r="G78" s="125"/>
    </row>
    <row r="79" customFormat="false" ht="15.75" hidden="false" customHeight="false" outlineLevel="0" collapsed="false">
      <c r="B79" s="118" t="str">
        <f aca="false">IF(C79="","",INDEX(Groups!$C$7:$C$45,MATCH(C79,Groups!$D$7:$D$45,0)))</f>
        <v/>
      </c>
      <c r="C79" s="119" t="str">
        <f aca="true">INDIRECT("'"&amp;References!$A$1&amp;"'!"&amp;"$L$78")</f>
        <v/>
      </c>
      <c r="D79" s="120" t="str">
        <f aca="false">IF(E79="","",INDEX(Groups!$C$7:$C$45,MATCH(E79,Groups!$D$7:$D$45,0)))</f>
        <v/>
      </c>
      <c r="E79" s="119" t="str">
        <f aca="true">INDIRECT("'"&amp;References!$A$1&amp;"'!"&amp;"$N$78")</f>
        <v/>
      </c>
      <c r="F79" s="121" t="str">
        <f aca="true">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122" t="str">
        <f aca="true">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row>
    <row r="80" customFormat="false" ht="24" hidden="false" customHeight="true" outlineLevel="0" collapsed="false">
      <c r="B80" s="112" t="str">
        <f aca="false">Language!$E$183</f>
        <v>Final</v>
      </c>
      <c r="C80" s="113"/>
      <c r="D80" s="123"/>
      <c r="E80" s="115"/>
      <c r="F80" s="124"/>
      <c r="G80" s="125"/>
    </row>
    <row r="81" customFormat="false" ht="16.5" hidden="false" customHeight="false" outlineLevel="0" collapsed="false">
      <c r="B81" s="126" t="str">
        <f aca="false">IF(C81="","",INDEX(Groups!$C$7:$C$45,MATCH(C81,Groups!$D$7:$D$45,0)))</f>
        <v/>
      </c>
      <c r="C81" s="127" t="str">
        <f aca="true">INDIRECT("'"&amp;References!$A$1&amp;"'!"&amp;"$L$88")</f>
        <v/>
      </c>
      <c r="D81" s="128" t="str">
        <f aca="false">IF(E81="","",INDEX(Groups!$C$7:$C$45,MATCH(E81,Groups!$D$7:$D$45,0)))</f>
        <v/>
      </c>
      <c r="E81" s="129" t="str">
        <f aca="true">INDIRECT("'"&amp;References!$A$1&amp;"'!"&amp;"$N$88")</f>
        <v/>
      </c>
      <c r="F81" s="130" t="str">
        <f aca="true">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131" t="str">
        <f aca="true">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row>
    <row r="82" customFormat="false" ht="40.5" hidden="false" customHeight="true" outlineLevel="0" collapsed="false"/>
    <row r="83" customFormat="false" ht="15" hidden="false" customHeight="false" outlineLevel="0" collapsed="false"/>
    <row r="84" customFormat="false" ht="15" hidden="false" customHeight="false" outlineLevel="0" collapsed="false"/>
    <row r="85" customFormat="false" ht="22.5" hidden="false" customHeight="true" outlineLevel="0" collapsed="false"/>
    <row r="86" customFormat="false" ht="30.75" hidden="false" customHeight="true" outlineLevel="0" collapsed="false"/>
    <row r="87" customFormat="false" ht="16.5" hidden="false" customHeight="false" outlineLevel="0" collapsed="false">
      <c r="B87" s="132" t="str">
        <f aca="false">Language!$E$184</f>
        <v>Hint</v>
      </c>
      <c r="C87" s="132"/>
      <c r="D87" s="132"/>
      <c r="E87" s="132"/>
      <c r="F87" s="132"/>
      <c r="G87" s="132"/>
      <c r="H87" s="132"/>
    </row>
    <row r="88" customFormat="false" ht="16.5" hidden="false" customHeight="true" outlineLevel="0" collapsed="false">
      <c r="B88" s="133" t="str">
        <f aca="false">Language!$E$193</f>
        <v>For example, to add ten more people, select columns HI through MG and copy them to the right. Finished.
(Remove sheet protection!)</v>
      </c>
      <c r="C88" s="133"/>
      <c r="D88" s="133"/>
      <c r="E88" s="133"/>
      <c r="F88" s="133"/>
      <c r="G88" s="133"/>
      <c r="H88" s="133"/>
    </row>
    <row r="89" customFormat="false" ht="15" hidden="false" customHeight="false" outlineLevel="0" collapsed="false">
      <c r="B89" s="133"/>
      <c r="C89" s="133"/>
      <c r="D89" s="133"/>
      <c r="E89" s="133"/>
      <c r="F89" s="133"/>
      <c r="G89" s="133"/>
      <c r="H89" s="133"/>
    </row>
    <row r="90" customFormat="false" ht="15" hidden="false" customHeight="false" outlineLevel="0" collapsed="false">
      <c r="B90" s="133"/>
      <c r="C90" s="133"/>
      <c r="D90" s="133"/>
      <c r="E90" s="133"/>
      <c r="F90" s="133"/>
      <c r="G90" s="133"/>
      <c r="H90" s="133"/>
    </row>
    <row r="91" customFormat="false" ht="15.75" hidden="false" customHeight="true" outlineLevel="0" collapsed="false">
      <c r="B91" s="134" t="str">
        <f aca="false">Language!$E$194</f>
        <v>To predict the teams in the KO round, enter the team numbers in the yellow fields.</v>
      </c>
      <c r="C91" s="134"/>
      <c r="D91" s="134"/>
      <c r="E91" s="134"/>
      <c r="F91" s="134"/>
      <c r="G91" s="134"/>
      <c r="H91" s="134"/>
    </row>
    <row r="92" customFormat="false" ht="15" hidden="false" customHeight="false" outlineLevel="0" collapsed="false">
      <c r="B92" s="134"/>
      <c r="C92" s="134"/>
      <c r="D92" s="134"/>
      <c r="E92" s="134"/>
      <c r="F92" s="134"/>
      <c r="G92" s="134"/>
      <c r="H92" s="134"/>
    </row>
    <row r="93" customFormat="false" ht="15" hidden="false" customHeight="false" outlineLevel="0" collapsed="false">
      <c r="B93" s="134"/>
      <c r="C93" s="134"/>
      <c r="D93" s="134"/>
      <c r="E93" s="134"/>
      <c r="F93" s="134"/>
      <c r="G93" s="134"/>
      <c r="H93" s="134"/>
    </row>
    <row r="94" customFormat="false" ht="15" hidden="false" customHeight="false" outlineLevel="0" collapsed="false">
      <c r="B94" s="135" t="str">
        <f aca="false">Language!$E$195</f>
        <v>The factors for the individual categories and other presettings can be selected on the 'PrSettings' worksheet.</v>
      </c>
      <c r="C94" s="135"/>
      <c r="D94" s="135"/>
      <c r="E94" s="135"/>
      <c r="F94" s="135"/>
      <c r="G94" s="135"/>
      <c r="H94" s="135"/>
    </row>
    <row r="95" customFormat="false" ht="15" hidden="false" customHeight="false" outlineLevel="0" collapsed="false">
      <c r="B95" s="135"/>
      <c r="C95" s="135"/>
      <c r="D95" s="135"/>
      <c r="E95" s="135"/>
      <c r="F95" s="135"/>
      <c r="G95" s="135"/>
      <c r="H95" s="135"/>
    </row>
    <row r="96" customFormat="false" ht="15" hidden="false" customHeight="false" outlineLevel="0" collapsed="false">
      <c r="B96" s="135"/>
      <c r="C96" s="135"/>
      <c r="D96" s="135"/>
      <c r="E96" s="135"/>
      <c r="F96" s="135"/>
      <c r="G96" s="135"/>
      <c r="H96" s="135"/>
    </row>
    <row r="97" customFormat="false" ht="15" hidden="false" customHeight="false" outlineLevel="0" collapsed="false"/>
    <row r="98" customFormat="false" ht="15" hidden="false" customHeight="false" outlineLevel="0" collapsed="false"/>
  </sheetData>
  <mergeCells count="7">
    <mergeCell ref="B1:G1"/>
    <mergeCell ref="B3:G3"/>
    <mergeCell ref="F4:G4"/>
    <mergeCell ref="B87:H87"/>
    <mergeCell ref="B88:H90"/>
    <mergeCell ref="B91:H93"/>
    <mergeCell ref="B94:H9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M4" activeCellId="0" sqref="M4"/>
    </sheetView>
  </sheetViews>
  <sheetFormatPr defaultColWidth="11.43359375" defaultRowHeight="15" zeroHeight="true" outlineLevelRow="0" outlineLevelCol="0"/>
  <cols>
    <col collapsed="false" customWidth="true" hidden="false" outlineLevel="0" max="13" min="13" style="0" width="5.28"/>
    <col collapsed="false" customWidth="true" hidden="false" outlineLevel="0" max="14" min="14" style="0" width="3.98"/>
    <col collapsed="false" customWidth="true" hidden="false" outlineLevel="0" max="15" min="15" style="0" width="6.88"/>
    <col collapsed="false" customWidth="false" hidden="true" outlineLevel="0" max="1024" min="17" style="0" width="11.42"/>
  </cols>
  <sheetData>
    <row r="1" customFormat="false" ht="28.5" hidden="false" customHeight="false" outlineLevel="0" collapsed="false">
      <c r="B1" s="136" t="str">
        <f aca="false">Language!$E$186</f>
        <v>Settings</v>
      </c>
      <c r="C1" s="136"/>
      <c r="D1" s="136"/>
      <c r="E1" s="136"/>
      <c r="F1" s="136"/>
    </row>
    <row r="2" customFormat="false" ht="15" hidden="false" customHeight="false" outlineLevel="0" collapsed="false"/>
    <row r="3" customFormat="false" ht="16.5" hidden="false" customHeight="false" outlineLevel="0" collapsed="false">
      <c r="B3" s="137" t="str">
        <f aca="false">Language!$E$185</f>
        <v>Factors</v>
      </c>
      <c r="C3" s="137"/>
      <c r="D3" s="137"/>
      <c r="E3" s="137"/>
      <c r="F3" s="137"/>
      <c r="H3" s="137" t="str">
        <f aca="false">Language!$E$186</f>
        <v>Settings</v>
      </c>
      <c r="I3" s="137"/>
      <c r="J3" s="137"/>
      <c r="K3" s="137"/>
      <c r="L3" s="137"/>
      <c r="M3" s="137"/>
      <c r="N3" s="137"/>
      <c r="O3" s="137"/>
    </row>
    <row r="4" customFormat="false" ht="24" hidden="false" customHeight="false" outlineLevel="0" collapsed="false">
      <c r="B4" s="138" t="str">
        <f aca="false">Language!$E$188</f>
        <v>Won/Draw/Loss:</v>
      </c>
      <c r="C4" s="138"/>
      <c r="D4" s="138"/>
      <c r="E4" s="138"/>
      <c r="F4" s="139" t="n">
        <v>5</v>
      </c>
      <c r="H4" s="140" t="str">
        <f aca="false">Language!$E$199</f>
        <v>Points for goal difference in the event of a tie:</v>
      </c>
      <c r="I4" s="140"/>
      <c r="J4" s="140"/>
      <c r="K4" s="140"/>
      <c r="L4" s="140"/>
      <c r="M4" s="141" t="s">
        <v>51</v>
      </c>
      <c r="N4" s="142"/>
      <c r="O4" s="143" t="str">
        <f aca="false">IF(M4="●",Language!E200,Language!E201)</f>
        <v>yes</v>
      </c>
    </row>
    <row r="5" customFormat="false" ht="18" hidden="false" customHeight="true" outlineLevel="0" collapsed="false">
      <c r="B5" s="144" t="str">
        <f aca="false">Language!$E$189</f>
        <v>goal difference:</v>
      </c>
      <c r="C5" s="144"/>
      <c r="D5" s="144"/>
      <c r="E5" s="144"/>
      <c r="F5" s="145" t="n">
        <v>5</v>
      </c>
      <c r="H5" s="146"/>
      <c r="I5" s="146"/>
      <c r="J5" s="146"/>
      <c r="K5" s="146"/>
      <c r="L5" s="146"/>
      <c r="M5" s="146"/>
      <c r="N5" s="146"/>
      <c r="O5" s="146"/>
    </row>
    <row r="6" customFormat="false" ht="18" hidden="false" customHeight="true" outlineLevel="0" collapsed="false">
      <c r="B6" s="144" t="str">
        <f aca="false">Language!$E$191</f>
        <v>goals exact:</v>
      </c>
      <c r="C6" s="144"/>
      <c r="D6" s="144"/>
      <c r="E6" s="144"/>
      <c r="F6" s="145" t="n">
        <v>10</v>
      </c>
      <c r="H6" s="147" t="str">
        <f aca="false">Language!$E$202</f>
        <v>Minimum number for 'Many Goals' in the event of a tie:</v>
      </c>
      <c r="I6" s="147"/>
      <c r="J6" s="147"/>
      <c r="K6" s="147"/>
      <c r="L6" s="147"/>
      <c r="M6" s="148" t="n">
        <v>4</v>
      </c>
      <c r="N6" s="149"/>
      <c r="O6" s="150"/>
    </row>
    <row r="7" customFormat="false" ht="18" hidden="false" customHeight="true" outlineLevel="0" collapsed="false">
      <c r="B7" s="144" t="str">
        <f aca="false">Language!$E$190</f>
        <v>Many goals - good approximation</v>
      </c>
      <c r="C7" s="144"/>
      <c r="D7" s="144"/>
      <c r="E7" s="144"/>
      <c r="F7" s="145" t="n">
        <v>3</v>
      </c>
      <c r="H7" s="147" t="str">
        <f aca="false">Language!$E$203</f>
        <v>Minimum number for a large goal difference:</v>
      </c>
      <c r="I7" s="147"/>
      <c r="J7" s="147"/>
      <c r="K7" s="147"/>
      <c r="L7" s="147"/>
      <c r="M7" s="148" t="n">
        <v>4</v>
      </c>
      <c r="N7" s="151"/>
      <c r="O7" s="150"/>
    </row>
    <row r="8" customFormat="false" ht="18" hidden="false" customHeight="true" outlineLevel="0" collapsed="false">
      <c r="B8" s="152" t="str">
        <f aca="false">Language!$E$192</f>
        <v>correct team (knockout phase):</v>
      </c>
      <c r="C8" s="152"/>
      <c r="D8" s="152"/>
      <c r="E8" s="152"/>
      <c r="F8" s="153" t="n">
        <v>10</v>
      </c>
      <c r="H8" s="147" t="str">
        <f aca="false">Language!$E$206</f>
        <v>Minimum number for a large sum of goals:</v>
      </c>
      <c r="I8" s="147"/>
      <c r="J8" s="147"/>
      <c r="K8" s="147"/>
      <c r="L8" s="147"/>
      <c r="M8" s="148" t="n">
        <v>8</v>
      </c>
      <c r="N8" s="154"/>
      <c r="O8" s="150"/>
    </row>
    <row r="9" customFormat="false" ht="18" hidden="false" customHeight="true" outlineLevel="0" collapsed="false">
      <c r="B9" s="155" t="str">
        <f aca="false">Language!$E$198</f>
        <v>Final/Third-Place Winner:</v>
      </c>
      <c r="C9" s="155"/>
      <c r="D9" s="155"/>
      <c r="E9" s="155"/>
      <c r="F9" s="156" t="n">
        <v>10</v>
      </c>
      <c r="H9" s="157"/>
      <c r="I9" s="157"/>
      <c r="J9" s="157"/>
      <c r="K9" s="157"/>
      <c r="L9" s="157"/>
      <c r="M9" s="158"/>
      <c r="N9" s="158"/>
      <c r="O9" s="159"/>
    </row>
    <row r="10" customFormat="false" ht="15.75" hidden="false" customHeight="false" outlineLevel="0" collapsed="false"/>
    <row r="11" customFormat="false" ht="15" hidden="false" customHeight="false" outlineLevel="0" collapsed="false"/>
    <row r="12" customFormat="false" ht="16.5" hidden="false" customHeight="false" outlineLevel="0" collapsed="false">
      <c r="H12" s="160" t="str">
        <f aca="false">Language!$E$184</f>
        <v>Hint</v>
      </c>
      <c r="I12" s="160"/>
      <c r="J12" s="160"/>
      <c r="K12" s="160"/>
      <c r="L12" s="160"/>
      <c r="M12" s="160"/>
      <c r="N12" s="160"/>
      <c r="O12" s="160"/>
    </row>
    <row r="13" customFormat="false" ht="21.75" hidden="false" customHeight="true" outlineLevel="0" collapsed="false">
      <c r="H13" s="161" t="s">
        <v>52</v>
      </c>
      <c r="I13" s="161"/>
      <c r="J13" s="161"/>
      <c r="K13" s="161"/>
      <c r="L13" s="161"/>
      <c r="M13" s="161"/>
      <c r="N13" s="161"/>
      <c r="O13" s="161"/>
    </row>
    <row r="14" customFormat="false" ht="15" hidden="false" customHeight="true" outlineLevel="0" collapsed="false">
      <c r="H14" s="162" t="str">
        <f aca="false">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162"/>
      <c r="J14" s="162"/>
      <c r="K14" s="162"/>
      <c r="L14" s="162"/>
      <c r="M14" s="162"/>
      <c r="N14" s="162"/>
      <c r="O14" s="162"/>
    </row>
    <row r="15" customFormat="false" ht="15" hidden="false" customHeight="true" outlineLevel="0" collapsed="false">
      <c r="H15" s="162"/>
      <c r="I15" s="162"/>
      <c r="J15" s="162"/>
      <c r="K15" s="162"/>
      <c r="L15" s="162"/>
      <c r="M15" s="162"/>
      <c r="N15" s="162"/>
      <c r="O15" s="162"/>
    </row>
    <row r="16" customFormat="false" ht="15" hidden="false" customHeight="true" outlineLevel="0" collapsed="false">
      <c r="H16" s="162"/>
      <c r="I16" s="162"/>
      <c r="J16" s="162"/>
      <c r="K16" s="162"/>
      <c r="L16" s="162"/>
      <c r="M16" s="162"/>
      <c r="N16" s="162"/>
      <c r="O16" s="162"/>
    </row>
    <row r="17" customFormat="false" ht="15" hidden="false" customHeight="true" outlineLevel="0" collapsed="false">
      <c r="H17" s="162"/>
      <c r="I17" s="162"/>
      <c r="J17" s="162"/>
      <c r="K17" s="162"/>
      <c r="L17" s="162"/>
      <c r="M17" s="162"/>
      <c r="N17" s="162"/>
      <c r="O17" s="162"/>
    </row>
    <row r="18" customFormat="false" ht="15" hidden="false" customHeight="true" outlineLevel="0" collapsed="false">
      <c r="H18" s="162"/>
      <c r="I18" s="162"/>
      <c r="J18" s="162"/>
      <c r="K18" s="162"/>
      <c r="L18" s="162"/>
      <c r="M18" s="162"/>
      <c r="N18" s="162"/>
      <c r="O18" s="162"/>
    </row>
    <row r="19" customFormat="false" ht="30" hidden="false" customHeight="true" outlineLevel="0" collapsed="false">
      <c r="H19" s="163" t="s">
        <v>53</v>
      </c>
      <c r="I19" s="163"/>
      <c r="J19" s="163"/>
      <c r="K19" s="163"/>
      <c r="L19" s="163"/>
      <c r="M19" s="163"/>
      <c r="N19" s="163"/>
      <c r="O19" s="163"/>
    </row>
    <row r="20" customFormat="false" ht="15" hidden="false" customHeight="true" outlineLevel="0" collapsed="false">
      <c r="H20" s="164" t="str">
        <f aca="false">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164"/>
      <c r="J20" s="164"/>
      <c r="K20" s="164"/>
      <c r="L20" s="164"/>
      <c r="M20" s="164"/>
      <c r="N20" s="164"/>
      <c r="O20" s="164"/>
    </row>
    <row r="21" customFormat="false" ht="15" hidden="false" customHeight="false" outlineLevel="0" collapsed="false">
      <c r="H21" s="164"/>
      <c r="I21" s="164"/>
      <c r="J21" s="164"/>
      <c r="K21" s="164"/>
      <c r="L21" s="164"/>
      <c r="M21" s="164"/>
      <c r="N21" s="164"/>
      <c r="O21" s="164"/>
    </row>
    <row r="22" customFormat="false" ht="15" hidden="false" customHeight="false" outlineLevel="0" collapsed="false">
      <c r="H22" s="164"/>
      <c r="I22" s="164"/>
      <c r="J22" s="164"/>
      <c r="K22" s="164"/>
      <c r="L22" s="164"/>
      <c r="M22" s="164"/>
      <c r="N22" s="164"/>
      <c r="O22" s="164"/>
    </row>
    <row r="23" customFormat="false" ht="15" hidden="false" customHeight="false" outlineLevel="0" collapsed="false">
      <c r="H23" s="164"/>
      <c r="I23" s="164"/>
      <c r="J23" s="164"/>
      <c r="K23" s="164"/>
      <c r="L23" s="164"/>
      <c r="M23" s="164"/>
      <c r="N23" s="164"/>
      <c r="O23" s="164"/>
    </row>
    <row r="24" customFormat="false" ht="15" hidden="false" customHeight="false" outlineLevel="0" collapsed="false">
      <c r="H24" s="164"/>
      <c r="I24" s="164"/>
      <c r="J24" s="164"/>
      <c r="K24" s="164"/>
      <c r="L24" s="164"/>
      <c r="M24" s="164"/>
      <c r="N24" s="164"/>
      <c r="O24" s="164"/>
    </row>
    <row r="25" customFormat="false" ht="15" hidden="false" customHeight="false" outlineLevel="0" collapsed="false">
      <c r="H25" s="164"/>
      <c r="I25" s="164"/>
      <c r="J25" s="164"/>
      <c r="K25" s="164"/>
      <c r="L25" s="164"/>
      <c r="M25" s="164"/>
      <c r="N25" s="164"/>
      <c r="O25" s="164"/>
    </row>
    <row r="26" customFormat="false" ht="15" hidden="false" customHeight="false" outlineLevel="0" collapsed="false">
      <c r="H26" s="164"/>
      <c r="I26" s="164"/>
      <c r="J26" s="164"/>
      <c r="K26" s="164"/>
      <c r="L26" s="164"/>
      <c r="M26" s="164"/>
      <c r="N26" s="164"/>
      <c r="O26" s="164"/>
    </row>
    <row r="27" customFormat="false" ht="15" hidden="false" customHeight="false" outlineLevel="0" collapsed="false">
      <c r="H27" s="164"/>
      <c r="I27" s="164"/>
      <c r="J27" s="164"/>
      <c r="K27" s="164"/>
      <c r="L27" s="164"/>
      <c r="M27" s="164"/>
      <c r="N27" s="164"/>
      <c r="O27" s="164"/>
    </row>
    <row r="28" customFormat="false" ht="15.75" hidden="false" customHeight="false" outlineLevel="0" collapsed="false">
      <c r="H28" s="164"/>
      <c r="I28" s="164"/>
      <c r="J28" s="164"/>
      <c r="K28" s="164"/>
      <c r="L28" s="164"/>
      <c r="M28" s="164"/>
      <c r="N28" s="164"/>
      <c r="O28" s="164"/>
    </row>
    <row r="29" customFormat="false" ht="15.75" hidden="false" customHeight="false" outlineLevel="0" collapsed="false"/>
    <row r="30" customFormat="false" ht="15" hidden="false" customHeight="false" outlineLevel="0" collapsed="false"/>
  </sheetData>
  <sheetProtection sheet="true" selectLockedCells="true"/>
  <mergeCells count="20">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8"/>
  </mergeCells>
  <dataValidations count="2">
    <dataValidation allowBlank="true" errorStyle="stop" operator="between" showDropDown="false" showErrorMessage="true" showInputMessage="true" sqref="M4" type="list">
      <formula1>"●,◌"</formula1>
      <formula2>0</formula2>
    </dataValidation>
    <dataValidation allowBlank="true" error="Only numbers from 2 to 99!" errorStyle="stop" errorTitle="Error" operator="between" showDropDown="false" showErrorMessage="true" showInputMessage="false" sqref="M6:M8" type="whole">
      <formula1>2</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D17" activeCellId="0" sqref="D17"/>
    </sheetView>
  </sheetViews>
  <sheetFormatPr defaultColWidth="11.43359375" defaultRowHeight="15" zeroHeight="true" outlineLevelRow="0" outlineLevelCol="0"/>
  <cols>
    <col collapsed="false" customWidth="true" hidden="false" outlineLevel="0" max="2" min="2" style="0" width="16.71"/>
    <col collapsed="false" customWidth="true" hidden="false" outlineLevel="0" max="3" min="3" style="0" width="13.02"/>
    <col collapsed="false" customWidth="true" hidden="false" outlineLevel="0" max="5" min="5" style="0" width="16.71"/>
    <col collapsed="false" customWidth="false" hidden="true" outlineLevel="0" max="1024" min="8" style="0" width="11.42"/>
  </cols>
  <sheetData>
    <row r="1" customFormat="false" ht="15" hidden="false" customHeight="false" outlineLevel="0" collapsed="false"/>
    <row r="2" customFormat="false" ht="38.25" hidden="false" customHeight="true" outlineLevel="0" collapsed="false">
      <c r="B2" s="165" t="s">
        <v>54</v>
      </c>
      <c r="C2" s="165"/>
      <c r="D2" s="165"/>
      <c r="E2" s="165"/>
      <c r="F2" s="165"/>
    </row>
    <row r="3" customFormat="false" ht="75.75" hidden="false" customHeight="true" outlineLevel="0" collapsed="false">
      <c r="B3" s="166" t="s">
        <v>55</v>
      </c>
      <c r="C3" s="166"/>
      <c r="D3" s="166"/>
      <c r="E3" s="166"/>
      <c r="F3" s="166"/>
    </row>
    <row r="4" customFormat="false" ht="18" hidden="false" customHeight="true" outlineLevel="0" collapsed="false">
      <c r="B4" s="167"/>
      <c r="C4" s="167"/>
      <c r="D4" s="167"/>
      <c r="E4" s="167"/>
      <c r="F4" s="167"/>
    </row>
    <row r="5" customFormat="false" ht="19.5" hidden="false" customHeight="false" outlineLevel="0" collapsed="false">
      <c r="A5" s="168" t="s">
        <v>56</v>
      </c>
      <c r="B5" s="169" t="str">
        <f aca="false">Language!$E$124&amp;" "&amp;A5</f>
        <v>Group A</v>
      </c>
      <c r="C5" s="170" t="str">
        <f aca="false">Language!$E$152</f>
        <v>Bonus</v>
      </c>
      <c r="D5" s="168" t="s">
        <v>57</v>
      </c>
      <c r="E5" s="169" t="str">
        <f aca="false">Language!$E$124&amp;" "&amp;D5</f>
        <v>Group E</v>
      </c>
      <c r="F5" s="170" t="str">
        <f aca="false">Language!$E$152</f>
        <v>Bonus</v>
      </c>
    </row>
    <row r="6" customFormat="false" ht="15" hidden="false" customHeight="false" outlineLevel="0" collapsed="false">
      <c r="B6" s="171" t="str">
        <f aca="false">VLOOKUP(A5&amp;"1",Groups!$B$7:$D$45,3,0)</f>
        <v>Qatar</v>
      </c>
      <c r="C6" s="172" t="n">
        <v>0</v>
      </c>
      <c r="E6" s="171" t="str">
        <f aca="false">VLOOKUP(D5&amp;"1",Groups!$B$7:$D$45,3,0)</f>
        <v>Spain</v>
      </c>
      <c r="F6" s="172" t="n">
        <v>0</v>
      </c>
    </row>
    <row r="7" customFormat="false" ht="15" hidden="false" customHeight="false" outlineLevel="0" collapsed="false">
      <c r="B7" s="171" t="str">
        <f aca="false">VLOOKUP(A5&amp;"2",Groups!$B$7:$D$45,3,0)</f>
        <v>Ecuador</v>
      </c>
      <c r="C7" s="173" t="n">
        <v>0</v>
      </c>
      <c r="E7" s="171" t="str">
        <f aca="false">VLOOKUP(D5&amp;"2",Groups!$B$7:$D$45,3,0)</f>
        <v>Costa Rica</v>
      </c>
      <c r="F7" s="173" t="n">
        <v>0</v>
      </c>
    </row>
    <row r="8" customFormat="false" ht="15" hidden="false" customHeight="false" outlineLevel="0" collapsed="false">
      <c r="B8" s="171" t="str">
        <f aca="false">VLOOKUP(A5&amp;"3",Groups!$B$7:$D$45,3,0)</f>
        <v>Senegal</v>
      </c>
      <c r="C8" s="173" t="n">
        <v>0</v>
      </c>
      <c r="E8" s="171" t="str">
        <f aca="false">VLOOKUP(D5&amp;"3",Groups!$B$7:$D$45,3,0)</f>
        <v>Germany</v>
      </c>
      <c r="F8" s="173" t="n">
        <v>0</v>
      </c>
    </row>
    <row r="9" customFormat="false" ht="13.8" hidden="false" customHeight="false" outlineLevel="0" collapsed="false">
      <c r="B9" s="171" t="str">
        <f aca="false">VLOOKUP(A5&amp;"4",Groups!$B$7:$D$45,3,0)</f>
        <v>Netherlands</v>
      </c>
      <c r="C9" s="173" t="n">
        <v>0</v>
      </c>
      <c r="E9" s="171" t="str">
        <f aca="false">VLOOKUP(D5&amp;"4",Groups!$B$7:$D$45,3,0)</f>
        <v>Japan</v>
      </c>
      <c r="F9" s="173" t="n">
        <v>0</v>
      </c>
    </row>
    <row r="10" customFormat="false" ht="15" hidden="false" customHeight="false" outlineLevel="0" collapsed="false">
      <c r="C10" s="174"/>
      <c r="F10" s="174"/>
    </row>
    <row r="11" customFormat="false" ht="19.5" hidden="false" customHeight="false" outlineLevel="0" collapsed="false">
      <c r="A11" s="168" t="s">
        <v>58</v>
      </c>
      <c r="B11" s="169" t="str">
        <f aca="false">Language!$E$124&amp;" "&amp;A11</f>
        <v>Group B</v>
      </c>
      <c r="C11" s="170" t="str">
        <f aca="false">Language!$E$152</f>
        <v>Bonus</v>
      </c>
      <c r="D11" s="168" t="s">
        <v>59</v>
      </c>
      <c r="E11" s="169" t="str">
        <f aca="false">Language!$E$124&amp;" "&amp;D11</f>
        <v>Group F</v>
      </c>
      <c r="F11" s="170" t="str">
        <f aca="false">Language!$E$152</f>
        <v>Bonus</v>
      </c>
    </row>
    <row r="12" customFormat="false" ht="15" hidden="false" customHeight="false" outlineLevel="0" collapsed="false">
      <c r="B12" s="171" t="str">
        <f aca="false">VLOOKUP(A11&amp;"1",Groups!$B$7:$D$45,3,0)</f>
        <v>England</v>
      </c>
      <c r="C12" s="172" t="n">
        <v>0</v>
      </c>
      <c r="E12" s="171" t="str">
        <f aca="false">VLOOKUP(D11&amp;"1",Groups!$B$7:$D$45,3,0)</f>
        <v>Belgium</v>
      </c>
      <c r="F12" s="172" t="n">
        <v>0</v>
      </c>
    </row>
    <row r="13" customFormat="false" ht="15" hidden="false" customHeight="false" outlineLevel="0" collapsed="false">
      <c r="B13" s="171" t="str">
        <f aca="false">VLOOKUP(A11&amp;"2",Groups!$B$7:$D$45,3,0)</f>
        <v>IR Iran</v>
      </c>
      <c r="C13" s="173" t="n">
        <v>0</v>
      </c>
      <c r="E13" s="171" t="str">
        <f aca="false">VLOOKUP(D11&amp;"2",Groups!$B$7:$D$45,3,0)</f>
        <v>Canada</v>
      </c>
      <c r="F13" s="173" t="n">
        <v>0</v>
      </c>
    </row>
    <row r="14" customFormat="false" ht="15" hidden="false" customHeight="false" outlineLevel="0" collapsed="false">
      <c r="B14" s="171" t="str">
        <f aca="false">VLOOKUP(A11&amp;"3",Groups!$B$7:$D$45,3,0)</f>
        <v>USA</v>
      </c>
      <c r="C14" s="173" t="n">
        <v>0</v>
      </c>
      <c r="E14" s="171" t="str">
        <f aca="false">VLOOKUP(D11&amp;"3",Groups!$B$7:$D$45,3,0)</f>
        <v>Morocco</v>
      </c>
      <c r="F14" s="173" t="n">
        <v>0</v>
      </c>
    </row>
    <row r="15" customFormat="false" ht="15" hidden="false" customHeight="false" outlineLevel="0" collapsed="false">
      <c r="B15" s="171" t="str">
        <f aca="false">VLOOKUP(A11&amp;"4",Groups!$B$7:$D$45,3,0)</f>
        <v>Wales</v>
      </c>
      <c r="C15" s="173" t="n">
        <v>0</v>
      </c>
      <c r="E15" s="171" t="str">
        <f aca="false">VLOOKUP(D11&amp;"4",Groups!$B$7:$D$45,3,0)</f>
        <v>Croatia</v>
      </c>
      <c r="F15" s="173" t="n">
        <v>0</v>
      </c>
    </row>
    <row r="16" customFormat="false" ht="15" hidden="false" customHeight="false" outlineLevel="0" collapsed="false">
      <c r="C16" s="174"/>
      <c r="F16" s="174"/>
    </row>
    <row r="17" customFormat="false" ht="19.5" hidden="false" customHeight="false" outlineLevel="0" collapsed="false">
      <c r="A17" s="168" t="s">
        <v>60</v>
      </c>
      <c r="B17" s="169" t="str">
        <f aca="false">Language!$E$124&amp;" "&amp;A17</f>
        <v>Group C</v>
      </c>
      <c r="C17" s="170" t="str">
        <f aca="false">Language!$E$152</f>
        <v>Bonus</v>
      </c>
      <c r="D17" s="168" t="s">
        <v>61</v>
      </c>
      <c r="E17" s="169" t="str">
        <f aca="false">Language!$E$124&amp;" "&amp;D17</f>
        <v>Group G</v>
      </c>
      <c r="F17" s="170" t="str">
        <f aca="false">Language!$E$152</f>
        <v>Bonus</v>
      </c>
    </row>
    <row r="18" customFormat="false" ht="15" hidden="false" customHeight="false" outlineLevel="0" collapsed="false">
      <c r="B18" s="171" t="str">
        <f aca="false">VLOOKUP(A17&amp;"1",Groups!$B$7:$D$45,3,0)</f>
        <v>Argentina</v>
      </c>
      <c r="C18" s="172" t="n">
        <v>0</v>
      </c>
      <c r="E18" s="171" t="str">
        <f aca="false">VLOOKUP(D17&amp;"1",Groups!$B$7:$D$45,3,0)</f>
        <v>Brazil</v>
      </c>
      <c r="F18" s="172" t="n">
        <v>0</v>
      </c>
    </row>
    <row r="19" customFormat="false" ht="15" hidden="false" customHeight="false" outlineLevel="0" collapsed="false">
      <c r="B19" s="171" t="str">
        <f aca="false">VLOOKUP(A17&amp;"2",Groups!$B$7:$D$45,3,0)</f>
        <v>Saudi Arabia</v>
      </c>
      <c r="C19" s="173" t="n">
        <v>0</v>
      </c>
      <c r="E19" s="171" t="str">
        <f aca="false">VLOOKUP(D17&amp;"2",Groups!$B$7:$D$45,3,0)</f>
        <v>Serbia</v>
      </c>
      <c r="F19" s="173" t="n">
        <v>0</v>
      </c>
    </row>
    <row r="20" customFormat="false" ht="15" hidden="false" customHeight="false" outlineLevel="0" collapsed="false">
      <c r="B20" s="171" t="str">
        <f aca="false">VLOOKUP(A17&amp;"3",Groups!$B$7:$D$45,3,0)</f>
        <v>Mexico</v>
      </c>
      <c r="C20" s="173" t="n">
        <v>0</v>
      </c>
      <c r="E20" s="171" t="str">
        <f aca="false">VLOOKUP(D17&amp;"3",Groups!$B$7:$D$45,3,0)</f>
        <v>Switzerland</v>
      </c>
      <c r="F20" s="173" t="n">
        <v>0</v>
      </c>
    </row>
    <row r="21" customFormat="false" ht="15" hidden="false" customHeight="false" outlineLevel="0" collapsed="false">
      <c r="B21" s="171" t="str">
        <f aca="false">VLOOKUP(A17&amp;"4",Groups!$B$7:$D$45,3,0)</f>
        <v>Poland</v>
      </c>
      <c r="C21" s="173" t="n">
        <v>0</v>
      </c>
      <c r="E21" s="171" t="str">
        <f aca="false">VLOOKUP(D17&amp;"4",Groups!$B$7:$D$45,3,0)</f>
        <v>Cameroon</v>
      </c>
      <c r="F21" s="173" t="n">
        <v>0</v>
      </c>
    </row>
    <row r="22" customFormat="false" ht="15" hidden="false" customHeight="false" outlineLevel="0" collapsed="false">
      <c r="C22" s="174"/>
      <c r="F22" s="174"/>
    </row>
    <row r="23" customFormat="false" ht="19.5" hidden="false" customHeight="false" outlineLevel="0" collapsed="false">
      <c r="A23" s="168" t="s">
        <v>62</v>
      </c>
      <c r="B23" s="169" t="str">
        <f aca="false">Language!$E$124&amp;" "&amp;A23</f>
        <v>Group D</v>
      </c>
      <c r="C23" s="170" t="str">
        <f aca="false">Language!$E$152</f>
        <v>Bonus</v>
      </c>
      <c r="D23" s="168" t="s">
        <v>63</v>
      </c>
      <c r="E23" s="169" t="str">
        <f aca="false">Language!$E$124&amp;" "&amp;D23</f>
        <v>Group H</v>
      </c>
      <c r="F23" s="170" t="str">
        <f aca="false">Language!$E$152</f>
        <v>Bonus</v>
      </c>
    </row>
    <row r="24" customFormat="false" ht="15" hidden="false" customHeight="false" outlineLevel="0" collapsed="false">
      <c r="B24" s="171" t="str">
        <f aca="false">VLOOKUP(A23&amp;"1",Groups!$B$7:$D$45,3,0)</f>
        <v>France</v>
      </c>
      <c r="C24" s="172" t="n">
        <v>0</v>
      </c>
      <c r="E24" s="171" t="str">
        <f aca="false">VLOOKUP(D23&amp;"1",Groups!$B$7:$D$45,3,0)</f>
        <v>Portugal</v>
      </c>
      <c r="F24" s="172" t="n">
        <v>0</v>
      </c>
    </row>
    <row r="25" customFormat="false" ht="15" hidden="false" customHeight="false" outlineLevel="0" collapsed="false">
      <c r="B25" s="171" t="str">
        <f aca="false">VLOOKUP(A23&amp;"2",Groups!$B$7:$D$45,3,0)</f>
        <v>Australia</v>
      </c>
      <c r="C25" s="173" t="n">
        <v>0</v>
      </c>
      <c r="E25" s="171" t="str">
        <f aca="false">VLOOKUP(D23&amp;"2",Groups!$B$7:$D$45,3,0)</f>
        <v>Ghana</v>
      </c>
      <c r="F25" s="173" t="n">
        <v>0</v>
      </c>
    </row>
    <row r="26" customFormat="false" ht="15" hidden="false" customHeight="false" outlineLevel="0" collapsed="false">
      <c r="B26" s="171" t="str">
        <f aca="false">VLOOKUP(A23&amp;"3",Groups!$B$7:$D$45,3,0)</f>
        <v>Denmark</v>
      </c>
      <c r="C26" s="173" t="n">
        <v>0</v>
      </c>
      <c r="E26" s="171" t="str">
        <f aca="false">VLOOKUP(D23&amp;"3",Groups!$B$7:$D$45,3,0)</f>
        <v>Uruguay</v>
      </c>
      <c r="F26" s="173" t="n">
        <v>0</v>
      </c>
    </row>
    <row r="27" customFormat="false" ht="15" hidden="false" customHeight="false" outlineLevel="0" collapsed="false">
      <c r="B27" s="171" t="str">
        <f aca="false">VLOOKUP(A23&amp;"4",Groups!$B$7:$D$45,3,0)</f>
        <v>Tunisia</v>
      </c>
      <c r="C27" s="173" t="n">
        <v>0</v>
      </c>
      <c r="E27" s="171" t="str">
        <f aca="false">VLOOKUP(D23&amp;"4",Groups!$B$7:$D$45,3,0)</f>
        <v>South Korea</v>
      </c>
      <c r="F27" s="173" t="n">
        <v>0</v>
      </c>
    </row>
    <row r="28" customFormat="false" ht="15" hidden="false" customHeight="false" outlineLevel="0" collapsed="false"/>
    <row r="29" customFormat="false" ht="15" hidden="false" customHeight="false" outlineLevel="0" collapsed="false"/>
    <row r="30" customFormat="false" ht="15" hidden="false" customHeight="false" outlineLevel="0" collapsed="false"/>
  </sheetData>
  <mergeCells count="2">
    <mergeCell ref="B2:F2"/>
    <mergeCell ref="B3:F3"/>
  </mergeCells>
  <conditionalFormatting sqref="C6:C9">
    <cfRule type="cellIs" priority="2" operator="greaterThan" aboveAverage="0" equalAverage="0" bottom="0" percent="0" rank="0" text="" dxfId="164">
      <formula>0</formula>
    </cfRule>
  </conditionalFormatting>
  <conditionalFormatting sqref="F6:F9">
    <cfRule type="cellIs" priority="3" operator="greaterThan" aboveAverage="0" equalAverage="0" bottom="0" percent="0" rank="0" text="" dxfId="165">
      <formula>0</formula>
    </cfRule>
  </conditionalFormatting>
  <conditionalFormatting sqref="C12:C15">
    <cfRule type="cellIs" priority="4" operator="greaterThan" aboveAverage="0" equalAverage="0" bottom="0" percent="0" rank="0" text="" dxfId="166">
      <formula>0</formula>
    </cfRule>
  </conditionalFormatting>
  <conditionalFormatting sqref="F12:F15">
    <cfRule type="cellIs" priority="5" operator="greaterThan" aboveAverage="0" equalAverage="0" bottom="0" percent="0" rank="0" text="" dxfId="167">
      <formula>0</formula>
    </cfRule>
  </conditionalFormatting>
  <conditionalFormatting sqref="C18:C21">
    <cfRule type="cellIs" priority="6" operator="greaterThan" aboveAverage="0" equalAverage="0" bottom="0" percent="0" rank="0" text="" dxfId="168">
      <formula>0</formula>
    </cfRule>
  </conditionalFormatting>
  <conditionalFormatting sqref="F18:F21">
    <cfRule type="cellIs" priority="7" operator="greaterThan" aboveAverage="0" equalAverage="0" bottom="0" percent="0" rank="0" text="" dxfId="169">
      <formula>0</formula>
    </cfRule>
  </conditionalFormatting>
  <conditionalFormatting sqref="C24:C27">
    <cfRule type="cellIs" priority="8" operator="greaterThan" aboveAverage="0" equalAverage="0" bottom="0" percent="0" rank="0" text="" dxfId="170">
      <formula>0</formula>
    </cfRule>
  </conditionalFormatting>
  <conditionalFormatting sqref="F24:F27">
    <cfRule type="cellIs" priority="9" operator="greaterThan" aboveAverage="0" equalAverage="0" bottom="0" percent="0" rank="0" text="" dxfId="171">
      <formula>0</formula>
    </cfRule>
  </conditionalFormatting>
  <dataValidations count="1">
    <dataValidation allowBlank="true" errorStyle="stop" operator="between" showDropDown="false" showErrorMessage="true" showInputMessage="true" sqref="C6:C9 F6:F9 C12:C15 F12:F15 C18:C21 F18:F21 C24:C27 F24:F27" type="whole">
      <formula1>0</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G67"/>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W1" activeCellId="0" sqref="W1"/>
    </sheetView>
  </sheetViews>
  <sheetFormatPr defaultColWidth="11.43359375" defaultRowHeight="1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74" width="5.7"/>
    <col collapsed="false" customWidth="true" hidden="false" outlineLevel="0" max="6" min="6" style="0" width="4.71"/>
    <col collapsed="false" customWidth="true" hidden="false" outlineLevel="0" max="7" min="7" style="174" width="2.71"/>
    <col collapsed="false" customWidth="true" hidden="false" outlineLevel="0" max="8" min="8" style="0" width="4.71"/>
    <col collapsed="false" customWidth="true" hidden="false" outlineLevel="0" max="9" min="9" style="0" width="1.85"/>
    <col collapsed="false" customWidth="true" hidden="false" outlineLevel="0" max="10" min="10" style="0" width="2.14"/>
    <col collapsed="false" customWidth="true" hidden="false" outlineLevel="0" max="11" min="11" style="174" width="5.7"/>
    <col collapsed="false" customWidth="true" hidden="false" outlineLevel="0" max="12" min="12" style="174" width="2.14"/>
    <col collapsed="false" customWidth="true" hidden="false" outlineLevel="0" max="13" min="13" style="174" width="2"/>
    <col collapsed="false" customWidth="true" hidden="false" outlineLevel="0" max="15" min="14" style="174" width="5.7"/>
    <col collapsed="false" customWidth="true" hidden="false" outlineLevel="0" max="16" min="16" style="0" width="4.71"/>
    <col collapsed="false" customWidth="true" hidden="false" outlineLevel="0" max="17" min="17" style="174" width="2.85"/>
    <col collapsed="false" customWidth="true" hidden="false" outlineLevel="0" max="18" min="18" style="0" width="4.71"/>
    <col collapsed="false" customWidth="true" hidden="false" outlineLevel="0" max="19" min="19" style="0" width="4.86"/>
    <col collapsed="false" customWidth="true" hidden="false" outlineLevel="0" max="20" min="20" style="174" width="13.86"/>
    <col collapsed="false" customWidth="false" hidden="false" outlineLevel="0" max="21" min="21" style="174" width="11.42"/>
    <col collapsed="false" customWidth="false" hidden="true" outlineLevel="0" max="23" min="23" style="174" width="11.42"/>
    <col collapsed="false" customWidth="true" hidden="true" outlineLevel="0" max="24" min="24" style="174" width="5.14"/>
    <col collapsed="false" customWidth="false" hidden="true" outlineLevel="0" max="1024" min="25" style="0" width="11.42"/>
  </cols>
  <sheetData>
    <row r="1" customFormat="false" ht="28.5" hidden="false" customHeight="false" outlineLevel="0" collapsed="false">
      <c r="B1" s="175" t="str">
        <f aca="false">Language!$E$116</f>
        <v>Direct comparisons</v>
      </c>
      <c r="C1" s="175"/>
      <c r="D1" s="175"/>
      <c r="E1" s="175"/>
      <c r="F1" s="175"/>
      <c r="G1" s="175"/>
      <c r="H1" s="175"/>
      <c r="I1" s="175"/>
      <c r="J1" s="175"/>
      <c r="K1" s="175"/>
      <c r="L1" s="175"/>
      <c r="M1" s="175"/>
      <c r="N1" s="175"/>
      <c r="O1" s="175"/>
      <c r="P1" s="175"/>
      <c r="Q1" s="175"/>
      <c r="R1" s="175"/>
      <c r="S1" s="175"/>
      <c r="T1" s="175"/>
      <c r="U1" s="175"/>
    </row>
    <row r="2" customFormat="false" ht="15.75" hidden="false" customHeight="false" outlineLevel="0" collapsed="false">
      <c r="Y2" s="176"/>
    </row>
    <row r="3" customFormat="false" ht="19.5" hidden="false" customHeight="false" outlineLevel="0" collapsed="false">
      <c r="B3" s="177" t="str">
        <f aca="false">IF(OR($AC9&gt;0,$K5&lt;&gt;"",$K6&lt;&gt;"",$K7&lt;&gt;""),"","")</f>
        <v/>
      </c>
      <c r="C3" s="178" t="str">
        <f aca="false">Language!$E$124&amp;" A"</f>
        <v>Group A</v>
      </c>
      <c r="D3" s="179" t="str">
        <f aca="false">Language!$E$129</f>
        <v>Total</v>
      </c>
      <c r="E3" s="179"/>
      <c r="F3" s="179"/>
      <c r="G3" s="179"/>
      <c r="H3" s="179"/>
      <c r="I3" s="179" t="str">
        <f aca="false">Language!$E$132</f>
        <v>Dir. Conp.(2)</v>
      </c>
      <c r="J3" s="179"/>
      <c r="K3" s="179"/>
      <c r="L3" s="179"/>
      <c r="M3" s="179"/>
      <c r="N3" s="179" t="str">
        <f aca="false">Language!$E$133</f>
        <v>Dir. Comp.(3)</v>
      </c>
      <c r="O3" s="179"/>
      <c r="P3" s="179"/>
      <c r="Q3" s="179"/>
      <c r="R3" s="179"/>
      <c r="S3" s="180"/>
      <c r="T3" s="179"/>
      <c r="U3" s="181"/>
      <c r="W3" s="182" t="s">
        <v>64</v>
      </c>
      <c r="Y3" s="183" t="s">
        <v>65</v>
      </c>
      <c r="AC3" s="183" t="s">
        <v>66</v>
      </c>
      <c r="AD3" s="183" t="s">
        <v>67</v>
      </c>
    </row>
    <row r="4" customFormat="false" ht="15.75" hidden="false" customHeight="false" outlineLevel="0" collapsed="false">
      <c r="D4" s="182" t="str">
        <f aca="false">Language!$E$125</f>
        <v>Pts.</v>
      </c>
      <c r="E4" s="174" t="str">
        <f aca="false">Language!$E$126</f>
        <v>Diff.</v>
      </c>
      <c r="F4" s="184" t="str">
        <f aca="false">Language!$E$127</f>
        <v>Goals</v>
      </c>
      <c r="G4" s="184"/>
      <c r="H4" s="184"/>
      <c r="K4" s="182" t="str">
        <f aca="false">Language!$E$125</f>
        <v>Pts.</v>
      </c>
      <c r="L4" s="182"/>
      <c r="M4" s="182"/>
      <c r="N4" s="182" t="str">
        <f aca="false">Language!$E$125</f>
        <v>Pts.</v>
      </c>
      <c r="O4" s="174" t="str">
        <f aca="false">Language!$E$126</f>
        <v>Diff.</v>
      </c>
      <c r="P4" s="185" t="str">
        <f aca="false">Language!$E$127</f>
        <v>Goals</v>
      </c>
      <c r="Q4" s="185"/>
      <c r="R4" s="185"/>
      <c r="T4" s="174" t="str">
        <f aca="false">Language!$E$130</f>
        <v>Fair Play/Lot</v>
      </c>
      <c r="U4" s="186" t="str">
        <f aca="false">Language!$E$131</f>
        <v>Not clear</v>
      </c>
      <c r="AD4" s="187" t="s">
        <v>68</v>
      </c>
      <c r="AE4" s="187" t="s">
        <v>69</v>
      </c>
      <c r="AF4" s="187" t="s">
        <v>70</v>
      </c>
      <c r="AG4" s="187" t="s">
        <v>71</v>
      </c>
    </row>
    <row r="5" customFormat="false" ht="15.75" hidden="false" customHeight="false" outlineLevel="0" collapsed="false">
      <c r="B5" s="188" t="s">
        <v>52</v>
      </c>
      <c r="C5" s="189" t="str">
        <f aca="false">GrpA!$O$11</f>
        <v>Qatar</v>
      </c>
      <c r="D5" s="190" t="n">
        <f aca="false">GrpA!$P$11</f>
        <v>0</v>
      </c>
      <c r="E5" s="191" t="n">
        <f aca="false">GrpA!$Q$11</f>
        <v>0</v>
      </c>
      <c r="F5" s="192" t="n">
        <f aca="false">GrpA!$R$11</f>
        <v>0</v>
      </c>
      <c r="G5" s="193" t="s">
        <v>72</v>
      </c>
      <c r="H5" s="194" t="n">
        <f aca="false">GrpA!$S$11</f>
        <v>0</v>
      </c>
      <c r="K5" s="195" t="str">
        <f aca="false">IF(VLOOKUP(GrpA!$O$11,GrpA!$D$18:$J$21,7,0)=0,"",VLOOKUP(GrpA!$O$11,GrpA!$D$18:$J$21,6,0))</f>
        <v/>
      </c>
      <c r="L5" s="182"/>
      <c r="M5" s="182"/>
      <c r="N5" s="196" t="str">
        <f aca="false">IF($AC9=0,"",IF(INDEX($Y5:$AB8,1,$AC9)=0,"",INDEX($AD5:$AG7,INDEX($Y5:$AB8,1,$AC9),1)))</f>
        <v/>
      </c>
      <c r="O5" s="197" t="str">
        <f aca="false">IF($AC9=0,"",IF(INDEX($Y5:$AB8,1,$AC9)=0,"",INDEX($AD5:$AG7,INDEX($Y5:$AB8,1,$AC9),2)))</f>
        <v/>
      </c>
      <c r="P5" s="198" t="str">
        <f aca="false">IF($AC9=0,"",IF(INDEX($Y5:$AB8,1,$AC9)=0,"",INDEX($AD5:$AG7,INDEX($Y5:$AB8,1,$AC9),3)))</f>
        <v/>
      </c>
      <c r="Q5" s="199" t="s">
        <v>72</v>
      </c>
      <c r="R5" s="200" t="str">
        <f aca="false">IF($AC9=0,"",IF(INDEX($Y5:$AB8,1,$AC9)=0,"",INDEX($AD5:$AG7,INDEX($Y5:$AB8,1,$AC9),4)))</f>
        <v/>
      </c>
      <c r="T5" s="201" t="n">
        <f aca="false">SUMIFS(FairPlayPoints1,FairPlayTeams1,$C5)+SUMIFS(FairPlayPoints2,FairPlayTeams2,$C5)</f>
        <v>0</v>
      </c>
      <c r="U5" s="202" t="str">
        <f aca="false">IF($W5&gt;0,"•","")</f>
        <v/>
      </c>
      <c r="W5" s="174" t="n">
        <f aca="false">IF(AND(OR(TRUNC(GrpA!$T$11,4)=TRUNC(GrpA!$T$12,4),TRUNC(GrpA!$T$11,4)=TRUNC(GrpA!$T$13,4),TRUNC(GrpA!$T$11,4)=TRUNC(GrpA!$T$14,4)),VLOOKUP(GrpA!$O$11,GrpA!$O$4:$X$7,10,0)),1,0)</f>
        <v>0</v>
      </c>
      <c r="Y5" s="174" t="n">
        <f aca="false">IF(VLOOKUP($C5,GrpA!$O$17:$V$20,8,0)&gt;0,MATCH($C5,GrpA!$O$17:$O$20,0),0)</f>
        <v>0</v>
      </c>
      <c r="Z5" s="174" t="n">
        <f aca="false">IF(VLOOKUP($C5,GrpA!$O$22:$V$25,8,0)&gt;0,MATCH($C5,GrpA!$O$22:$O$25,0),0)</f>
        <v>0</v>
      </c>
      <c r="AA5" s="174" t="n">
        <f aca="false">IF(VLOOKUP($C5,GrpA!$O$27:$V$30,8,0)&gt;0,MATCH($C5,GrpA!$O$27:$O$30,0),0)</f>
        <v>0</v>
      </c>
      <c r="AB5" s="174" t="n">
        <f aca="false">IF(VLOOKUP($C5,GrpA!$O$32:$V$35,8,0)&gt;0,MATCH($C5,GrpA!$O$32:$O$35,0),0)</f>
        <v>0</v>
      </c>
      <c r="AD5" s="174" t="str">
        <f aca="false" t="array" ref="AD5:AG7">IF($Y9&gt;0,GrpA!$P$17:$S$19,IF($Z9&gt;0,GrpA!$P$22:$S$25,IF($AA9&gt;0,GrpA!$P$27:$S$30,IF($AB9&gt;0,GrpA!$P$32:$S$35,"0"))))</f>
        <v>0</v>
      </c>
      <c r="AE5" s="174" t="str">
        <v>0</v>
      </c>
      <c r="AF5" s="174" t="str">
        <v>0</v>
      </c>
      <c r="AG5" s="174" t="str">
        <v>0</v>
      </c>
    </row>
    <row r="6" customFormat="false" ht="15.75" hidden="false" customHeight="false" outlineLevel="0" collapsed="false">
      <c r="B6" s="188" t="s">
        <v>53</v>
      </c>
      <c r="C6" s="189" t="str">
        <f aca="false">GrpA!$O$12</f>
        <v>Ecuador</v>
      </c>
      <c r="D6" s="203" t="n">
        <f aca="false">GrpA!$P$12</f>
        <v>0</v>
      </c>
      <c r="E6" s="204" t="n">
        <f aca="false">GrpA!$Q$12</f>
        <v>0</v>
      </c>
      <c r="F6" s="205" t="n">
        <f aca="false">GrpA!$R$12</f>
        <v>0</v>
      </c>
      <c r="G6" s="206" t="s">
        <v>72</v>
      </c>
      <c r="H6" s="207" t="n">
        <f aca="false">GrpA!$S$12</f>
        <v>0</v>
      </c>
      <c r="K6" s="208" t="str">
        <f aca="false">IF(VLOOKUP(GrpA!$O$12,GrpA!$D$18:$J$21,7,0)=0,"",VLOOKUP(GrpA!$O$12,GrpA!$D$18:$J$21,6,0))</f>
        <v/>
      </c>
      <c r="L6" s="182"/>
      <c r="M6" s="182"/>
      <c r="N6" s="209" t="str">
        <f aca="false">IF($AC9=0,"",IF(INDEX($Y5:$AB8,2,$AC9)=0,"",INDEX($AD5:$AG7,INDEX($Y5:$AB8,2,$AC9),1)))</f>
        <v/>
      </c>
      <c r="O6" s="210" t="str">
        <f aca="false">IF($AC9=0,"",IF(INDEX($Y5:$AB8,2,$AC9)=0,"",INDEX($AD5:$AG7,INDEX($Y5:$AB8,2,$AC9),2)))</f>
        <v/>
      </c>
      <c r="P6" s="211" t="str">
        <f aca="false">IF($AC9=0,"",IF(INDEX($Y5:$AB8,2,$AC9)=0,"",INDEX($AD5:$AG7,INDEX($Y5:$AB8,2,$AC9),3)))</f>
        <v/>
      </c>
      <c r="Q6" s="212" t="s">
        <v>72</v>
      </c>
      <c r="R6" s="213" t="str">
        <f aca="false">IF($AC9=0,"",IF(INDEX($Y5:$AB8,2,$AC9)=0,"",INDEX($AD5:$AG7,INDEX($Y5:$AB8,2,$AC9),4)))</f>
        <v/>
      </c>
      <c r="T6" s="214" t="n">
        <f aca="false">SUMIFS(FairPlayPoints1,FairPlayTeams1,$C6)+SUMIFS(FairPlayPoints2,FairPlayTeams2,$C6)</f>
        <v>0</v>
      </c>
      <c r="U6" s="215" t="str">
        <f aca="false">IF($W6&gt;0,"•","")</f>
        <v/>
      </c>
      <c r="W6" s="174" t="n">
        <f aca="false">IF(AND(OR(TRUNC(GrpA!$T$12,4)=TRUNC(GrpA!$T$11,4),TRUNC(GrpA!$T$12,4)=TRUNC(GrpA!$T$13,4),TRUNC(GrpA!$T$12,4)=TRUNC(GrpA!$T$14,4)),VLOOKUP(GrpA!$O$12,GrpA!$O$4:$X$7,10,0)),1,0)</f>
        <v>0</v>
      </c>
      <c r="Y6" s="174" t="n">
        <f aca="false">IF(VLOOKUP($C6,GrpA!$O$17:$V$20,8,0)&gt;0,MATCH($C6,GrpA!$O$17:$O$20,0),0)</f>
        <v>0</v>
      </c>
      <c r="Z6" s="174" t="n">
        <f aca="false">IF(VLOOKUP($C6,GrpA!$O$22:$V$25,8,0)&gt;0,MATCH($C6,GrpA!$O$22:$O$25,0),0)</f>
        <v>0</v>
      </c>
      <c r="AA6" s="174" t="n">
        <f aca="false">IF(VLOOKUP($C6,GrpA!$O$27:$V$30,8,0)&gt;0,MATCH($C6,GrpA!$O$27:$O$30,0),0)</f>
        <v>0</v>
      </c>
      <c r="AB6" s="174" t="n">
        <f aca="false">IF(VLOOKUP($C6,GrpA!$O$32:$V$35,8,0)&gt;0,MATCH($C6,GrpA!$O$32:$O$35,0),0)</f>
        <v>0</v>
      </c>
      <c r="AD6" s="174" t="str">
        <v>0</v>
      </c>
      <c r="AE6" s="174" t="str">
        <v>0</v>
      </c>
      <c r="AF6" s="174" t="str">
        <v>0</v>
      </c>
      <c r="AG6" s="174" t="str">
        <v>0</v>
      </c>
    </row>
    <row r="7" customFormat="false" ht="15.75" hidden="false" customHeight="false" outlineLevel="0" collapsed="false">
      <c r="B7" s="188" t="s">
        <v>73</v>
      </c>
      <c r="C7" s="189" t="str">
        <f aca="false">GrpA!$O$13</f>
        <v>Senegal</v>
      </c>
      <c r="D7" s="203" t="n">
        <f aca="false">GrpA!$P$13</f>
        <v>0</v>
      </c>
      <c r="E7" s="204" t="n">
        <f aca="false">GrpA!$Q$13</f>
        <v>0</v>
      </c>
      <c r="F7" s="205" t="n">
        <f aca="false">GrpA!$R$13</f>
        <v>0</v>
      </c>
      <c r="G7" s="206" t="s">
        <v>72</v>
      </c>
      <c r="H7" s="207" t="n">
        <f aca="false">GrpA!$S$13</f>
        <v>0</v>
      </c>
      <c r="K7" s="208" t="str">
        <f aca="false">IF(VLOOKUP(GrpA!$O$13,GrpA!$D$18:$J$21,7,0)=0,"",VLOOKUP(GrpA!$O$13,GrpA!$D$18:$J$21,6,0))</f>
        <v/>
      </c>
      <c r="L7" s="182"/>
      <c r="M7" s="182"/>
      <c r="N7" s="209" t="str">
        <f aca="false">IF($AC9=0,"",IF(INDEX($Y5:$AB8,3,$AC9)=0,"",INDEX($AD5:$AG7,INDEX($Y5:$AB8,3,$AC9),1)))</f>
        <v/>
      </c>
      <c r="O7" s="210" t="str">
        <f aca="false">IF($AC9=0,"",IF(INDEX($Y5:$AB8,3,$AC9)=0,"",INDEX($AD5:$AG7,INDEX($Y5:$AB8,3,$AC9),2)))</f>
        <v/>
      </c>
      <c r="P7" s="211" t="str">
        <f aca="false">IF($AC9=0,"",IF(INDEX($Y5:$AB8,3,$AC9)=0,"",INDEX($AD5:$AG7,INDEX($Y5:$AB8,3,$AC9),3)))</f>
        <v/>
      </c>
      <c r="Q7" s="212" t="s">
        <v>72</v>
      </c>
      <c r="R7" s="213" t="str">
        <f aca="false">IF($AC9=0,"",IF(INDEX($Y5:$AB8,3,$AC9)=0,"",INDEX($AD5:$AG7,INDEX($Y5:$AB8,3,$AC9),4)))</f>
        <v/>
      </c>
      <c r="T7" s="214" t="n">
        <f aca="false">SUMIFS(FairPlayPoints1,FairPlayTeams1,$C7)+SUMIFS(FairPlayPoints2,FairPlayTeams2,$C7)</f>
        <v>0</v>
      </c>
      <c r="U7" s="215" t="str">
        <f aca="false">IF($W7&gt;0,"•","")</f>
        <v/>
      </c>
      <c r="W7" s="174" t="n">
        <f aca="false">IF(AND(OR(TRUNC(GrpA!$T$13,4)=TRUNC(GrpA!$T$11,4),TRUNC(GrpA!$T$13,4)=TRUNC(GrpA!$T$12,4),TRUNC(GrpA!$T$13,4)=TRUNC(GrpA!$T$14,4)),VLOOKUP(GrpA!$O$13,GrpA!$O$4:$X$7,10,0)),1,0)</f>
        <v>0</v>
      </c>
      <c r="Y7" s="174" t="n">
        <f aca="false">IF(VLOOKUP($C7,GrpA!$O$17:$V$20,8,0)&gt;0,MATCH($C7,GrpA!$O$17:$O$20,0),0)</f>
        <v>0</v>
      </c>
      <c r="Z7" s="174" t="n">
        <f aca="false">IF(VLOOKUP($C7,GrpA!$O$22:$V$25,8,0)&gt;0,MATCH($C7,GrpA!$O$22:$O$25,0),0)</f>
        <v>0</v>
      </c>
      <c r="AA7" s="174" t="n">
        <f aca="false">IF(VLOOKUP($C7,GrpA!$O$27:$V$30,8,0)&gt;0,MATCH($C7,GrpA!$O$27:$O$30,0),0)</f>
        <v>0</v>
      </c>
      <c r="AB7" s="174" t="n">
        <f aca="false">IF(VLOOKUP($C7,GrpA!$O$32:$V$35,8,0)&gt;0,MATCH($C7,GrpA!$O$32:$O$35,0),0)</f>
        <v>0</v>
      </c>
      <c r="AD7" s="174" t="str">
        <v>0</v>
      </c>
      <c r="AE7" s="174" t="str">
        <v>0</v>
      </c>
      <c r="AF7" s="174" t="str">
        <v>0</v>
      </c>
      <c r="AG7" s="174" t="str">
        <v>0</v>
      </c>
    </row>
    <row r="8" customFormat="false" ht="16.5" hidden="false" customHeight="false" outlineLevel="0" collapsed="false">
      <c r="B8" s="188" t="s">
        <v>74</v>
      </c>
      <c r="C8" s="189" t="str">
        <f aca="false">GrpA!$O$14</f>
        <v>Netherlands</v>
      </c>
      <c r="D8" s="216" t="n">
        <f aca="false">GrpA!$P$14</f>
        <v>0</v>
      </c>
      <c r="E8" s="217" t="n">
        <f aca="false">GrpA!$Q$14</f>
        <v>0</v>
      </c>
      <c r="F8" s="218" t="n">
        <f aca="false">GrpA!$R$14</f>
        <v>0</v>
      </c>
      <c r="G8" s="219" t="s">
        <v>72</v>
      </c>
      <c r="H8" s="220" t="n">
        <f aca="false">GrpA!$S$14</f>
        <v>0</v>
      </c>
      <c r="K8" s="221" t="str">
        <f aca="false">IF(VLOOKUP(GrpA!$O$14,GrpA!$D$18:$J$21,7,0)=0,"",VLOOKUP(GrpA!$O$14,GrpA!$D$18:$J$21,6,0))</f>
        <v/>
      </c>
      <c r="L8" s="182"/>
      <c r="M8" s="182"/>
      <c r="N8" s="222" t="str">
        <f aca="false">IF($AC9=0,"",IF(INDEX($Y5:$AB8,4,$AC9)=0,"",INDEX($AD5:$AG7,INDEX($Y5:$AB8,4,$AC9),1)))</f>
        <v/>
      </c>
      <c r="O8" s="223" t="str">
        <f aca="false">IF($AC9=0,"",IF(INDEX($Y5:$AB8,4,$AC9)=0,"",INDEX($AD5:$AG7,INDEX($Y5:$AB8,4,$AC9),2)))</f>
        <v/>
      </c>
      <c r="P8" s="224" t="str">
        <f aca="false">IF($AC9=0,"",IF(INDEX($Y5:$AB8,4,$AC9)=0,"",INDEX($AD5:$AG7,INDEX($Y5:$AB8,4,$AC9),3)))</f>
        <v/>
      </c>
      <c r="Q8" s="225" t="s">
        <v>72</v>
      </c>
      <c r="R8" s="226" t="str">
        <f aca="false">IF($AC9=0,"",IF(INDEX($Y5:$AB8,4,$AC9)=0,"",INDEX($AD5:$AG7,INDEX($Y5:$AB8,4,$AC9),4)))</f>
        <v/>
      </c>
      <c r="T8" s="227" t="n">
        <f aca="false">SUMIFS(FairPlayPoints1,FairPlayTeams1,$C8)+SUMIFS(FairPlayPoints2,FairPlayTeams2,$C8)</f>
        <v>0</v>
      </c>
      <c r="U8" s="228" t="str">
        <f aca="false">IF($W8&gt;0,"•","")</f>
        <v/>
      </c>
      <c r="W8" s="174" t="n">
        <f aca="false">IF(AND(OR(TRUNC(GrpA!$T$14,4)=TRUNC(GrpA!$T$11,4),TRUNC(GrpA!$T$14,4)=TRUNC(GrpA!$T$12,4),TRUNC(GrpA!$T$14,4)=TRUNC(GrpA!$T$13,4)),VLOOKUP(GrpA!$O$14,GrpA!$O$4:$X$7,10,0)),1,0)</f>
        <v>0</v>
      </c>
      <c r="Y8" s="174" t="n">
        <f aca="false">IF(VLOOKUP($C8,GrpA!$O$17:$V$20,8,0)&gt;0,MATCH($C8,GrpA!$O$17:$O$20,0),0)</f>
        <v>0</v>
      </c>
      <c r="Z8" s="174" t="n">
        <f aca="false">IF(VLOOKUP($C8,GrpA!$O$22:$V$25,8,0)&gt;0,MATCH($C8,GrpA!$O$22:$O$25,0),0)</f>
        <v>0</v>
      </c>
      <c r="AA8" s="174" t="n">
        <f aca="false">IF(VLOOKUP($C8,GrpA!$O$27:$V$30,8,0)&gt;0,MATCH($C8,GrpA!$O$27:$O$30,0),0)</f>
        <v>0</v>
      </c>
      <c r="AB8" s="174" t="n">
        <f aca="false">IF(VLOOKUP($C8,GrpA!$O$32:$V$35,8,0)&gt;0,MATCH($C8,GrpA!$O$32:$O$35,0),0)</f>
        <v>0</v>
      </c>
    </row>
    <row r="9" customFormat="false" ht="15" hidden="false" customHeight="false" outlineLevel="0" collapsed="false">
      <c r="Y9" s="229" t="n">
        <f aca="false">SUM(Y5:Y8)</f>
        <v>0</v>
      </c>
      <c r="Z9" s="229" t="n">
        <f aca="false">SUM(Z5:Z8)</f>
        <v>0</v>
      </c>
      <c r="AA9" s="229" t="n">
        <f aca="false">SUM(AA5:AA8)</f>
        <v>0</v>
      </c>
      <c r="AB9" s="229" t="n">
        <f aca="false">SUM(AB5:AB8)</f>
        <v>0</v>
      </c>
      <c r="AC9" s="174" t="n">
        <f aca="false" t="array" ref="AC9:AC9">MAX(IF($Y9:$AB9&gt;0,COLUMN($Y9:$AB9)-COLUMN(X$1),0))</f>
        <v>0</v>
      </c>
    </row>
    <row r="10" customFormat="false" ht="15.75" hidden="false" customHeight="false" outlineLevel="0" collapsed="false"/>
    <row r="11" customFormat="false" ht="19.5" hidden="false" customHeight="false" outlineLevel="0" collapsed="false">
      <c r="B11" s="177" t="str">
        <f aca="false">IF(OR($AC17&gt;0,$K13&lt;&gt;"",$K14&lt;&gt;"",$K15&lt;&gt;""),"","")</f>
        <v/>
      </c>
      <c r="C11" s="178" t="str">
        <f aca="false">Language!$E$124&amp;" B"</f>
        <v>Group B</v>
      </c>
      <c r="D11" s="179" t="str">
        <f aca="false">Language!$E$129</f>
        <v>Total</v>
      </c>
      <c r="E11" s="179"/>
      <c r="F11" s="179"/>
      <c r="G11" s="179"/>
      <c r="H11" s="179"/>
      <c r="I11" s="179" t="str">
        <f aca="false">Language!$E$132</f>
        <v>Dir. Conp.(2)</v>
      </c>
      <c r="J11" s="179"/>
      <c r="K11" s="179"/>
      <c r="L11" s="179"/>
      <c r="M11" s="179"/>
      <c r="N11" s="179" t="str">
        <f aca="false">Language!$E$133</f>
        <v>Dir. Comp.(3)</v>
      </c>
      <c r="O11" s="179"/>
      <c r="P11" s="179"/>
      <c r="Q11" s="179"/>
      <c r="R11" s="179"/>
      <c r="S11" s="180"/>
      <c r="T11" s="179"/>
      <c r="U11" s="181"/>
    </row>
    <row r="12" customFormat="false" ht="15.75" hidden="false" customHeight="false" outlineLevel="0" collapsed="false">
      <c r="D12" s="182" t="str">
        <f aca="false">Language!$E$125</f>
        <v>Pts.</v>
      </c>
      <c r="E12" s="174" t="str">
        <f aca="false">Language!$E$126</f>
        <v>Diff.</v>
      </c>
      <c r="F12" s="184" t="str">
        <f aca="false">Language!$E$127</f>
        <v>Goals</v>
      </c>
      <c r="G12" s="184"/>
      <c r="H12" s="184"/>
      <c r="K12" s="182" t="str">
        <f aca="false">Language!$E$125</f>
        <v>Pts.</v>
      </c>
      <c r="L12" s="182"/>
      <c r="M12" s="182"/>
      <c r="N12" s="182" t="str">
        <f aca="false">Language!$E$125</f>
        <v>Pts.</v>
      </c>
      <c r="O12" s="174" t="str">
        <f aca="false">Language!$E$126</f>
        <v>Diff.</v>
      </c>
      <c r="P12" s="185" t="str">
        <f aca="false">Language!$E$127</f>
        <v>Goals</v>
      </c>
      <c r="Q12" s="185"/>
      <c r="R12" s="185"/>
      <c r="T12" s="174" t="str">
        <f aca="false">Language!$E$130</f>
        <v>Fair Play/Lot</v>
      </c>
      <c r="U12" s="186" t="str">
        <f aca="false">Language!$E$131</f>
        <v>Not clear</v>
      </c>
    </row>
    <row r="13" customFormat="false" ht="15.75" hidden="false" customHeight="false" outlineLevel="0" collapsed="false">
      <c r="B13" s="188" t="s">
        <v>52</v>
      </c>
      <c r="C13" s="189" t="str">
        <f aca="false">GrpB!$O$11</f>
        <v>England</v>
      </c>
      <c r="D13" s="190" t="n">
        <f aca="false">GrpB!$P$11</f>
        <v>0</v>
      </c>
      <c r="E13" s="191" t="n">
        <f aca="false">GrpB!$Q$11</f>
        <v>0</v>
      </c>
      <c r="F13" s="192" t="n">
        <f aca="false">GrpB!$R$11</f>
        <v>0</v>
      </c>
      <c r="G13" s="193" t="s">
        <v>72</v>
      </c>
      <c r="H13" s="194" t="n">
        <f aca="false">GrpB!$S$11</f>
        <v>0</v>
      </c>
      <c r="K13" s="195" t="str">
        <f aca="false">IF(VLOOKUP(GrpB!$O$11,GrpB!$D$18:$J$21,7,0)=0,"",VLOOKUP(GrpB!$O$11,GrpB!$D$18:$J$21,6,0))</f>
        <v/>
      </c>
      <c r="L13" s="182"/>
      <c r="M13" s="182"/>
      <c r="N13" s="196" t="str">
        <f aca="false">IF($AC17=0,"",IF(INDEX($Y13:$AB16,1,$AC17)=0,"",INDEX($AD13:$AG15,INDEX($Y13:$AB16,1,$AC17),1)))</f>
        <v/>
      </c>
      <c r="O13" s="197" t="str">
        <f aca="false">IF($AC17=0,"",IF(INDEX($Y13:$AB16,1,$AC17)=0,"",INDEX($AD13:$AG15,INDEX($Y13:$AB16,1,$AC17),2)))</f>
        <v/>
      </c>
      <c r="P13" s="198" t="str">
        <f aca="false">IF($AC17=0,"",IF(INDEX($Y13:$AB16,1,$AC17)=0,"",INDEX($AD13:$AG15,INDEX($Y13:$AB16,1,$AC17),3)))</f>
        <v/>
      </c>
      <c r="Q13" s="199" t="s">
        <v>72</v>
      </c>
      <c r="R13" s="200" t="str">
        <f aca="false">IF($AC17=0,"",IF(INDEX($Y13:$AB16,1,$AC17)=0,"",INDEX($AD13:$AG15,INDEX($Y13:$AB16,1,$AC17),4)))</f>
        <v/>
      </c>
      <c r="T13" s="201" t="n">
        <f aca="false">SUMIFS(FairPlayPoints1,FairPlayTeams1,$C13)+SUMIFS(FairPlayPoints2,FairPlayTeams2,$C13)</f>
        <v>0</v>
      </c>
      <c r="U13" s="202" t="str">
        <f aca="false">IF($W13&gt;0,"•","")</f>
        <v/>
      </c>
      <c r="W13" s="174" t="n">
        <f aca="false">IF(AND(OR(TRUNC(GrpB!$T$11,4)=TRUNC(GrpB!$T$12,4),TRUNC(GrpB!$T$11,4)=TRUNC(GrpB!$T$13,4),TRUNC(GrpB!$T$11,4)=TRUNC(GrpB!$T$14,4)),VLOOKUP(GrpB!$O$11,GrpB!$O$4:$X$7,10,0)),1,0)</f>
        <v>0</v>
      </c>
      <c r="Y13" s="174" t="n">
        <f aca="false">IF(VLOOKUP($C13,GrpB!$O$17:$V$20,8,0)&gt;0,MATCH($C13,GrpB!$O$17:$O$20,0),0)</f>
        <v>0</v>
      </c>
      <c r="Z13" s="174" t="n">
        <f aca="false">IF(VLOOKUP($C13,GrpB!$O$22:$V$25,8,0)&gt;0,MATCH($C13,GrpB!$O$22:$O$25,0),0)</f>
        <v>0</v>
      </c>
      <c r="AA13" s="174" t="n">
        <f aca="false">IF(VLOOKUP($C13,GrpB!$O$27:$V$30,8,0)&gt;0,MATCH($C13,GrpB!$O$27:$O$30,0),0)</f>
        <v>0</v>
      </c>
      <c r="AB13" s="174" t="n">
        <f aca="false">IF(VLOOKUP($C13,GrpB!$O$32:$V$35,8,0)&gt;0,MATCH($C13,GrpB!$O$32:$O$35,0),0)</f>
        <v>0</v>
      </c>
      <c r="AD13" s="174" t="str">
        <f aca="false" t="array" ref="AD13:AG15">IF($Y17&gt;0,GrpB!$P$17:$S$19,IF($Z17&gt;0,GrpB!$P$22:$S$25,IF($AA17&gt;0,GrpB!$P$27:$S$30,IF($AB17&gt;0,GrpB!$P$32:$S$35,"0"))))</f>
        <v>0</v>
      </c>
      <c r="AE13" s="174" t="str">
        <v>0</v>
      </c>
      <c r="AF13" s="174" t="str">
        <v>0</v>
      </c>
      <c r="AG13" s="174" t="str">
        <v>0</v>
      </c>
    </row>
    <row r="14" customFormat="false" ht="15.75" hidden="false" customHeight="false" outlineLevel="0" collapsed="false">
      <c r="B14" s="188" t="s">
        <v>53</v>
      </c>
      <c r="C14" s="189" t="str">
        <f aca="false">GrpB!$O$12</f>
        <v>IR Iran</v>
      </c>
      <c r="D14" s="203" t="n">
        <f aca="false">GrpB!$P$12</f>
        <v>0</v>
      </c>
      <c r="E14" s="204" t="n">
        <f aca="false">GrpB!$Q$12</f>
        <v>0</v>
      </c>
      <c r="F14" s="205" t="n">
        <f aca="false">GrpB!$R$12</f>
        <v>0</v>
      </c>
      <c r="G14" s="206" t="s">
        <v>72</v>
      </c>
      <c r="H14" s="207" t="n">
        <f aca="false">GrpB!$S$12</f>
        <v>0</v>
      </c>
      <c r="K14" s="208" t="str">
        <f aca="false">IF(VLOOKUP(GrpB!$O$12,GrpB!$D$18:$J$21,7,0)=0,"",VLOOKUP(GrpB!$O$12,GrpB!$D$18:$J$21,6,0))</f>
        <v/>
      </c>
      <c r="L14" s="182"/>
      <c r="M14" s="182"/>
      <c r="N14" s="209" t="str">
        <f aca="false">IF($AC17=0,"",IF(INDEX($Y13:$AB16,2,$AC17)=0,"",INDEX($AD13:$AG15,INDEX($Y13:$AB16,2,$AC17),1)))</f>
        <v/>
      </c>
      <c r="O14" s="210" t="str">
        <f aca="false">IF($AC17=0,"",IF(INDEX($Y13:$AB16,2,$AC17)=0,"",INDEX($AD13:$AG15,INDEX($Y13:$AB16,2,$AC17),2)))</f>
        <v/>
      </c>
      <c r="P14" s="211" t="str">
        <f aca="false">IF($AC17=0,"",IF(INDEX($Y13:$AB16,2,$AC17)=0,"",INDEX($AD13:$AG15,INDEX($Y13:$AB16,2,$AC17),3)))</f>
        <v/>
      </c>
      <c r="Q14" s="212" t="s">
        <v>72</v>
      </c>
      <c r="R14" s="213" t="str">
        <f aca="false">IF($AC17=0,"",IF(INDEX($Y13:$AB16,2,$AC17)=0,"",INDEX($AD13:$AG15,INDEX($Y13:$AB16,2,$AC17),4)))</f>
        <v/>
      </c>
      <c r="T14" s="214" t="n">
        <f aca="false">SUMIFS(FairPlayPoints1,FairPlayTeams1,$C14)+SUMIFS(FairPlayPoints2,FairPlayTeams2,$C14)</f>
        <v>0</v>
      </c>
      <c r="U14" s="215" t="str">
        <f aca="false">IF($W14&gt;0,"•","")</f>
        <v/>
      </c>
      <c r="W14" s="174" t="n">
        <f aca="false">IF(AND(OR(TRUNC(GrpB!$T$12,4)=TRUNC(GrpB!$T$11,4),TRUNC(GrpB!$T$12,4)=TRUNC(GrpB!$T$13,4),TRUNC(GrpB!$T$12,4)=TRUNC(GrpB!$T$14,4)),VLOOKUP(GrpB!$O$12,GrpB!$O$4:$X$7,10,0)),1,0)</f>
        <v>0</v>
      </c>
      <c r="Y14" s="174" t="n">
        <f aca="false">IF(VLOOKUP($C14,GrpB!$O$17:$V$20,8,0)&gt;0,MATCH($C14,GrpB!$O$17:$O$20,0),0)</f>
        <v>0</v>
      </c>
      <c r="Z14" s="174" t="n">
        <f aca="false">IF(VLOOKUP($C14,GrpB!$O$22:$V$25,8,0)&gt;0,MATCH($C14,GrpB!$O$22:$O$25,0),0)</f>
        <v>0</v>
      </c>
      <c r="AA14" s="174" t="n">
        <f aca="false">IF(VLOOKUP($C14,GrpB!$O$27:$V$30,8,0)&gt;0,MATCH($C14,GrpB!$O$27:$O$30,0),0)</f>
        <v>0</v>
      </c>
      <c r="AB14" s="174" t="n">
        <f aca="false">IF(VLOOKUP($C14,GrpB!$O$32:$V$35,8,0)&gt;0,MATCH($C14,GrpB!$O$32:$O$35,0),0)</f>
        <v>0</v>
      </c>
      <c r="AD14" s="174" t="str">
        <v>0</v>
      </c>
      <c r="AE14" s="174" t="str">
        <v>0</v>
      </c>
      <c r="AF14" s="174" t="str">
        <v>0</v>
      </c>
      <c r="AG14" s="174" t="str">
        <v>0</v>
      </c>
    </row>
    <row r="15" customFormat="false" ht="15.75" hidden="false" customHeight="false" outlineLevel="0" collapsed="false">
      <c r="B15" s="188" t="s">
        <v>73</v>
      </c>
      <c r="C15" s="189" t="str">
        <f aca="false">GrpB!$O$13</f>
        <v>USA</v>
      </c>
      <c r="D15" s="203" t="n">
        <f aca="false">GrpB!$P$13</f>
        <v>0</v>
      </c>
      <c r="E15" s="204" t="n">
        <f aca="false">GrpB!$Q$13</f>
        <v>0</v>
      </c>
      <c r="F15" s="205" t="n">
        <f aca="false">GrpB!$R$13</f>
        <v>0</v>
      </c>
      <c r="G15" s="206" t="s">
        <v>72</v>
      </c>
      <c r="H15" s="207" t="n">
        <f aca="false">GrpB!$S$13</f>
        <v>0</v>
      </c>
      <c r="K15" s="208" t="str">
        <f aca="false">IF(VLOOKUP(GrpB!$O$13,GrpB!$D$18:$J$21,7,0)=0,"",VLOOKUP(GrpB!$O$13,GrpB!$D$18:$J$21,6,0))</f>
        <v/>
      </c>
      <c r="L15" s="182"/>
      <c r="M15" s="182"/>
      <c r="N15" s="209" t="str">
        <f aca="false">IF($AC17=0,"",IF(INDEX($Y13:$AB16,3,$AC17)=0,"",INDEX($AD13:$AG15,INDEX($Y13:$AB16,3,$AC17),1)))</f>
        <v/>
      </c>
      <c r="O15" s="210" t="str">
        <f aca="false">IF($AC17=0,"",IF(INDEX($Y13:$AB16,3,$AC17)=0,"",INDEX($AD13:$AG15,INDEX($Y13:$AB16,3,$AC17),2)))</f>
        <v/>
      </c>
      <c r="P15" s="211" t="str">
        <f aca="false">IF($AC17=0,"",IF(INDEX($Y13:$AB16,3,$AC17)=0,"",INDEX($AD13:$AG15,INDEX($Y13:$AB16,3,$AC17),3)))</f>
        <v/>
      </c>
      <c r="Q15" s="212" t="s">
        <v>72</v>
      </c>
      <c r="R15" s="213" t="str">
        <f aca="false">IF($AC17=0,"",IF(INDEX($Y13:$AB16,3,$AC17)=0,"",INDEX($AD13:$AG15,INDEX($Y13:$AB16,3,$AC17),4)))</f>
        <v/>
      </c>
      <c r="T15" s="214" t="n">
        <f aca="false">SUMIFS(FairPlayPoints1,FairPlayTeams1,$C15)+SUMIFS(FairPlayPoints2,FairPlayTeams2,$C15)</f>
        <v>0</v>
      </c>
      <c r="U15" s="215" t="str">
        <f aca="false">IF($W15&gt;0,"•","")</f>
        <v/>
      </c>
      <c r="W15" s="174" t="n">
        <f aca="false">IF(AND(OR(TRUNC(GrpB!$T$13,4)=TRUNC(GrpB!$T$11,4),TRUNC(GrpB!$T$13,4)=TRUNC(GrpB!$T$12,4),TRUNC(GrpB!$T$13,4)=TRUNC(GrpB!$T$14,4)),VLOOKUP(GrpB!$O$13,GrpB!$O$4:$X$7,10,0)),1,0)</f>
        <v>0</v>
      </c>
      <c r="Y15" s="174" t="n">
        <f aca="false">IF(VLOOKUP($C15,GrpB!$O$17:$V$20,8,0)&gt;0,MATCH($C15,GrpB!$O$17:$O$20,0),0)</f>
        <v>0</v>
      </c>
      <c r="Z15" s="174" t="n">
        <f aca="false">IF(VLOOKUP($C15,GrpB!$O$22:$V$25,8,0)&gt;0,MATCH($C15,GrpB!$O$22:$O$25,0),0)</f>
        <v>0</v>
      </c>
      <c r="AA15" s="174" t="n">
        <f aca="false">IF(VLOOKUP($C15,GrpB!$O$27:$V$30,8,0)&gt;0,MATCH($C15,GrpB!$O$27:$O$30,0),0)</f>
        <v>0</v>
      </c>
      <c r="AB15" s="174" t="n">
        <f aca="false">IF(VLOOKUP($C15,GrpB!$O$32:$V$35,8,0)&gt;0,MATCH($C15,GrpB!$O$32:$O$35,0),0)</f>
        <v>0</v>
      </c>
      <c r="AD15" s="174" t="str">
        <v>0</v>
      </c>
      <c r="AE15" s="174" t="str">
        <v>0</v>
      </c>
      <c r="AF15" s="174" t="str">
        <v>0</v>
      </c>
      <c r="AG15" s="174" t="str">
        <v>0</v>
      </c>
    </row>
    <row r="16" customFormat="false" ht="16.5" hidden="false" customHeight="false" outlineLevel="0" collapsed="false">
      <c r="B16" s="188" t="s">
        <v>74</v>
      </c>
      <c r="C16" s="189" t="str">
        <f aca="false">GrpB!$O$14</f>
        <v>Wales</v>
      </c>
      <c r="D16" s="216" t="n">
        <f aca="false">GrpB!$P$14</f>
        <v>0</v>
      </c>
      <c r="E16" s="217" t="n">
        <f aca="false">GrpB!$Q$14</f>
        <v>0</v>
      </c>
      <c r="F16" s="218" t="n">
        <f aca="false">GrpB!$R$14</f>
        <v>0</v>
      </c>
      <c r="G16" s="219" t="s">
        <v>72</v>
      </c>
      <c r="H16" s="220" t="n">
        <f aca="false">GrpB!$S$14</f>
        <v>0</v>
      </c>
      <c r="K16" s="221" t="str">
        <f aca="false">IF(VLOOKUP(GrpB!$O$14,GrpB!$D$18:$J$21,7,0)=0,"",VLOOKUP(GrpB!$O$14,GrpB!$D$18:$J$21,6,0))</f>
        <v/>
      </c>
      <c r="L16" s="182"/>
      <c r="M16" s="182"/>
      <c r="N16" s="222" t="str">
        <f aca="false">IF($AC17=0,"",IF(INDEX($Y13:$AB16,4,$AC17)=0,"",INDEX($AD13:$AG15,INDEX($Y13:$AB16,4,$AC17),1)))</f>
        <v/>
      </c>
      <c r="O16" s="223" t="str">
        <f aca="false">IF($AC17=0,"",IF(INDEX($Y13:$AB16,4,$AC17)=0,"",INDEX($AD13:$AG15,INDEX($Y13:$AB16,4,$AC17),2)))</f>
        <v/>
      </c>
      <c r="P16" s="224" t="str">
        <f aca="false">IF($AC17=0,"",IF(INDEX($Y13:$AB16,4,$AC17)=0,"",INDEX($AD13:$AG15,INDEX($Y13:$AB16,4,$AC17),3)))</f>
        <v/>
      </c>
      <c r="Q16" s="225" t="s">
        <v>72</v>
      </c>
      <c r="R16" s="226" t="str">
        <f aca="false">IF($AC17=0,"",IF(INDEX($Y13:$AB16,4,$AC17)=0,"",INDEX($AD13:$AG15,INDEX($Y13:$AB16,4,$AC17),4)))</f>
        <v/>
      </c>
      <c r="T16" s="227" t="n">
        <f aca="false">SUMIFS(FairPlayPoints1,FairPlayTeams1,$C16)+SUMIFS(FairPlayPoints2,FairPlayTeams2,$C16)</f>
        <v>0</v>
      </c>
      <c r="U16" s="228" t="str">
        <f aca="false">IF($W16&gt;0,"•","")</f>
        <v/>
      </c>
      <c r="W16" s="174" t="n">
        <f aca="false">IF(AND(OR(TRUNC(GrpB!$T$14,4)=TRUNC(GrpB!$T$11,4),TRUNC(GrpB!$T$14,4)=TRUNC(GrpB!$T$12,4),TRUNC(GrpB!$T$14,4)=TRUNC(GrpB!$T$13,4)),VLOOKUP(GrpB!$O$14,GrpB!$O$4:$X$7,10,0)),1,0)</f>
        <v>0</v>
      </c>
      <c r="Y16" s="174" t="n">
        <f aca="false">IF(VLOOKUP($C16,GrpB!$O$17:$V$20,8,0)&gt;0,MATCH($C16,GrpB!$O$17:$O$20,0),0)</f>
        <v>0</v>
      </c>
      <c r="Z16" s="174" t="n">
        <f aca="false">IF(VLOOKUP($C16,GrpB!$O$22:$V$25,8,0)&gt;0,MATCH($C16,GrpB!$O$22:$O$25,0),0)</f>
        <v>0</v>
      </c>
      <c r="AA16" s="174" t="n">
        <f aca="false">IF(VLOOKUP($C16,GrpB!$O$27:$V$30,8,0)&gt;0,MATCH($C16,GrpB!$O$27:$O$30,0),0)</f>
        <v>0</v>
      </c>
      <c r="AB16" s="174" t="n">
        <f aca="false">IF(VLOOKUP($C16,GrpB!$O$32:$V$35,8,0)&gt;0,MATCH($C16,GrpB!$O$32:$O$35,0),0)</f>
        <v>0</v>
      </c>
    </row>
    <row r="17" customFormat="false" ht="15" hidden="false" customHeight="false" outlineLevel="0" collapsed="false">
      <c r="Y17" s="229" t="n">
        <f aca="false">SUM(Y13:Y16)</f>
        <v>0</v>
      </c>
      <c r="Z17" s="229" t="n">
        <f aca="false">SUM(Z13:Z16)</f>
        <v>0</v>
      </c>
      <c r="AA17" s="229" t="n">
        <f aca="false">SUM(AA13:AA16)</f>
        <v>0</v>
      </c>
      <c r="AB17" s="229" t="n">
        <f aca="false">SUM(AB13:AB16)</f>
        <v>0</v>
      </c>
      <c r="AC17" s="174" t="n">
        <f aca="false" t="array" ref="AC17:AC17">MAX(IF($Y17:$AB17&gt;0,COLUMN($Y17:$AB17)-COLUMN(X$1),0))</f>
        <v>0</v>
      </c>
    </row>
    <row r="18" customFormat="false" ht="15.75" hidden="false" customHeight="false" outlineLevel="0" collapsed="false"/>
    <row r="19" customFormat="false" ht="19.5" hidden="false" customHeight="false" outlineLevel="0" collapsed="false">
      <c r="B19" s="177" t="str">
        <f aca="false">IF(OR($AC25&gt;0,$K21&lt;&gt;"",$K22&lt;&gt;"",$K23&lt;&gt;""),"","")</f>
        <v/>
      </c>
      <c r="C19" s="178" t="str">
        <f aca="false">Language!$E$124&amp;" C"</f>
        <v>Group C</v>
      </c>
      <c r="D19" s="179" t="str">
        <f aca="false">Language!$E$129</f>
        <v>Total</v>
      </c>
      <c r="E19" s="179"/>
      <c r="F19" s="179"/>
      <c r="G19" s="179"/>
      <c r="H19" s="179"/>
      <c r="I19" s="179" t="str">
        <f aca="false">Language!$E$132</f>
        <v>Dir. Conp.(2)</v>
      </c>
      <c r="J19" s="179"/>
      <c r="K19" s="179"/>
      <c r="L19" s="179"/>
      <c r="M19" s="179"/>
      <c r="N19" s="179" t="str">
        <f aca="false">Language!$E$133</f>
        <v>Dir. Comp.(3)</v>
      </c>
      <c r="O19" s="179"/>
      <c r="P19" s="179"/>
      <c r="Q19" s="179"/>
      <c r="R19" s="179"/>
      <c r="S19" s="180"/>
      <c r="T19" s="179"/>
      <c r="U19" s="181"/>
    </row>
    <row r="20" customFormat="false" ht="15.75" hidden="false" customHeight="false" outlineLevel="0" collapsed="false">
      <c r="D20" s="182" t="str">
        <f aca="false">Language!$E$125</f>
        <v>Pts.</v>
      </c>
      <c r="E20" s="174" t="str">
        <f aca="false">Language!$E$126</f>
        <v>Diff.</v>
      </c>
      <c r="F20" s="184" t="str">
        <f aca="false">Language!$E$127</f>
        <v>Goals</v>
      </c>
      <c r="G20" s="184"/>
      <c r="H20" s="184"/>
      <c r="K20" s="182" t="str">
        <f aca="false">Language!$E$125</f>
        <v>Pts.</v>
      </c>
      <c r="L20" s="182"/>
      <c r="M20" s="182"/>
      <c r="N20" s="182" t="str">
        <f aca="false">Language!$E$125</f>
        <v>Pts.</v>
      </c>
      <c r="O20" s="174" t="str">
        <f aca="false">Language!$E$126</f>
        <v>Diff.</v>
      </c>
      <c r="P20" s="185" t="str">
        <f aca="false">Language!$E$127</f>
        <v>Goals</v>
      </c>
      <c r="Q20" s="185"/>
      <c r="R20" s="185"/>
      <c r="T20" s="174" t="str">
        <f aca="false">Language!$E$130</f>
        <v>Fair Play/Lot</v>
      </c>
      <c r="U20" s="186" t="str">
        <f aca="false">Language!$E$131</f>
        <v>Not clear</v>
      </c>
    </row>
    <row r="21" customFormat="false" ht="15.75" hidden="false" customHeight="false" outlineLevel="0" collapsed="false">
      <c r="B21" s="188" t="s">
        <v>52</v>
      </c>
      <c r="C21" s="189" t="str">
        <f aca="false">GrpC!$O$11</f>
        <v>Argentina</v>
      </c>
      <c r="D21" s="190" t="n">
        <f aca="false">GrpC!$P$11</f>
        <v>0</v>
      </c>
      <c r="E21" s="191" t="n">
        <f aca="false">GrpC!$Q$11</f>
        <v>0</v>
      </c>
      <c r="F21" s="192" t="n">
        <f aca="false">GrpC!$R$11</f>
        <v>0</v>
      </c>
      <c r="G21" s="193" t="s">
        <v>72</v>
      </c>
      <c r="H21" s="194" t="n">
        <f aca="false">GrpC!$S$11</f>
        <v>0</v>
      </c>
      <c r="K21" s="195" t="str">
        <f aca="false">IF(VLOOKUP(GrpC!$O$11,GrpC!$D$18:$J$21,7,0)=0,"",VLOOKUP(GrpC!$O$11,GrpC!$D$18:$J$21,6,0))</f>
        <v/>
      </c>
      <c r="L21" s="182"/>
      <c r="M21" s="182"/>
      <c r="N21" s="196" t="str">
        <f aca="false">IF($AC25=0,"",IF(INDEX($Y21:$AB24,1,$AC25)=0,"",INDEX($AD21:$AG23,INDEX($Y21:$AB24,1,$AC25),1)))</f>
        <v/>
      </c>
      <c r="O21" s="197" t="str">
        <f aca="false">IF($AC25=0,"",IF(INDEX($Y21:$AB24,1,$AC25)=0,"",INDEX($AD21:$AG23,INDEX($Y21:$AB24,1,$AC25),2)))</f>
        <v/>
      </c>
      <c r="P21" s="198" t="str">
        <f aca="false">IF($AC25=0,"",IF(INDEX($Y21:$AB24,1,$AC25)=0,"",INDEX($AD21:$AG23,INDEX($Y21:$AB24,1,$AC25),3)))</f>
        <v/>
      </c>
      <c r="Q21" s="199" t="s">
        <v>72</v>
      </c>
      <c r="R21" s="200" t="str">
        <f aca="false">IF($AC25=0,"",IF(INDEX($Y21:$AB24,1,$AC25)=0,"",INDEX($AD21:$AG23,INDEX($Y21:$AB24,1,$AC25),4)))</f>
        <v/>
      </c>
      <c r="T21" s="201" t="n">
        <f aca="false">SUMIFS(FairPlayPoints1,FairPlayTeams1,$C21)+SUMIFS(FairPlayPoints2,FairPlayTeams2,$C21)</f>
        <v>0</v>
      </c>
      <c r="U21" s="202" t="str">
        <f aca="false">IF($W21&gt;0,"•","")</f>
        <v/>
      </c>
      <c r="W21" s="174" t="n">
        <f aca="false">IF(AND(OR(TRUNC(GrpC!$T$11,4)=TRUNC(GrpC!$T$12,4),TRUNC(GrpC!$T$11,4)=TRUNC(GrpC!$T$13,4),TRUNC(GrpC!$T$11,4)=TRUNC(GrpC!$T$14,4)),VLOOKUP(GrpC!$O$11,GrpC!$O$4:$X$7,10,0)),1,0)</f>
        <v>0</v>
      </c>
      <c r="Y21" s="174" t="n">
        <f aca="false">IF(VLOOKUP($C21,GrpC!$O$17:$V$20,8,0)&gt;0,MATCH($C21,GrpC!$O$17:$O$20,0),0)</f>
        <v>0</v>
      </c>
      <c r="Z21" s="174" t="n">
        <f aca="false">IF(VLOOKUP($C21,GrpC!$O$22:$V$25,8,0)&gt;0,MATCH($C21,GrpC!$O$22:$O$25,0),0)</f>
        <v>0</v>
      </c>
      <c r="AA21" s="174" t="n">
        <f aca="false">IF(VLOOKUP($C21,GrpC!$O$27:$V$30,8,0)&gt;0,MATCH($C21,GrpC!$O$27:$O$30,0),0)</f>
        <v>0</v>
      </c>
      <c r="AB21" s="174" t="n">
        <f aca="false">IF(VLOOKUP($C21,GrpC!$O$32:$V$35,8,0)&gt;0,MATCH($C21,GrpC!$O$32:$O$35,0),0)</f>
        <v>0</v>
      </c>
      <c r="AD21" s="174" t="str">
        <f aca="false" t="array" ref="AD21:AG23">IF($Y25&gt;0,GrpC!$P$17:$S$19,IF($Z25&gt;0,GrpC!$P$22:$S$25,IF($AA25&gt;0,GrpC!$P$27:$S$30,IF($AB25&gt;0,GrpC!$P$32:$S$35,"0"))))</f>
        <v>0</v>
      </c>
      <c r="AE21" s="174" t="str">
        <v>0</v>
      </c>
      <c r="AF21" s="174" t="str">
        <v>0</v>
      </c>
      <c r="AG21" s="174" t="str">
        <v>0</v>
      </c>
    </row>
    <row r="22" customFormat="false" ht="15.75" hidden="false" customHeight="false" outlineLevel="0" collapsed="false">
      <c r="B22" s="188" t="s">
        <v>53</v>
      </c>
      <c r="C22" s="189" t="str">
        <f aca="false">GrpC!$O$12</f>
        <v>Saudi Arabia</v>
      </c>
      <c r="D22" s="203" t="n">
        <f aca="false">GrpC!$P$12</f>
        <v>0</v>
      </c>
      <c r="E22" s="204" t="n">
        <f aca="false">GrpC!$Q$12</f>
        <v>0</v>
      </c>
      <c r="F22" s="205" t="n">
        <f aca="false">GrpC!$R$12</f>
        <v>0</v>
      </c>
      <c r="G22" s="206" t="s">
        <v>72</v>
      </c>
      <c r="H22" s="207" t="n">
        <f aca="false">GrpC!$S$12</f>
        <v>0</v>
      </c>
      <c r="K22" s="208" t="str">
        <f aca="false">IF(VLOOKUP(GrpC!$O$12,GrpC!$D$18:$J$21,7,0)=0,"",VLOOKUP(GrpC!$O$12,GrpC!$D$18:$J$21,6,0))</f>
        <v/>
      </c>
      <c r="L22" s="182"/>
      <c r="M22" s="182"/>
      <c r="N22" s="209" t="str">
        <f aca="false">IF($AC25=0,"",IF(INDEX($Y21:$AB24,2,$AC25)=0,"",INDEX($AD21:$AG23,INDEX($Y21:$AB24,2,$AC25),1)))</f>
        <v/>
      </c>
      <c r="O22" s="210" t="str">
        <f aca="false">IF($AC25=0,"",IF(INDEX($Y21:$AB24,2,$AC25)=0,"",INDEX($AD21:$AG23,INDEX($Y21:$AB24,2,$AC25),2)))</f>
        <v/>
      </c>
      <c r="P22" s="211" t="str">
        <f aca="false">IF($AC25=0,"",IF(INDEX($Y21:$AB24,2,$AC25)=0,"",INDEX($AD21:$AG23,INDEX($Y21:$AB24,2,$AC25),3)))</f>
        <v/>
      </c>
      <c r="Q22" s="212" t="s">
        <v>72</v>
      </c>
      <c r="R22" s="213" t="str">
        <f aca="false">IF($AC25=0,"",IF(INDEX($Y21:$AB24,2,$AC25)=0,"",INDEX($AD21:$AG23,INDEX($Y21:$AB24,2,$AC25),4)))</f>
        <v/>
      </c>
      <c r="T22" s="214" t="n">
        <f aca="false">SUMIFS(FairPlayPoints1,FairPlayTeams1,$C22)+SUMIFS(FairPlayPoints2,FairPlayTeams2,$C22)</f>
        <v>0</v>
      </c>
      <c r="U22" s="215" t="str">
        <f aca="false">IF($W22&gt;0,"•","")</f>
        <v/>
      </c>
      <c r="W22" s="174" t="n">
        <f aca="false">IF(AND(OR(TRUNC(GrpC!$T$12,4)=TRUNC(GrpC!$T$11,4),TRUNC(GrpC!$T$12,4)=TRUNC(GrpC!$T$13,4),TRUNC(GrpC!$T$12,4)=TRUNC(GrpC!$T$14,4)),VLOOKUP(GrpC!$O$12,GrpC!$O$4:$X$7,10,0)),1,0)</f>
        <v>0</v>
      </c>
      <c r="Y22" s="174" t="n">
        <f aca="false">IF(VLOOKUP($C22,GrpC!$O$17:$V$20,8,0)&gt;0,MATCH($C22,GrpC!$O$17:$O$20,0),0)</f>
        <v>0</v>
      </c>
      <c r="Z22" s="174" t="n">
        <f aca="false">IF(VLOOKUP($C22,GrpC!$O$22:$V$25,8,0)&gt;0,MATCH($C22,GrpC!$O$22:$O$25,0),0)</f>
        <v>0</v>
      </c>
      <c r="AA22" s="174" t="n">
        <f aca="false">IF(VLOOKUP($C22,GrpC!$O$27:$V$30,8,0)&gt;0,MATCH($C22,GrpC!$O$27:$O$30,0),0)</f>
        <v>0</v>
      </c>
      <c r="AB22" s="174" t="n">
        <f aca="false">IF(VLOOKUP($C22,GrpC!$O$32:$V$35,8,0)&gt;0,MATCH($C22,GrpC!$O$32:$O$35,0),0)</f>
        <v>0</v>
      </c>
      <c r="AD22" s="174" t="str">
        <v>0</v>
      </c>
      <c r="AE22" s="174" t="str">
        <v>0</v>
      </c>
      <c r="AF22" s="174" t="str">
        <v>0</v>
      </c>
      <c r="AG22" s="174" t="str">
        <v>0</v>
      </c>
    </row>
    <row r="23" customFormat="false" ht="15.75" hidden="false" customHeight="false" outlineLevel="0" collapsed="false">
      <c r="B23" s="188" t="s">
        <v>73</v>
      </c>
      <c r="C23" s="189" t="str">
        <f aca="false">GrpC!$O$13</f>
        <v>Mexico</v>
      </c>
      <c r="D23" s="203" t="n">
        <f aca="false">GrpC!$P$13</f>
        <v>0</v>
      </c>
      <c r="E23" s="204" t="n">
        <f aca="false">GrpC!$Q$13</f>
        <v>0</v>
      </c>
      <c r="F23" s="205" t="n">
        <f aca="false">GrpC!$R$13</f>
        <v>0</v>
      </c>
      <c r="G23" s="206" t="s">
        <v>72</v>
      </c>
      <c r="H23" s="207" t="n">
        <f aca="false">GrpC!$S$13</f>
        <v>0</v>
      </c>
      <c r="K23" s="208" t="str">
        <f aca="false">IF(VLOOKUP(GrpC!$O$13,GrpC!$D$18:$J$21,7,0)=0,"",VLOOKUP(GrpC!$O$13,GrpC!$D$18:$J$21,6,0))</f>
        <v/>
      </c>
      <c r="L23" s="182"/>
      <c r="M23" s="182"/>
      <c r="N23" s="209" t="str">
        <f aca="false">IF($AC25=0,"",IF(INDEX($Y21:$AB24,3,$AC25)=0,"",INDEX($AD21:$AG23,INDEX($Y21:$AB24,3,$AC25),1)))</f>
        <v/>
      </c>
      <c r="O23" s="210" t="str">
        <f aca="false">IF($AC25=0,"",IF(INDEX($Y21:$AB24,3,$AC25)=0,"",INDEX($AD21:$AG23,INDEX($Y21:$AB24,3,$AC25),2)))</f>
        <v/>
      </c>
      <c r="P23" s="211" t="str">
        <f aca="false">IF($AC25=0,"",IF(INDEX($Y21:$AB24,3,$AC25)=0,"",INDEX($AD21:$AG23,INDEX($Y21:$AB24,3,$AC25),3)))</f>
        <v/>
      </c>
      <c r="Q23" s="212" t="s">
        <v>72</v>
      </c>
      <c r="R23" s="213" t="str">
        <f aca="false">IF($AC25=0,"",IF(INDEX($Y21:$AB24,3,$AC25)=0,"",INDEX($AD21:$AG23,INDEX($Y21:$AB24,3,$AC25),4)))</f>
        <v/>
      </c>
      <c r="T23" s="214" t="n">
        <f aca="false">SUMIFS(FairPlayPoints1,FairPlayTeams1,$C23)+SUMIFS(FairPlayPoints2,FairPlayTeams2,$C23)</f>
        <v>0</v>
      </c>
      <c r="U23" s="215" t="str">
        <f aca="false">IF($W23&gt;0,"•","")</f>
        <v/>
      </c>
      <c r="W23" s="174" t="n">
        <f aca="false">IF(AND(OR(TRUNC(GrpC!$T$13,4)=TRUNC(GrpC!$T$11,4),TRUNC(GrpC!$T$13,4)=TRUNC(GrpC!$T$12,4),TRUNC(GrpC!$T$13,4)=TRUNC(GrpC!$T$14,4)),VLOOKUP(GrpC!$O$13,GrpC!$O$4:$X$7,10,0)),1,0)</f>
        <v>0</v>
      </c>
      <c r="Y23" s="174" t="n">
        <f aca="false">IF(VLOOKUP($C23,GrpC!$O$17:$V$20,8,0)&gt;0,MATCH($C23,GrpC!$O$17:$O$20,0),0)</f>
        <v>0</v>
      </c>
      <c r="Z23" s="174" t="n">
        <f aca="false">IF(VLOOKUP($C23,GrpC!$O$22:$V$25,8,0)&gt;0,MATCH($C23,GrpC!$O$22:$O$25,0),0)</f>
        <v>0</v>
      </c>
      <c r="AA23" s="174" t="n">
        <f aca="false">IF(VLOOKUP($C23,GrpC!$O$27:$V$30,8,0)&gt;0,MATCH($C23,GrpC!$O$27:$O$30,0),0)</f>
        <v>0</v>
      </c>
      <c r="AB23" s="174" t="n">
        <f aca="false">IF(VLOOKUP($C23,GrpC!$O$32:$V$35,8,0)&gt;0,MATCH($C23,GrpC!$O$32:$O$35,0),0)</f>
        <v>0</v>
      </c>
      <c r="AD23" s="174" t="str">
        <v>0</v>
      </c>
      <c r="AE23" s="174" t="str">
        <v>0</v>
      </c>
      <c r="AF23" s="174" t="str">
        <v>0</v>
      </c>
      <c r="AG23" s="174" t="str">
        <v>0</v>
      </c>
    </row>
    <row r="24" customFormat="false" ht="16.5" hidden="false" customHeight="false" outlineLevel="0" collapsed="false">
      <c r="B24" s="188" t="s">
        <v>74</v>
      </c>
      <c r="C24" s="189" t="str">
        <f aca="false">GrpC!$O$14</f>
        <v>Poland</v>
      </c>
      <c r="D24" s="216" t="n">
        <f aca="false">GrpC!$P$14</f>
        <v>0</v>
      </c>
      <c r="E24" s="217" t="n">
        <f aca="false">GrpC!$Q$14</f>
        <v>0</v>
      </c>
      <c r="F24" s="218" t="n">
        <f aca="false">GrpC!$R$14</f>
        <v>0</v>
      </c>
      <c r="G24" s="219" t="s">
        <v>72</v>
      </c>
      <c r="H24" s="220" t="n">
        <f aca="false">GrpC!$S$14</f>
        <v>0</v>
      </c>
      <c r="K24" s="221" t="str">
        <f aca="false">IF(VLOOKUP(GrpC!$O$14,GrpC!$D$18:$J$21,7,0)=0,"",VLOOKUP(GrpC!$O$14,GrpC!$D$18:$J$21,6,0))</f>
        <v/>
      </c>
      <c r="L24" s="182"/>
      <c r="M24" s="182"/>
      <c r="N24" s="222" t="str">
        <f aca="false">IF($AC25=0,"",IF(INDEX($Y21:$AB24,4,$AC25)=0,"",INDEX($AD21:$AG23,INDEX($Y21:$AB24,4,$AC25),1)))</f>
        <v/>
      </c>
      <c r="O24" s="223" t="str">
        <f aca="false">IF($AC25=0,"",IF(INDEX($Y21:$AB24,4,$AC25)=0,"",INDEX($AD21:$AG23,INDEX($Y21:$AB24,4,$AC25),2)))</f>
        <v/>
      </c>
      <c r="P24" s="224" t="str">
        <f aca="false">IF($AC25=0,"",IF(INDEX($Y21:$AB24,4,$AC25)=0,"",INDEX($AD21:$AG23,INDEX($Y21:$AB24,4,$AC25),3)))</f>
        <v/>
      </c>
      <c r="Q24" s="225" t="s">
        <v>72</v>
      </c>
      <c r="R24" s="226" t="str">
        <f aca="false">IF($AC25=0,"",IF(INDEX($Y21:$AB24,4,$AC25)=0,"",INDEX($AD21:$AG23,INDEX($Y21:$AB24,4,$AC25),4)))</f>
        <v/>
      </c>
      <c r="T24" s="227" t="n">
        <f aca="false">SUMIFS(FairPlayPoints1,FairPlayTeams1,$C24)+SUMIFS(FairPlayPoints2,FairPlayTeams2,$C24)</f>
        <v>0</v>
      </c>
      <c r="U24" s="228" t="str">
        <f aca="false">IF($W24&gt;0,"•","")</f>
        <v/>
      </c>
      <c r="W24" s="174" t="n">
        <f aca="false">IF(AND(OR(TRUNC(GrpC!$T$14,4)=TRUNC(GrpC!$T$11,4),TRUNC(GrpC!$T$14,4)=TRUNC(GrpC!$T$12,4),TRUNC(GrpC!$T$14,4)=TRUNC(GrpC!$T$13,4)),VLOOKUP(GrpC!$O$14,GrpC!$O$4:$X$7,10,0)),1,0)</f>
        <v>0</v>
      </c>
      <c r="Y24" s="174" t="n">
        <f aca="false">IF(VLOOKUP($C24,GrpC!$O$17:$V$20,8,0)&gt;0,MATCH($C24,GrpC!$O$17:$O$20,0),0)</f>
        <v>0</v>
      </c>
      <c r="Z24" s="174" t="n">
        <f aca="false">IF(VLOOKUP($C24,GrpC!$O$22:$V$25,8,0)&gt;0,MATCH($C24,GrpC!$O$22:$O$25,0),0)</f>
        <v>0</v>
      </c>
      <c r="AA24" s="174" t="n">
        <f aca="false">IF(VLOOKUP($C24,GrpC!$O$27:$V$30,8,0)&gt;0,MATCH($C24,GrpC!$O$27:$O$30,0),0)</f>
        <v>0</v>
      </c>
      <c r="AB24" s="174" t="n">
        <f aca="false">IF(VLOOKUP($C24,GrpC!$O$32:$V$35,8,0)&gt;0,MATCH($C24,GrpC!$O$32:$O$35,0),0)</f>
        <v>0</v>
      </c>
    </row>
    <row r="25" customFormat="false" ht="15" hidden="false" customHeight="false" outlineLevel="0" collapsed="false">
      <c r="Y25" s="229" t="n">
        <f aca="false">SUM(Y21:Y24)</f>
        <v>0</v>
      </c>
      <c r="Z25" s="229" t="n">
        <f aca="false">SUM(Z21:Z24)</f>
        <v>0</v>
      </c>
      <c r="AA25" s="229" t="n">
        <f aca="false">SUM(AA21:AA24)</f>
        <v>0</v>
      </c>
      <c r="AB25" s="229" t="n">
        <f aca="false">SUM(AB21:AB24)</f>
        <v>0</v>
      </c>
      <c r="AC25" s="174" t="n">
        <f aca="false" t="array" ref="AC25:AC25">MAX(IF($Y25:$AB25&gt;0,COLUMN($Y25:$AB25)-COLUMN(X$1),0))</f>
        <v>0</v>
      </c>
    </row>
    <row r="26" customFormat="false" ht="15.75" hidden="false" customHeight="false" outlineLevel="0" collapsed="false"/>
    <row r="27" customFormat="false" ht="19.5" hidden="false" customHeight="false" outlineLevel="0" collapsed="false">
      <c r="B27" s="177" t="str">
        <f aca="false">IF(OR($AC33&gt;0,$K29&lt;&gt;"",$K30&lt;&gt;"",$K31&lt;&gt;""),"","")</f>
        <v/>
      </c>
      <c r="C27" s="178" t="str">
        <f aca="false">Language!$E$124&amp;" D"</f>
        <v>Group D</v>
      </c>
      <c r="D27" s="179" t="str">
        <f aca="false">Language!$E$129</f>
        <v>Total</v>
      </c>
      <c r="E27" s="179"/>
      <c r="F27" s="179"/>
      <c r="G27" s="179"/>
      <c r="H27" s="179"/>
      <c r="I27" s="179" t="str">
        <f aca="false">Language!$E$132</f>
        <v>Dir. Conp.(2)</v>
      </c>
      <c r="J27" s="179"/>
      <c r="K27" s="179"/>
      <c r="L27" s="179"/>
      <c r="M27" s="179"/>
      <c r="N27" s="179" t="str">
        <f aca="false">Language!$E$133</f>
        <v>Dir. Comp.(3)</v>
      </c>
      <c r="O27" s="179"/>
      <c r="P27" s="179"/>
      <c r="Q27" s="179"/>
      <c r="R27" s="179"/>
      <c r="S27" s="180"/>
      <c r="T27" s="179"/>
      <c r="U27" s="181"/>
    </row>
    <row r="28" customFormat="false" ht="15.75" hidden="false" customHeight="false" outlineLevel="0" collapsed="false">
      <c r="D28" s="182" t="str">
        <f aca="false">Language!$E$125</f>
        <v>Pts.</v>
      </c>
      <c r="E28" s="174" t="str">
        <f aca="false">Language!$E$126</f>
        <v>Diff.</v>
      </c>
      <c r="F28" s="184" t="str">
        <f aca="false">Language!$E$127</f>
        <v>Goals</v>
      </c>
      <c r="G28" s="184"/>
      <c r="H28" s="184"/>
      <c r="K28" s="182" t="str">
        <f aca="false">Language!$E$125</f>
        <v>Pts.</v>
      </c>
      <c r="L28" s="182"/>
      <c r="M28" s="182"/>
      <c r="N28" s="182" t="str">
        <f aca="false">Language!$E$125</f>
        <v>Pts.</v>
      </c>
      <c r="O28" s="174" t="str">
        <f aca="false">Language!$E$126</f>
        <v>Diff.</v>
      </c>
      <c r="P28" s="185" t="str">
        <f aca="false">Language!$E$127</f>
        <v>Goals</v>
      </c>
      <c r="Q28" s="185"/>
      <c r="R28" s="185"/>
      <c r="T28" s="174" t="str">
        <f aca="false">Language!$E$130</f>
        <v>Fair Play/Lot</v>
      </c>
      <c r="U28" s="186" t="str">
        <f aca="false">Language!$E$131</f>
        <v>Not clear</v>
      </c>
    </row>
    <row r="29" customFormat="false" ht="15.75" hidden="false" customHeight="false" outlineLevel="0" collapsed="false">
      <c r="B29" s="188" t="s">
        <v>52</v>
      </c>
      <c r="C29" s="189" t="str">
        <f aca="false">GrpD!$O$11</f>
        <v>France</v>
      </c>
      <c r="D29" s="190" t="n">
        <f aca="false">GrpD!$P$11</f>
        <v>0</v>
      </c>
      <c r="E29" s="191" t="n">
        <f aca="false">GrpD!$Q$11</f>
        <v>0</v>
      </c>
      <c r="F29" s="192" t="n">
        <f aca="false">GrpD!$R$11</f>
        <v>0</v>
      </c>
      <c r="G29" s="193" t="s">
        <v>72</v>
      </c>
      <c r="H29" s="194" t="n">
        <f aca="false">GrpD!$S$11</f>
        <v>0</v>
      </c>
      <c r="K29" s="195" t="str">
        <f aca="false">IF(VLOOKUP(GrpD!$O$11,GrpD!$D$18:$J$21,7,0)=0,"",VLOOKUP(GrpD!$O$11,GrpD!$D$18:$J$21,6,0))</f>
        <v/>
      </c>
      <c r="L29" s="182"/>
      <c r="M29" s="182"/>
      <c r="N29" s="230" t="str">
        <f aca="false">IF($AC33=0,"",IF(INDEX($Y29:$AB32,1,$AC33)=0,"",INDEX($AD29:$AG31,INDEX($Y29:$AB32,1,$AC33),1)))</f>
        <v/>
      </c>
      <c r="O29" s="231" t="str">
        <f aca="false">IF($AC33=0,"",IF(INDEX($Y29:$AB32,1,$AC33)=0,"",INDEX($AD29:$AG31,INDEX($Y29:$AB32,1,$AC33),2)))</f>
        <v/>
      </c>
      <c r="P29" s="232" t="str">
        <f aca="false">IF($AC33=0,"",IF(INDEX($Y29:$AB32,1,$AC33)=0,"",INDEX($AD29:$AG31,INDEX($Y29:$AB32,1,$AC33),3)))</f>
        <v/>
      </c>
      <c r="Q29" s="233" t="s">
        <v>72</v>
      </c>
      <c r="R29" s="234" t="str">
        <f aca="false">IF($AC33=0,"",IF(INDEX($Y29:$AB32,1,$AC33)=0,"",INDEX($AD29:$AG31,INDEX($Y29:$AB32,1,$AC33),4)))</f>
        <v/>
      </c>
      <c r="T29" s="201" t="n">
        <f aca="false">SUMIFS(FairPlayPoints1,FairPlayTeams1,$C29)+SUMIFS(FairPlayPoints2,FairPlayTeams2,$C29)</f>
        <v>0</v>
      </c>
      <c r="U29" s="202" t="str">
        <f aca="false">IF($W29&gt;0,"•","")</f>
        <v/>
      </c>
      <c r="W29" s="174" t="n">
        <f aca="false">IF(AND(OR(TRUNC(GrpD!$T$11,4)=TRUNC(GrpD!$T$12,4),TRUNC(GrpD!$T$11,4)=TRUNC(GrpD!$T$13,4),TRUNC(GrpD!$T$11,4)=TRUNC(GrpD!$T$14,4)),VLOOKUP(GrpD!$O$11,GrpD!$O$4:$X$7,10,0)),1,0)</f>
        <v>0</v>
      </c>
      <c r="Y29" s="174" t="n">
        <f aca="false">IF(VLOOKUP($C29,GrpD!$O$17:$V$20,8,0)&gt;0,MATCH($C29,GrpD!$O$17:$O$20,0),0)</f>
        <v>0</v>
      </c>
      <c r="Z29" s="174" t="n">
        <f aca="false">IF(VLOOKUP($C29,GrpD!$O$22:$V$25,8,0)&gt;0,MATCH($C29,GrpD!$O$22:$O$25,0),0)</f>
        <v>0</v>
      </c>
      <c r="AA29" s="174" t="n">
        <f aca="false">IF(VLOOKUP($C29,GrpD!$O$27:$V$30,8,0)&gt;0,MATCH($C29,GrpD!$O$27:$O$30,0),0)</f>
        <v>0</v>
      </c>
      <c r="AB29" s="174" t="n">
        <f aca="false">IF(VLOOKUP($C29,GrpD!$O$32:$V$35,8,0)&gt;0,MATCH($C29,GrpD!$O$32:$O$35,0),0)</f>
        <v>0</v>
      </c>
      <c r="AD29" s="174" t="str">
        <f aca="false" t="array" ref="AD29:AG31">IF($Y33&gt;0,GrpD!$P$17:$S$19,IF($Z33&gt;0,GrpD!$P$22:$S$25,IF($AA33&gt;0,GrpD!$P$27:$S$30,IF($AB33&gt;0,GrpD!$P$32:$S$35,"0"))))</f>
        <v>0</v>
      </c>
      <c r="AE29" s="174" t="str">
        <v>0</v>
      </c>
      <c r="AF29" s="174" t="str">
        <v>0</v>
      </c>
      <c r="AG29" s="174" t="str">
        <v>0</v>
      </c>
    </row>
    <row r="30" customFormat="false" ht="15.75" hidden="false" customHeight="false" outlineLevel="0" collapsed="false">
      <c r="B30" s="188" t="s">
        <v>53</v>
      </c>
      <c r="C30" s="189" t="str">
        <f aca="false">GrpD!$O$12</f>
        <v>Australia</v>
      </c>
      <c r="D30" s="203" t="n">
        <f aca="false">GrpD!$P$12</f>
        <v>0</v>
      </c>
      <c r="E30" s="204" t="n">
        <f aca="false">GrpD!$Q$12</f>
        <v>0</v>
      </c>
      <c r="F30" s="205" t="n">
        <f aca="false">GrpD!$R$12</f>
        <v>0</v>
      </c>
      <c r="G30" s="206" t="s">
        <v>72</v>
      </c>
      <c r="H30" s="207" t="n">
        <f aca="false">GrpD!$S$12</f>
        <v>0</v>
      </c>
      <c r="K30" s="208" t="str">
        <f aca="false">IF(VLOOKUP(GrpD!$O$12,GrpD!$D$18:$J$21,7,0)=0,"",VLOOKUP(GrpD!$O$12,GrpD!$D$18:$J$21,6,0))</f>
        <v/>
      </c>
      <c r="L30" s="182"/>
      <c r="M30" s="182"/>
      <c r="N30" s="235" t="str">
        <f aca="false">IF($AC33=0,"",IF(INDEX($Y29:$AB32,2,$AC33)=0,"",INDEX($AD29:$AG31,INDEX($Y29:$AB32,2,$AC33),1)))</f>
        <v/>
      </c>
      <c r="O30" s="236" t="str">
        <f aca="false">IF($AC33=0,"",IF(INDEX($Y29:$AB32,2,$AC33)=0,"",INDEX($AD29:$AG31,INDEX($Y29:$AB32,2,$AC33),2)))</f>
        <v/>
      </c>
      <c r="P30" s="237" t="str">
        <f aca="false">IF($AC33=0,"",IF(INDEX($Y29:$AB32,2,$AC33)=0,"",INDEX($AD29:$AG31,INDEX($Y29:$AB32,2,$AC33),3)))</f>
        <v/>
      </c>
      <c r="Q30" s="238" t="s">
        <v>72</v>
      </c>
      <c r="R30" s="239" t="str">
        <f aca="false">IF($AC33=0,"",IF(INDEX($Y29:$AB32,2,$AC33)=0,"",INDEX($AD29:$AG31,INDEX($Y29:$AB32,2,$AC33),4)))</f>
        <v/>
      </c>
      <c r="T30" s="214" t="n">
        <f aca="false">SUMIFS(FairPlayPoints1,FairPlayTeams1,$C30)+SUMIFS(FairPlayPoints2,FairPlayTeams2,$C30)</f>
        <v>0</v>
      </c>
      <c r="U30" s="215" t="str">
        <f aca="false">IF($W30&gt;0,"•","")</f>
        <v/>
      </c>
      <c r="W30" s="174" t="n">
        <f aca="false">IF(AND(OR(TRUNC(GrpD!$T$12,4)=TRUNC(GrpD!$T$11,4),TRUNC(GrpD!$T$12,4)=TRUNC(GrpD!$T$13,4),TRUNC(GrpD!$T$12,4)=TRUNC(GrpD!$T$14,4)),VLOOKUP(GrpD!$O$12,GrpD!$O$4:$X$7,10,0)),1,0)</f>
        <v>0</v>
      </c>
      <c r="Y30" s="174" t="n">
        <f aca="false">IF(VLOOKUP($C30,GrpD!$O$17:$V$20,8,0)&gt;0,MATCH($C30,GrpD!$O$17:$O$20,0),0)</f>
        <v>0</v>
      </c>
      <c r="Z30" s="174" t="n">
        <f aca="false">IF(VLOOKUP($C30,GrpD!$O$22:$V$25,8,0)&gt;0,MATCH($C30,GrpD!$O$22:$O$25,0),0)</f>
        <v>0</v>
      </c>
      <c r="AA30" s="174" t="n">
        <f aca="false">IF(VLOOKUP($C30,GrpD!$O$27:$V$30,8,0)&gt;0,MATCH($C30,GrpD!$O$27:$O$30,0),0)</f>
        <v>0</v>
      </c>
      <c r="AB30" s="174" t="n">
        <f aca="false">IF(VLOOKUP($C30,GrpD!$O$32:$V$35,8,0)&gt;0,MATCH($C30,GrpD!$O$32:$O$35,0),0)</f>
        <v>0</v>
      </c>
      <c r="AD30" s="174" t="str">
        <v>0</v>
      </c>
      <c r="AE30" s="174" t="str">
        <v>0</v>
      </c>
      <c r="AF30" s="174" t="str">
        <v>0</v>
      </c>
      <c r="AG30" s="174" t="str">
        <v>0</v>
      </c>
    </row>
    <row r="31" customFormat="false" ht="15.75" hidden="false" customHeight="false" outlineLevel="0" collapsed="false">
      <c r="B31" s="188" t="s">
        <v>73</v>
      </c>
      <c r="C31" s="189" t="str">
        <f aca="false">GrpD!$O$13</f>
        <v>Denmark</v>
      </c>
      <c r="D31" s="203" t="n">
        <f aca="false">GrpD!$P$13</f>
        <v>0</v>
      </c>
      <c r="E31" s="204" t="n">
        <f aca="false">GrpD!$Q$13</f>
        <v>0</v>
      </c>
      <c r="F31" s="205" t="n">
        <f aca="false">GrpD!$R$13</f>
        <v>0</v>
      </c>
      <c r="G31" s="206" t="s">
        <v>72</v>
      </c>
      <c r="H31" s="207" t="n">
        <f aca="false">GrpD!$S$13</f>
        <v>0</v>
      </c>
      <c r="K31" s="208" t="str">
        <f aca="false">IF(VLOOKUP(GrpD!$O$13,GrpD!$D$18:$J$21,7,0)=0,"",VLOOKUP(GrpD!$O$13,GrpD!$D$18:$J$21,6,0))</f>
        <v/>
      </c>
      <c r="L31" s="182"/>
      <c r="M31" s="182"/>
      <c r="N31" s="235" t="str">
        <f aca="false">IF($AC33=0,"",IF(INDEX($Y29:$AB32,3,$AC33)=0,"",INDEX($AD29:$AG31,INDEX($Y29:$AB32,3,$AC33),1)))</f>
        <v/>
      </c>
      <c r="O31" s="236" t="str">
        <f aca="false">IF($AC33=0,"",IF(INDEX($Y29:$AB32,3,$AC33)=0,"",INDEX($AD29:$AG31,INDEX($Y29:$AB32,3,$AC33),2)))</f>
        <v/>
      </c>
      <c r="P31" s="237" t="str">
        <f aca="false">IF($AC33=0,"",IF(INDEX($Y29:$AB32,3,$AC33)=0,"",INDEX($AD29:$AG31,INDEX($Y29:$AB32,3,$AC33),3)))</f>
        <v/>
      </c>
      <c r="Q31" s="238" t="s">
        <v>72</v>
      </c>
      <c r="R31" s="239" t="str">
        <f aca="false">IF($AC33=0,"",IF(INDEX($Y29:$AB32,3,$AC33)=0,"",INDEX($AD29:$AG31,INDEX($Y29:$AB32,3,$AC33),4)))</f>
        <v/>
      </c>
      <c r="T31" s="214" t="n">
        <f aca="false">SUMIFS(FairPlayPoints1,FairPlayTeams1,$C31)+SUMIFS(FairPlayPoints2,FairPlayTeams2,$C31)</f>
        <v>0</v>
      </c>
      <c r="U31" s="215" t="str">
        <f aca="false">IF($W31&gt;0,"•","")</f>
        <v/>
      </c>
      <c r="W31" s="174" t="n">
        <f aca="false">IF(AND(OR(TRUNC(GrpD!$T$13,4)=TRUNC(GrpD!$T$11,4),TRUNC(GrpD!$T$13,4)=TRUNC(GrpD!$T$12,4),TRUNC(GrpD!$T$13,4)=TRUNC(GrpD!$T$14,4)),VLOOKUP(GrpD!$O$13,GrpD!$O$4:$X$7,10,0)),1,0)</f>
        <v>0</v>
      </c>
      <c r="Y31" s="174" t="n">
        <f aca="false">IF(VLOOKUP($C31,GrpD!$O$17:$V$20,8,0)&gt;0,MATCH($C31,GrpD!$O$17:$O$20,0),0)</f>
        <v>0</v>
      </c>
      <c r="Z31" s="174" t="n">
        <f aca="false">IF(VLOOKUP($C31,GrpD!$O$22:$V$25,8,0)&gt;0,MATCH($C31,GrpD!$O$22:$O$25,0),0)</f>
        <v>0</v>
      </c>
      <c r="AA31" s="174" t="n">
        <f aca="false">IF(VLOOKUP($C31,GrpD!$O$27:$V$30,8,0)&gt;0,MATCH($C31,GrpD!$O$27:$O$30,0),0)</f>
        <v>0</v>
      </c>
      <c r="AB31" s="174" t="n">
        <f aca="false">IF(VLOOKUP($C31,GrpD!$O$32:$V$35,8,0)&gt;0,MATCH($C31,GrpD!$O$32:$O$35,0),0)</f>
        <v>0</v>
      </c>
      <c r="AD31" s="174" t="str">
        <v>0</v>
      </c>
      <c r="AE31" s="174" t="str">
        <v>0</v>
      </c>
      <c r="AF31" s="174" t="str">
        <v>0</v>
      </c>
      <c r="AG31" s="174" t="str">
        <v>0</v>
      </c>
    </row>
    <row r="32" customFormat="false" ht="16.5" hidden="false" customHeight="false" outlineLevel="0" collapsed="false">
      <c r="B32" s="188" t="s">
        <v>74</v>
      </c>
      <c r="C32" s="189" t="str">
        <f aca="false">GrpD!$O$14</f>
        <v>Tunisia</v>
      </c>
      <c r="D32" s="216" t="n">
        <f aca="false">GrpD!$P$14</f>
        <v>0</v>
      </c>
      <c r="E32" s="217" t="n">
        <f aca="false">GrpD!$Q$14</f>
        <v>0</v>
      </c>
      <c r="F32" s="218" t="n">
        <f aca="false">GrpD!$R$14</f>
        <v>0</v>
      </c>
      <c r="G32" s="219" t="s">
        <v>72</v>
      </c>
      <c r="H32" s="220" t="n">
        <f aca="false">GrpD!$S$14</f>
        <v>0</v>
      </c>
      <c r="K32" s="221" t="str">
        <f aca="false">IF(VLOOKUP(GrpD!$O$14,GrpD!$D$18:$J$21,7,0)=0,"",VLOOKUP(GrpD!$O$14,GrpD!$D$18:$J$21,6,0))</f>
        <v/>
      </c>
      <c r="L32" s="182"/>
      <c r="M32" s="182"/>
      <c r="N32" s="240" t="str">
        <f aca="false">IF($AC33=0,"",IF(INDEX($Y29:$AB32,4,$AC33)=0,"",INDEX($AD29:$AG31,INDEX($Y29:$AB32,4,$AC33),1)))</f>
        <v/>
      </c>
      <c r="O32" s="241" t="str">
        <f aca="false">IF($AC33=0,"",IF(INDEX($Y29:$AB32,4,$AC33)=0,"",INDEX($AD29:$AG31,INDEX($Y29:$AB32,4,$AC33),2)))</f>
        <v/>
      </c>
      <c r="P32" s="242" t="str">
        <f aca="false">IF($AC33=0,"",IF(INDEX($Y29:$AB32,4,$AC33)=0,"",INDEX($AD29:$AG31,INDEX($Y29:$AB32,4,$AC33),3)))</f>
        <v/>
      </c>
      <c r="Q32" s="243" t="s">
        <v>72</v>
      </c>
      <c r="R32" s="244" t="str">
        <f aca="false">IF($AC33=0,"",IF(INDEX($Y29:$AB32,4,$AC33)=0,"",INDEX($AD29:$AG31,INDEX($Y29:$AB32,4,$AC33),4)))</f>
        <v/>
      </c>
      <c r="T32" s="227" t="n">
        <f aca="false">SUMIFS(FairPlayPoints1,FairPlayTeams1,$C32)+SUMIFS(FairPlayPoints2,FairPlayTeams2,$C32)</f>
        <v>0</v>
      </c>
      <c r="U32" s="228" t="str">
        <f aca="false">IF($W32&gt;0,"•","")</f>
        <v/>
      </c>
      <c r="W32" s="174" t="n">
        <f aca="false">IF(AND(OR(TRUNC(GrpD!$T$14,4)=TRUNC(GrpD!$T$11,4),TRUNC(GrpD!$T$14,4)=TRUNC(GrpD!$T$12,4),TRUNC(GrpD!$T$14,4)=TRUNC(GrpD!$T$13,4)),VLOOKUP(GrpD!$O$14,GrpD!$O$4:$X$7,10,0)),1,0)</f>
        <v>0</v>
      </c>
      <c r="Y32" s="174" t="n">
        <f aca="false">IF(VLOOKUP($C32,GrpD!$O$17:$V$20,8,0)&gt;0,MATCH($C32,GrpD!$O$17:$O$20,0),0)</f>
        <v>0</v>
      </c>
      <c r="Z32" s="174" t="n">
        <f aca="false">IF(VLOOKUP($C32,GrpD!$O$22:$V$25,8,0)&gt;0,MATCH($C32,GrpD!$O$22:$O$25,0),0)</f>
        <v>0</v>
      </c>
      <c r="AA32" s="174" t="n">
        <f aca="false">IF(VLOOKUP($C32,GrpD!$O$27:$V$30,8,0)&gt;0,MATCH($C32,GrpD!$O$27:$O$30,0),0)</f>
        <v>0</v>
      </c>
      <c r="AB32" s="174" t="n">
        <f aca="false">IF(VLOOKUP($C32,GrpD!$O$32:$V$35,8,0)&gt;0,MATCH($C32,GrpD!$O$32:$O$35,0),0)</f>
        <v>0</v>
      </c>
    </row>
    <row r="33" customFormat="false" ht="15" hidden="false" customHeight="false" outlineLevel="0" collapsed="false">
      <c r="Y33" s="229" t="n">
        <f aca="false">SUM(Y29:Y32)</f>
        <v>0</v>
      </c>
      <c r="Z33" s="229" t="n">
        <f aca="false">SUM(Z29:Z32)</f>
        <v>0</v>
      </c>
      <c r="AA33" s="229" t="n">
        <f aca="false">SUM(AA29:AA32)</f>
        <v>0</v>
      </c>
      <c r="AB33" s="229" t="n">
        <f aca="false">SUM(AB29:AB32)</f>
        <v>0</v>
      </c>
      <c r="AC33" s="174" t="n">
        <f aca="false" t="array" ref="AC33:AC33">MAX(IF($Y33:$AB33&gt;0,COLUMN($Y33:$AB33)-COLUMN(X$1),0))</f>
        <v>0</v>
      </c>
    </row>
    <row r="34" customFormat="false" ht="15.75" hidden="false" customHeight="false" outlineLevel="0" collapsed="false"/>
    <row r="35" customFormat="false" ht="19.5" hidden="false" customHeight="false" outlineLevel="0" collapsed="false">
      <c r="B35" s="177" t="str">
        <f aca="false">IF(OR($AC41&gt;0,$K37&lt;&gt;"",$K38&lt;&gt;"",$K39&lt;&gt;""),"","")</f>
        <v/>
      </c>
      <c r="C35" s="178" t="str">
        <f aca="false">Language!$E$124&amp;" E"</f>
        <v>Group E</v>
      </c>
      <c r="D35" s="179" t="str">
        <f aca="false">Language!$E$129</f>
        <v>Total</v>
      </c>
      <c r="E35" s="179"/>
      <c r="F35" s="179"/>
      <c r="G35" s="179"/>
      <c r="H35" s="179"/>
      <c r="I35" s="179" t="str">
        <f aca="false">Language!$E$132</f>
        <v>Dir. Conp.(2)</v>
      </c>
      <c r="J35" s="179"/>
      <c r="K35" s="179"/>
      <c r="L35" s="179"/>
      <c r="M35" s="179"/>
      <c r="N35" s="179" t="str">
        <f aca="false">Language!$E$133</f>
        <v>Dir. Comp.(3)</v>
      </c>
      <c r="O35" s="179"/>
      <c r="P35" s="179"/>
      <c r="Q35" s="179"/>
      <c r="R35" s="179"/>
      <c r="S35" s="180"/>
      <c r="T35" s="179"/>
      <c r="U35" s="181"/>
    </row>
    <row r="36" customFormat="false" ht="15.75" hidden="false" customHeight="false" outlineLevel="0" collapsed="false">
      <c r="D36" s="182" t="str">
        <f aca="false">Language!$E$125</f>
        <v>Pts.</v>
      </c>
      <c r="E36" s="174" t="str">
        <f aca="false">Language!$E$126</f>
        <v>Diff.</v>
      </c>
      <c r="F36" s="184" t="str">
        <f aca="false">Language!$E$127</f>
        <v>Goals</v>
      </c>
      <c r="G36" s="184"/>
      <c r="H36" s="184"/>
      <c r="K36" s="182" t="str">
        <f aca="false">Language!$E$125</f>
        <v>Pts.</v>
      </c>
      <c r="L36" s="182"/>
      <c r="M36" s="182"/>
      <c r="N36" s="182" t="str">
        <f aca="false">Language!$E$125</f>
        <v>Pts.</v>
      </c>
      <c r="O36" s="174" t="str">
        <f aca="false">Language!$E$126</f>
        <v>Diff.</v>
      </c>
      <c r="P36" s="185" t="str">
        <f aca="false">Language!$E$127</f>
        <v>Goals</v>
      </c>
      <c r="Q36" s="185"/>
      <c r="R36" s="185"/>
      <c r="T36" s="174" t="str">
        <f aca="false">Language!$E$130</f>
        <v>Fair Play/Lot</v>
      </c>
      <c r="U36" s="186" t="str">
        <f aca="false">Language!$E$131</f>
        <v>Not clear</v>
      </c>
    </row>
    <row r="37" customFormat="false" ht="15.75" hidden="false" customHeight="false" outlineLevel="0" collapsed="false">
      <c r="B37" s="188" t="s">
        <v>52</v>
      </c>
      <c r="C37" s="189" t="str">
        <f aca="false">GrpE!$O$11</f>
        <v>Spain</v>
      </c>
      <c r="D37" s="190" t="n">
        <f aca="false">GrpE!$P$11</f>
        <v>0</v>
      </c>
      <c r="E37" s="191" t="n">
        <f aca="false">GrpE!$Q$11</f>
        <v>0</v>
      </c>
      <c r="F37" s="192" t="n">
        <f aca="false">GrpE!$R$11</f>
        <v>0</v>
      </c>
      <c r="G37" s="193" t="s">
        <v>72</v>
      </c>
      <c r="H37" s="194" t="n">
        <f aca="false">GrpE!$S$11</f>
        <v>0</v>
      </c>
      <c r="K37" s="195" t="str">
        <f aca="false">IF(VLOOKUP(GrpE!$O$11,GrpE!$D$18:$J$21,7,0)=0,"",VLOOKUP(GrpE!$O$11,GrpE!$D$18:$J$21,6,0))</f>
        <v/>
      </c>
      <c r="L37" s="182"/>
      <c r="M37" s="182"/>
      <c r="N37" s="196" t="str">
        <f aca="false">IF($AC41=0,"",IF(INDEX($Y37:$AB40,1,$AC41)=0,"",INDEX($AD37:$AG39,INDEX($Y37:$AB40,1,$AC41),1)))</f>
        <v/>
      </c>
      <c r="O37" s="197" t="str">
        <f aca="false">IF($AC41=0,"",IF(INDEX($Y37:$AB40,1,$AC41)=0,"",INDEX($AD37:$AG39,INDEX($Y37:$AB40,1,$AC41),2)))</f>
        <v/>
      </c>
      <c r="P37" s="198" t="str">
        <f aca="false">IF($AC41=0,"",IF(INDEX($Y37:$AB40,1,$AC41)=0,"",INDEX($AD37:$AG39,INDEX($Y37:$AB40,1,$AC41),3)))</f>
        <v/>
      </c>
      <c r="Q37" s="199" t="s">
        <v>72</v>
      </c>
      <c r="R37" s="200" t="str">
        <f aca="false">IF($AC41=0,"",IF(INDEX($Y37:$AB40,1,$AC41)=0,"",INDEX($AD37:$AG39,INDEX($Y37:$AB40,1,$AC41),4)))</f>
        <v/>
      </c>
      <c r="T37" s="201" t="n">
        <f aca="false">SUMIFS(FairPlayPoints1,FairPlayTeams1,$C37)+SUMIFS(FairPlayPoints2,FairPlayTeams2,$C37)</f>
        <v>0</v>
      </c>
      <c r="U37" s="202" t="str">
        <f aca="false">IF($W37&gt;0,"•","")</f>
        <v/>
      </c>
      <c r="W37" s="174" t="n">
        <f aca="false">IF(AND(OR(TRUNC(GrpE!$T$11,4)=TRUNC(GrpE!$T$12,4),TRUNC(GrpE!$T$11,4)=TRUNC(GrpE!$T$13,4),TRUNC(GrpE!$T$11,4)=TRUNC(GrpE!$T$14,4)),VLOOKUP(GrpE!$O$11,GrpE!$O$4:$X$7,10,0)),1,0)</f>
        <v>0</v>
      </c>
      <c r="Y37" s="174" t="n">
        <f aca="false">IF(VLOOKUP($C37,GrpE!$O$17:$V$20,8,0)&gt;0,MATCH($C37,GrpE!$O$17:$O$20,0),0)</f>
        <v>0</v>
      </c>
      <c r="Z37" s="174" t="n">
        <f aca="false">IF(VLOOKUP($C37,GrpE!$O$22:$V$25,8,0)&gt;0,MATCH($C37,GrpE!$O$22:$O$25,0),0)</f>
        <v>0</v>
      </c>
      <c r="AA37" s="174" t="n">
        <f aca="false">IF(VLOOKUP($C37,GrpE!$O$27:$V$30,8,0)&gt;0,MATCH($C37,GrpE!$O$27:$O$30,0),0)</f>
        <v>0</v>
      </c>
      <c r="AB37" s="174" t="n">
        <f aca="false">IF(VLOOKUP($C37,GrpE!$O$32:$V$35,8,0)&gt;0,MATCH($C37,GrpE!$O$32:$O$35,0),0)</f>
        <v>0</v>
      </c>
      <c r="AD37" s="174" t="str">
        <f aca="false" t="array" ref="AD37:AG39">IF($Y41&gt;0,GrpE!$P$17:$S$19,IF($Z41&gt;0,GrpE!$P$22:$S$25,IF($AA41&gt;0,GrpE!$P$27:$S$30,IF($AB41&gt;0,GrpE!$P$32:$S$35,"0"))))</f>
        <v>0</v>
      </c>
      <c r="AE37" s="174" t="str">
        <v>0</v>
      </c>
      <c r="AF37" s="174" t="str">
        <v>0</v>
      </c>
      <c r="AG37" s="174" t="str">
        <v>0</v>
      </c>
    </row>
    <row r="38" customFormat="false" ht="15.75" hidden="false" customHeight="false" outlineLevel="0" collapsed="false">
      <c r="B38" s="188" t="s">
        <v>53</v>
      </c>
      <c r="C38" s="189" t="str">
        <f aca="false">GrpE!$O$12</f>
        <v>Costa Rica</v>
      </c>
      <c r="D38" s="203" t="n">
        <f aca="false">GrpE!$P$12</f>
        <v>0</v>
      </c>
      <c r="E38" s="204" t="n">
        <f aca="false">GrpE!$Q$12</f>
        <v>0</v>
      </c>
      <c r="F38" s="205" t="n">
        <f aca="false">GrpE!$R$12</f>
        <v>0</v>
      </c>
      <c r="G38" s="206" t="s">
        <v>72</v>
      </c>
      <c r="H38" s="207" t="n">
        <f aca="false">GrpE!$S$12</f>
        <v>0</v>
      </c>
      <c r="K38" s="208" t="str">
        <f aca="false">IF(VLOOKUP(GrpE!$O$12,GrpE!$D$18:$J$21,7,0)=0,"",VLOOKUP(GrpE!$O$12,GrpE!$D$18:$J$21,6,0))</f>
        <v/>
      </c>
      <c r="L38" s="182"/>
      <c r="M38" s="182"/>
      <c r="N38" s="209" t="str">
        <f aca="false">IF($AC41=0,"",IF(INDEX($Y37:$AB40,2,$AC41)=0,"",INDEX($AD37:$AG39,INDEX($Y37:$AB40,2,$AC41),1)))</f>
        <v/>
      </c>
      <c r="O38" s="210" t="str">
        <f aca="false">IF($AC41=0,"",IF(INDEX($Y37:$AB40,2,$AC41)=0,"",INDEX($AD37:$AG39,INDEX($Y37:$AB40,2,$AC41),2)))</f>
        <v/>
      </c>
      <c r="P38" s="211" t="str">
        <f aca="false">IF($AC41=0,"",IF(INDEX($Y37:$AB40,2,$AC41)=0,"",INDEX($AD37:$AG39,INDEX($Y37:$AB40,2,$AC41),3)))</f>
        <v/>
      </c>
      <c r="Q38" s="212" t="s">
        <v>72</v>
      </c>
      <c r="R38" s="213" t="str">
        <f aca="false">IF($AC41=0,"",IF(INDEX($Y37:$AB40,2,$AC41)=0,"",INDEX($AD37:$AG39,INDEX($Y37:$AB40,2,$AC41),4)))</f>
        <v/>
      </c>
      <c r="T38" s="214" t="n">
        <f aca="false">SUMIFS(FairPlayPoints1,FairPlayTeams1,$C38)+SUMIFS(FairPlayPoints2,FairPlayTeams2,$C38)</f>
        <v>0</v>
      </c>
      <c r="U38" s="215" t="str">
        <f aca="false">IF($W38&gt;0,"•","")</f>
        <v/>
      </c>
      <c r="W38" s="174" t="n">
        <f aca="false">IF(AND(OR(TRUNC(GrpE!$T$12,4)=TRUNC(GrpE!$T$11,4),TRUNC(GrpE!$T$12,4)=TRUNC(GrpE!$T$13,4),TRUNC(GrpE!$T$12,4)=TRUNC(GrpE!$T$14,4)),VLOOKUP(GrpE!$O$12,GrpE!$O$4:$X$7,10,0)),1,0)</f>
        <v>0</v>
      </c>
      <c r="Y38" s="174" t="n">
        <f aca="false">IF(VLOOKUP($C38,GrpE!$O$17:$V$20,8,0)&gt;0,MATCH($C38,GrpE!$O$17:$O$20,0),0)</f>
        <v>0</v>
      </c>
      <c r="Z38" s="174" t="n">
        <f aca="false">IF(VLOOKUP($C38,GrpE!$O$22:$V$25,8,0)&gt;0,MATCH($C38,GrpE!$O$22:$O$25,0),0)</f>
        <v>0</v>
      </c>
      <c r="AA38" s="174" t="n">
        <f aca="false">IF(VLOOKUP($C38,GrpE!$O$27:$V$30,8,0)&gt;0,MATCH($C38,GrpE!$O$27:$O$30,0),0)</f>
        <v>0</v>
      </c>
      <c r="AB38" s="174" t="n">
        <f aca="false">IF(VLOOKUP($C38,GrpE!$O$32:$V$35,8,0)&gt;0,MATCH($C38,GrpE!$O$32:$O$35,0),0)</f>
        <v>0</v>
      </c>
      <c r="AD38" s="174" t="str">
        <v>0</v>
      </c>
      <c r="AE38" s="174" t="str">
        <v>0</v>
      </c>
      <c r="AF38" s="174" t="str">
        <v>0</v>
      </c>
      <c r="AG38" s="174" t="str">
        <v>0</v>
      </c>
    </row>
    <row r="39" customFormat="false" ht="15.75" hidden="false" customHeight="false" outlineLevel="0" collapsed="false">
      <c r="B39" s="188" t="s">
        <v>73</v>
      </c>
      <c r="C39" s="189" t="str">
        <f aca="false">GrpE!$O$13</f>
        <v>Germany</v>
      </c>
      <c r="D39" s="203" t="n">
        <f aca="false">GrpE!$P$13</f>
        <v>0</v>
      </c>
      <c r="E39" s="204" t="n">
        <f aca="false">GrpE!$Q$13</f>
        <v>0</v>
      </c>
      <c r="F39" s="205" t="n">
        <f aca="false">GrpE!$R$13</f>
        <v>0</v>
      </c>
      <c r="G39" s="206" t="s">
        <v>72</v>
      </c>
      <c r="H39" s="207" t="n">
        <f aca="false">GrpE!$S$13</f>
        <v>0</v>
      </c>
      <c r="K39" s="208" t="str">
        <f aca="false">IF(VLOOKUP(GrpE!$O$13,GrpE!$D$18:$J$21,7,0)=0,"",VLOOKUP(GrpE!$O$13,GrpE!$D$18:$J$21,6,0))</f>
        <v/>
      </c>
      <c r="L39" s="182"/>
      <c r="M39" s="182"/>
      <c r="N39" s="209" t="str">
        <f aca="false">IF($AC41=0,"",IF(INDEX($Y37:$AB40,3,$AC41)=0,"",INDEX($AD37:$AG39,INDEX($Y37:$AB40,3,$AC41),1)))</f>
        <v/>
      </c>
      <c r="O39" s="210" t="str">
        <f aca="false">IF($AC41=0,"",IF(INDEX($Y37:$AB40,3,$AC41)=0,"",INDEX($AD37:$AG39,INDEX($Y37:$AB40,3,$AC41),2)))</f>
        <v/>
      </c>
      <c r="P39" s="211" t="str">
        <f aca="false">IF($AC41=0,"",IF(INDEX($Y37:$AB40,3,$AC41)=0,"",INDEX($AD37:$AG39,INDEX($Y37:$AB40,3,$AC41),3)))</f>
        <v/>
      </c>
      <c r="Q39" s="212" t="s">
        <v>72</v>
      </c>
      <c r="R39" s="213" t="str">
        <f aca="false">IF($AC41=0,"",IF(INDEX($Y37:$AB40,3,$AC41)=0,"",INDEX($AD37:$AG39,INDEX($Y37:$AB40,3,$AC41),4)))</f>
        <v/>
      </c>
      <c r="T39" s="214" t="n">
        <f aca="false">SUMIFS(FairPlayPoints1,FairPlayTeams1,$C39)+SUMIFS(FairPlayPoints2,FairPlayTeams2,$C39)</f>
        <v>0</v>
      </c>
      <c r="U39" s="215" t="str">
        <f aca="false">IF($W39&gt;0,"•","")</f>
        <v/>
      </c>
      <c r="W39" s="174" t="n">
        <f aca="false">IF(AND(OR(TRUNC(GrpE!$T$13,4)=TRUNC(GrpE!$T$11,4),TRUNC(GrpE!$T$13,4)=TRUNC(GrpE!$T$12,4),TRUNC(GrpE!$T$13,4)=TRUNC(GrpE!$T$14,4)),VLOOKUP(GrpE!$O$13,GrpE!$O$4:$X$7,10,0)),1,0)</f>
        <v>0</v>
      </c>
      <c r="Y39" s="174" t="n">
        <f aca="false">IF(VLOOKUP($C39,GrpE!$O$17:$V$20,8,0)&gt;0,MATCH($C39,GrpE!$O$17:$O$20,0),0)</f>
        <v>0</v>
      </c>
      <c r="Z39" s="174" t="n">
        <f aca="false">IF(VLOOKUP($C39,GrpE!$O$22:$V$25,8,0)&gt;0,MATCH($C39,GrpE!$O$22:$O$25,0),0)</f>
        <v>0</v>
      </c>
      <c r="AA39" s="174" t="n">
        <f aca="false">IF(VLOOKUP($C39,GrpE!$O$27:$V$30,8,0)&gt;0,MATCH($C39,GrpE!$O$27:$O$30,0),0)</f>
        <v>0</v>
      </c>
      <c r="AB39" s="174" t="n">
        <f aca="false">IF(VLOOKUP($C39,GrpE!$O$32:$V$35,8,0)&gt;0,MATCH($C39,GrpE!$O$32:$O$35,0),0)</f>
        <v>0</v>
      </c>
      <c r="AD39" s="174" t="str">
        <v>0</v>
      </c>
      <c r="AE39" s="174" t="str">
        <v>0</v>
      </c>
      <c r="AF39" s="174" t="str">
        <v>0</v>
      </c>
      <c r="AG39" s="174" t="str">
        <v>0</v>
      </c>
    </row>
    <row r="40" customFormat="false" ht="16.5" hidden="false" customHeight="false" outlineLevel="0" collapsed="false">
      <c r="B40" s="188" t="s">
        <v>74</v>
      </c>
      <c r="C40" s="189" t="str">
        <f aca="false">GrpE!$O$14</f>
        <v>Japan</v>
      </c>
      <c r="D40" s="216" t="n">
        <f aca="false">GrpE!$P$14</f>
        <v>0</v>
      </c>
      <c r="E40" s="217" t="n">
        <f aca="false">GrpE!$Q$14</f>
        <v>0</v>
      </c>
      <c r="F40" s="218" t="n">
        <f aca="false">GrpE!$R$14</f>
        <v>0</v>
      </c>
      <c r="G40" s="219" t="s">
        <v>72</v>
      </c>
      <c r="H40" s="220" t="n">
        <f aca="false">GrpE!$S$14</f>
        <v>0</v>
      </c>
      <c r="K40" s="221" t="str">
        <f aca="false">IF(VLOOKUP(GrpE!$O$14,GrpE!$D$18:$J$21,7,0)=0,"",VLOOKUP(GrpE!$O$14,GrpE!$D$18:$J$21,6,0))</f>
        <v/>
      </c>
      <c r="L40" s="182"/>
      <c r="M40" s="182"/>
      <c r="N40" s="222" t="str">
        <f aca="false">IF($AC41=0,"",IF(INDEX($Y37:$AB40,4,$AC41)=0,"",INDEX($AD37:$AG39,INDEX($Y37:$AB40,4,$AC41),1)))</f>
        <v/>
      </c>
      <c r="O40" s="223" t="str">
        <f aca="false">IF($AC41=0,"",IF(INDEX($Y37:$AB40,4,$AC41)=0,"",INDEX($AD37:$AG39,INDEX($Y37:$AB40,4,$AC41),2)))</f>
        <v/>
      </c>
      <c r="P40" s="224" t="str">
        <f aca="false">IF($AC41=0,"",IF(INDEX($Y37:$AB40,4,$AC41)=0,"",INDEX($AD37:$AG39,INDEX($Y37:$AB40,4,$AC41),3)))</f>
        <v/>
      </c>
      <c r="Q40" s="225" t="s">
        <v>72</v>
      </c>
      <c r="R40" s="226" t="str">
        <f aca="false">IF($AC41=0,"",IF(INDEX($Y37:$AB40,4,$AC41)=0,"",INDEX($AD37:$AG39,INDEX($Y37:$AB40,4,$AC41),4)))</f>
        <v/>
      </c>
      <c r="T40" s="227" t="n">
        <f aca="false">SUMIFS(FairPlayPoints1,FairPlayTeams1,$C40)+SUMIFS(FairPlayPoints2,FairPlayTeams2,$C40)</f>
        <v>0</v>
      </c>
      <c r="U40" s="228" t="str">
        <f aca="false">IF($W40&gt;0,"•","")</f>
        <v/>
      </c>
      <c r="W40" s="174" t="n">
        <f aca="false">IF(AND(OR(TRUNC(GrpE!$T$14,4)=TRUNC(GrpE!$T$11,4),TRUNC(GrpE!$T$14,4)=TRUNC(GrpE!$T$12,4),TRUNC(GrpE!$T$14,4)=TRUNC(GrpE!$T$13,4)),VLOOKUP(GrpE!$O$14,GrpE!$O$4:$X$7,10,0)),1,0)</f>
        <v>0</v>
      </c>
      <c r="Y40" s="174" t="n">
        <f aca="false">IF(VLOOKUP($C40,GrpE!$O$17:$V$20,8,0)&gt;0,MATCH($C40,GrpE!$O$17:$O$20,0),0)</f>
        <v>0</v>
      </c>
      <c r="Z40" s="174" t="n">
        <f aca="false">IF(VLOOKUP($C40,GrpE!$O$22:$V$25,8,0)&gt;0,MATCH($C40,GrpE!$O$22:$O$25,0),0)</f>
        <v>0</v>
      </c>
      <c r="AA40" s="174" t="n">
        <f aca="false">IF(VLOOKUP($C40,GrpE!$O$27:$V$30,8,0)&gt;0,MATCH($C40,GrpE!$O$27:$O$30,0),0)</f>
        <v>0</v>
      </c>
      <c r="AB40" s="174" t="n">
        <f aca="false">IF(VLOOKUP($C40,GrpE!$O$32:$V$35,8,0)&gt;0,MATCH($C40,GrpE!$O$32:$O$35,0),0)</f>
        <v>0</v>
      </c>
    </row>
    <row r="41" customFormat="false" ht="15" hidden="false" customHeight="false" outlineLevel="0" collapsed="false">
      <c r="Y41" s="229" t="n">
        <f aca="false">SUM(Y37:Y40)</f>
        <v>0</v>
      </c>
      <c r="Z41" s="229" t="n">
        <f aca="false">SUM(Z37:Z40)</f>
        <v>0</v>
      </c>
      <c r="AA41" s="229" t="n">
        <f aca="false">SUM(AA37:AA40)</f>
        <v>0</v>
      </c>
      <c r="AB41" s="229" t="n">
        <f aca="false">SUM(AB37:AB40)</f>
        <v>0</v>
      </c>
      <c r="AC41" s="174" t="n">
        <f aca="false" t="array" ref="AC41:AC41">MAX(IF($Y41:$AB41&gt;0,COLUMN($Y41:$AB41)-COLUMN(X$1),0))</f>
        <v>0</v>
      </c>
    </row>
    <row r="42" customFormat="false" ht="15.75" hidden="false" customHeight="false" outlineLevel="0" collapsed="false"/>
    <row r="43" customFormat="false" ht="19.5" hidden="false" customHeight="false" outlineLevel="0" collapsed="false">
      <c r="B43" s="177" t="str">
        <f aca="false">IF(OR($AC49&gt;0,$K45&lt;&gt;"",$K46&lt;&gt;"",$K47&lt;&gt;""),"","")</f>
        <v/>
      </c>
      <c r="C43" s="178" t="str">
        <f aca="false">Language!$E$124&amp;" F"</f>
        <v>Group F</v>
      </c>
      <c r="D43" s="179" t="str">
        <f aca="false">Language!$E$129</f>
        <v>Total</v>
      </c>
      <c r="E43" s="179"/>
      <c r="F43" s="179"/>
      <c r="G43" s="179"/>
      <c r="H43" s="179"/>
      <c r="I43" s="179" t="str">
        <f aca="false">Language!$E$132</f>
        <v>Dir. Conp.(2)</v>
      </c>
      <c r="J43" s="179"/>
      <c r="K43" s="179"/>
      <c r="L43" s="179"/>
      <c r="M43" s="179"/>
      <c r="N43" s="179" t="str">
        <f aca="false">Language!$E$133</f>
        <v>Dir. Comp.(3)</v>
      </c>
      <c r="O43" s="179"/>
      <c r="P43" s="179"/>
      <c r="Q43" s="179"/>
      <c r="R43" s="179"/>
      <c r="S43" s="180"/>
      <c r="T43" s="179"/>
      <c r="U43" s="181"/>
    </row>
    <row r="44" customFormat="false" ht="15.75" hidden="false" customHeight="false" outlineLevel="0" collapsed="false">
      <c r="D44" s="182" t="str">
        <f aca="false">Language!$E$125</f>
        <v>Pts.</v>
      </c>
      <c r="E44" s="174" t="str">
        <f aca="false">Language!$E$126</f>
        <v>Diff.</v>
      </c>
      <c r="F44" s="184" t="str">
        <f aca="false">Language!$E$127</f>
        <v>Goals</v>
      </c>
      <c r="G44" s="184"/>
      <c r="H44" s="184"/>
      <c r="K44" s="182" t="str">
        <f aca="false">Language!$E$125</f>
        <v>Pts.</v>
      </c>
      <c r="L44" s="182"/>
      <c r="M44" s="182"/>
      <c r="N44" s="182" t="str">
        <f aca="false">Language!$E$125</f>
        <v>Pts.</v>
      </c>
      <c r="O44" s="174" t="str">
        <f aca="false">Language!$E$126</f>
        <v>Diff.</v>
      </c>
      <c r="P44" s="185" t="str">
        <f aca="false">Language!$E$127</f>
        <v>Goals</v>
      </c>
      <c r="Q44" s="185"/>
      <c r="R44" s="185"/>
      <c r="T44" s="174" t="str">
        <f aca="false">Language!$E$130</f>
        <v>Fair Play/Lot</v>
      </c>
      <c r="U44" s="186" t="str">
        <f aca="false">Language!$E$131</f>
        <v>Not clear</v>
      </c>
    </row>
    <row r="45" customFormat="false" ht="15.75" hidden="false" customHeight="false" outlineLevel="0" collapsed="false">
      <c r="B45" s="188" t="s">
        <v>52</v>
      </c>
      <c r="C45" s="189" t="str">
        <f aca="false">GrpF!$O$11</f>
        <v>Belgium</v>
      </c>
      <c r="D45" s="190" t="n">
        <f aca="false">GrpF!$P$11</f>
        <v>0</v>
      </c>
      <c r="E45" s="191" t="n">
        <f aca="false">GrpF!$Q$11</f>
        <v>0</v>
      </c>
      <c r="F45" s="192" t="n">
        <f aca="false">GrpF!$R$11</f>
        <v>0</v>
      </c>
      <c r="G45" s="193" t="s">
        <v>72</v>
      </c>
      <c r="H45" s="194" t="n">
        <f aca="false">GrpF!$S$11</f>
        <v>0</v>
      </c>
      <c r="K45" s="195" t="str">
        <f aca="false">IF(VLOOKUP(GrpF!$O$11,GrpF!$D$18:$J$21,7,0)=0,"",VLOOKUP(GrpF!$O$11,GrpF!$D$18:$J$21,6,0))</f>
        <v/>
      </c>
      <c r="L45" s="182"/>
      <c r="M45" s="182"/>
      <c r="N45" s="196" t="str">
        <f aca="false">IF($AC49=0,"",IF(INDEX($Y45:$AB48,1,$AC49)=0,"",INDEX($AD45:$AG47,INDEX($Y45:$AB48,1,$AC49),1)))</f>
        <v/>
      </c>
      <c r="O45" s="197" t="str">
        <f aca="false">IF($AC49=0,"",IF(INDEX($Y45:$AB48,1,$AC49)=0,"",INDEX($AD45:$AG47,INDEX($Y45:$AB48,1,$AC49),2)))</f>
        <v/>
      </c>
      <c r="P45" s="198" t="str">
        <f aca="false">IF($AC49=0,"",IF(INDEX($Y45:$AB48,1,$AC49)=0,"",INDEX($AD45:$AG47,INDEX($Y45:$AB48,1,$AC49),3)))</f>
        <v/>
      </c>
      <c r="Q45" s="199" t="s">
        <v>72</v>
      </c>
      <c r="R45" s="200" t="str">
        <f aca="false">IF($AC49=0,"",IF(INDEX($Y45:$AB48,1,$AC49)=0,"",INDEX($AD45:$AG47,INDEX($Y45:$AB48,1,$AC49),4)))</f>
        <v/>
      </c>
      <c r="T45" s="201" t="n">
        <f aca="false">SUMIFS(FairPlayPoints1,FairPlayTeams1,$C45)+SUMIFS(FairPlayPoints2,FairPlayTeams2,$C45)</f>
        <v>0</v>
      </c>
      <c r="U45" s="202" t="str">
        <f aca="false">IF($W45&gt;0,"•","")</f>
        <v/>
      </c>
      <c r="W45" s="174" t="n">
        <f aca="false">IF(AND(OR(TRUNC(GrpF!$T$11,4)=TRUNC(GrpF!$T$12,4),TRUNC(GrpF!$T$11,4)=TRUNC(GrpF!$T$13,4),TRUNC(GrpF!$T$11,4)=TRUNC(GrpF!$T$14,4)),VLOOKUP(GrpF!$O$11,GrpF!$O$4:$X$7,10,0)),1,0)</f>
        <v>0</v>
      </c>
      <c r="Y45" s="174" t="n">
        <f aca="false">IF(VLOOKUP($C45,GrpF!$O$17:$V$20,8,0)&gt;0,MATCH($C45,GrpF!$O$17:$O$20,0),0)</f>
        <v>0</v>
      </c>
      <c r="Z45" s="174" t="n">
        <f aca="false">IF(VLOOKUP($C45,GrpF!$O$22:$V$25,8,0)&gt;0,MATCH($C45,GrpF!$O$22:$O$25,0),0)</f>
        <v>0</v>
      </c>
      <c r="AA45" s="174" t="n">
        <f aca="false">IF(VLOOKUP($C45,GrpF!$O$27:$V$30,8,0)&gt;0,MATCH($C45,GrpF!$O$27:$O$30,0),0)</f>
        <v>0</v>
      </c>
      <c r="AB45" s="174" t="n">
        <f aca="false">IF(VLOOKUP($C45,GrpF!$O$32:$V$35,8,0)&gt;0,MATCH($C45,GrpF!$O$32:$O$35,0),0)</f>
        <v>0</v>
      </c>
      <c r="AD45" s="174" t="str">
        <f aca="false" t="array" ref="AD45:AG47">IF($Y49&gt;0,GrpF!$P$17:$S$19,IF($Z49&gt;0,GrpF!$P$22:$S$25,IF($AA49&gt;0,GrpF!$P$27:$S$30,IF($AB49&gt;0,GrpF!$P$32:$S$35,"0"))))</f>
        <v>0</v>
      </c>
      <c r="AE45" s="174" t="str">
        <v>0</v>
      </c>
      <c r="AF45" s="174" t="str">
        <v>0</v>
      </c>
      <c r="AG45" s="174" t="str">
        <v>0</v>
      </c>
    </row>
    <row r="46" customFormat="false" ht="15.75" hidden="false" customHeight="false" outlineLevel="0" collapsed="false">
      <c r="B46" s="188" t="s">
        <v>53</v>
      </c>
      <c r="C46" s="189" t="str">
        <f aca="false">GrpF!$O$12</f>
        <v>Canada</v>
      </c>
      <c r="D46" s="203" t="n">
        <f aca="false">GrpF!$P$12</f>
        <v>0</v>
      </c>
      <c r="E46" s="204" t="n">
        <f aca="false">GrpF!$Q$12</f>
        <v>0</v>
      </c>
      <c r="F46" s="205" t="n">
        <f aca="false">GrpF!$R$12</f>
        <v>0</v>
      </c>
      <c r="G46" s="206" t="s">
        <v>72</v>
      </c>
      <c r="H46" s="207" t="n">
        <f aca="false">GrpF!$S$12</f>
        <v>0</v>
      </c>
      <c r="K46" s="208" t="str">
        <f aca="false">IF(VLOOKUP(GrpF!$O$12,GrpF!$D$18:$J$21,7,0)=0,"",VLOOKUP(GrpF!$O$12,GrpF!$D$18:$J$21,6,0))</f>
        <v/>
      </c>
      <c r="L46" s="182"/>
      <c r="M46" s="182"/>
      <c r="N46" s="209" t="str">
        <f aca="false">IF($AC49=0,"",IF(INDEX($Y45:$AB48,2,$AC49)=0,"",INDEX($AD45:$AG47,INDEX($Y45:$AB48,2,$AC49),1)))</f>
        <v/>
      </c>
      <c r="O46" s="210" t="str">
        <f aca="false">IF($AC49=0,"",IF(INDEX($Y45:$AB48,2,$AC49)=0,"",INDEX($AD45:$AG47,INDEX($Y45:$AB48,2,$AC49),2)))</f>
        <v/>
      </c>
      <c r="P46" s="211" t="str">
        <f aca="false">IF($AC49=0,"",IF(INDEX($Y45:$AB48,2,$AC49)=0,"",INDEX($AD45:$AG47,INDEX($Y45:$AB48,2,$AC49),3)))</f>
        <v/>
      </c>
      <c r="Q46" s="212" t="s">
        <v>72</v>
      </c>
      <c r="R46" s="213" t="str">
        <f aca="false">IF($AC49=0,"",IF(INDEX($Y45:$AB48,2,$AC49)=0,"",INDEX($AD45:$AG47,INDEX($Y45:$AB48,2,$AC49),4)))</f>
        <v/>
      </c>
      <c r="T46" s="214" t="n">
        <f aca="false">SUMIFS(FairPlayPoints1,FairPlayTeams1,$C46)+SUMIFS(FairPlayPoints2,FairPlayTeams2,$C46)</f>
        <v>0</v>
      </c>
      <c r="U46" s="215" t="str">
        <f aca="false">IF($W46&gt;0,"•","")</f>
        <v/>
      </c>
      <c r="W46" s="174" t="n">
        <f aca="false">IF(AND(OR(TRUNC(GrpF!$T$12,4)=TRUNC(GrpF!$T$11,4),TRUNC(GrpF!$T$12,4)=TRUNC(GrpF!$T$13,4),TRUNC(GrpF!$T$12,4)=TRUNC(GrpF!$T$14,4)),VLOOKUP(GrpF!$O$12,GrpF!$O$4:$X$7,10,0)),1,0)</f>
        <v>0</v>
      </c>
      <c r="Y46" s="174" t="n">
        <f aca="false">IF(VLOOKUP($C46,GrpF!$O$17:$V$20,8,0)&gt;0,MATCH($C46,GrpF!$O$17:$O$20,0),0)</f>
        <v>0</v>
      </c>
      <c r="Z46" s="174" t="n">
        <f aca="false">IF(VLOOKUP($C46,GrpF!$O$22:$V$25,8,0)&gt;0,MATCH($C46,GrpF!$O$22:$O$25,0),0)</f>
        <v>0</v>
      </c>
      <c r="AA46" s="174" t="n">
        <f aca="false">IF(VLOOKUP($C46,GrpF!$O$27:$V$30,8,0)&gt;0,MATCH($C46,GrpF!$O$27:$O$30,0),0)</f>
        <v>0</v>
      </c>
      <c r="AB46" s="174" t="n">
        <f aca="false">IF(VLOOKUP($C46,GrpF!$O$32:$V$35,8,0)&gt;0,MATCH($C46,GrpF!$O$32:$O$35,0),0)</f>
        <v>0</v>
      </c>
      <c r="AD46" s="174" t="str">
        <v>0</v>
      </c>
      <c r="AE46" s="174" t="str">
        <v>0</v>
      </c>
      <c r="AF46" s="174" t="str">
        <v>0</v>
      </c>
      <c r="AG46" s="174" t="str">
        <v>0</v>
      </c>
    </row>
    <row r="47" customFormat="false" ht="15.75" hidden="false" customHeight="false" outlineLevel="0" collapsed="false">
      <c r="B47" s="188" t="s">
        <v>73</v>
      </c>
      <c r="C47" s="189" t="str">
        <f aca="false">GrpF!$O$13</f>
        <v>Morocco</v>
      </c>
      <c r="D47" s="203" t="n">
        <f aca="false">GrpF!$P$13</f>
        <v>0</v>
      </c>
      <c r="E47" s="204" t="n">
        <f aca="false">GrpF!$Q$13</f>
        <v>0</v>
      </c>
      <c r="F47" s="205" t="n">
        <f aca="false">GrpF!$R$13</f>
        <v>0</v>
      </c>
      <c r="G47" s="206" t="s">
        <v>72</v>
      </c>
      <c r="H47" s="207" t="n">
        <f aca="false">GrpF!$S$13</f>
        <v>0</v>
      </c>
      <c r="K47" s="208" t="str">
        <f aca="false">IF(VLOOKUP(GrpF!$O$13,GrpF!$D$18:$J$21,7,0)=0,"",VLOOKUP(GrpF!$O$13,GrpF!$D$18:$J$21,6,0))</f>
        <v/>
      </c>
      <c r="L47" s="182"/>
      <c r="M47" s="182"/>
      <c r="N47" s="209" t="str">
        <f aca="false">IF($AC49=0,"",IF(INDEX($Y45:$AB48,3,$AC49)=0,"",INDEX($AD45:$AG47,INDEX($Y45:$AB48,3,$AC49),1)))</f>
        <v/>
      </c>
      <c r="O47" s="210" t="str">
        <f aca="false">IF($AC49=0,"",IF(INDEX($Y45:$AB48,3,$AC49)=0,"",INDEX($AD45:$AG47,INDEX($Y45:$AB48,3,$AC49),2)))</f>
        <v/>
      </c>
      <c r="P47" s="211" t="str">
        <f aca="false">IF($AC49=0,"",IF(INDEX($Y45:$AB48,3,$AC49)=0,"",INDEX($AD45:$AG47,INDEX($Y45:$AB48,3,$AC49),3)))</f>
        <v/>
      </c>
      <c r="Q47" s="212" t="s">
        <v>72</v>
      </c>
      <c r="R47" s="213" t="str">
        <f aca="false">IF($AC49=0,"",IF(INDEX($Y45:$AB48,3,$AC49)=0,"",INDEX($AD45:$AG47,INDEX($Y45:$AB48,3,$AC49),4)))</f>
        <v/>
      </c>
      <c r="T47" s="214" t="n">
        <f aca="false">SUMIFS(FairPlayPoints1,FairPlayTeams1,$C47)+SUMIFS(FairPlayPoints2,FairPlayTeams2,$C47)</f>
        <v>0</v>
      </c>
      <c r="U47" s="215" t="str">
        <f aca="false">IF($W47&gt;0,"•","")</f>
        <v/>
      </c>
      <c r="W47" s="174" t="n">
        <f aca="false">IF(AND(OR(TRUNC(GrpF!$T$13,4)=TRUNC(GrpF!$T$11,4),TRUNC(GrpF!$T$13,4)=TRUNC(GrpF!$T$12,4),TRUNC(GrpF!$T$13,4)=TRUNC(GrpF!$T$14,4)),VLOOKUP(GrpF!$O$13,GrpF!$O$4:$X$7,10,0)),1,0)</f>
        <v>0</v>
      </c>
      <c r="Y47" s="174" t="n">
        <f aca="false">IF(VLOOKUP($C47,GrpF!$O$17:$V$20,8,0)&gt;0,MATCH($C47,GrpF!$O$17:$O$20,0),0)</f>
        <v>0</v>
      </c>
      <c r="Z47" s="174" t="n">
        <f aca="false">IF(VLOOKUP($C47,GrpF!$O$22:$V$25,8,0)&gt;0,MATCH($C47,GrpF!$O$22:$O$25,0),0)</f>
        <v>0</v>
      </c>
      <c r="AA47" s="174" t="n">
        <f aca="false">IF(VLOOKUP($C47,GrpF!$O$27:$V$30,8,0)&gt;0,MATCH($C47,GrpF!$O$27:$O$30,0),0)</f>
        <v>0</v>
      </c>
      <c r="AB47" s="174" t="n">
        <f aca="false">IF(VLOOKUP($C47,GrpF!$O$32:$V$35,8,0)&gt;0,MATCH($C47,GrpF!$O$32:$O$35,0),0)</f>
        <v>0</v>
      </c>
      <c r="AD47" s="174" t="str">
        <v>0</v>
      </c>
      <c r="AE47" s="174" t="str">
        <v>0</v>
      </c>
      <c r="AF47" s="174" t="str">
        <v>0</v>
      </c>
      <c r="AG47" s="174" t="str">
        <v>0</v>
      </c>
    </row>
    <row r="48" customFormat="false" ht="16.5" hidden="false" customHeight="false" outlineLevel="0" collapsed="false">
      <c r="B48" s="188" t="s">
        <v>74</v>
      </c>
      <c r="C48" s="189" t="str">
        <f aca="false">GrpF!$O$14</f>
        <v>Croatia</v>
      </c>
      <c r="D48" s="216" t="n">
        <f aca="false">GrpF!$P$14</f>
        <v>0</v>
      </c>
      <c r="E48" s="217" t="n">
        <f aca="false">GrpF!$Q$14</f>
        <v>0</v>
      </c>
      <c r="F48" s="218" t="n">
        <f aca="false">GrpF!$R$14</f>
        <v>0</v>
      </c>
      <c r="G48" s="219" t="s">
        <v>72</v>
      </c>
      <c r="H48" s="220" t="n">
        <f aca="false">GrpF!$S$14</f>
        <v>0</v>
      </c>
      <c r="K48" s="221" t="str">
        <f aca="false">IF(VLOOKUP(GrpF!$O$14,GrpF!$D$18:$J$21,7,0)=0,"",VLOOKUP(GrpF!$O$14,GrpF!$D$18:$J$21,6,0))</f>
        <v/>
      </c>
      <c r="L48" s="182"/>
      <c r="M48" s="182"/>
      <c r="N48" s="222" t="str">
        <f aca="false">IF($AC49=0,"",IF(INDEX($Y45:$AB48,4,$AC49)=0,"",INDEX($AD45:$AG47,INDEX($Y45:$AB48,4,$AC49),1)))</f>
        <v/>
      </c>
      <c r="O48" s="223" t="str">
        <f aca="false">IF($AC49=0,"",IF(INDEX($Y45:$AB48,4,$AC49)=0,"",INDEX($AD45:$AG47,INDEX($Y45:$AB48,4,$AC49),2)))</f>
        <v/>
      </c>
      <c r="P48" s="224" t="str">
        <f aca="false">IF($AC49=0,"",IF(INDEX($Y45:$AB48,4,$AC49)=0,"",INDEX($AD45:$AG47,INDEX($Y45:$AB48,4,$AC49),3)))</f>
        <v/>
      </c>
      <c r="Q48" s="225" t="s">
        <v>72</v>
      </c>
      <c r="R48" s="226" t="str">
        <f aca="false">IF($AC49=0,"",IF(INDEX($Y45:$AB48,4,$AC49)=0,"",INDEX($AD45:$AG47,INDEX($Y45:$AB48,4,$AC49),4)))</f>
        <v/>
      </c>
      <c r="T48" s="227" t="n">
        <f aca="false">SUMIFS(FairPlayPoints1,FairPlayTeams1,$C48)+SUMIFS(FairPlayPoints2,FairPlayTeams2,$C48)</f>
        <v>0</v>
      </c>
      <c r="U48" s="228" t="str">
        <f aca="false">IF($W48&gt;0,"•","")</f>
        <v/>
      </c>
      <c r="W48" s="174" t="n">
        <f aca="false">IF(AND(OR(TRUNC(GrpF!$T$14,4)=TRUNC(GrpF!$T$11,4),TRUNC(GrpF!$T$14,4)=TRUNC(GrpF!$T$12,4),TRUNC(GrpF!$T$14,4)=TRUNC(GrpF!$T$13,4)),VLOOKUP(GrpF!$O$14,GrpF!$O$4:$X$7,10,0)),1,0)</f>
        <v>0</v>
      </c>
      <c r="Y48" s="174" t="n">
        <f aca="false">IF(VLOOKUP($C48,GrpF!$O$17:$V$20,8,0)&gt;0,MATCH($C48,GrpF!$O$17:$O$20,0),0)</f>
        <v>0</v>
      </c>
      <c r="Z48" s="174" t="n">
        <f aca="false">IF(VLOOKUP($C48,GrpF!$O$22:$V$25,8,0)&gt;0,MATCH($C48,GrpF!$O$22:$O$25,0),0)</f>
        <v>0</v>
      </c>
      <c r="AA48" s="174" t="n">
        <f aca="false">IF(VLOOKUP($C48,GrpF!$O$27:$V$30,8,0)&gt;0,MATCH($C48,GrpF!$O$27:$O$30,0),0)</f>
        <v>0</v>
      </c>
      <c r="AB48" s="174" t="n">
        <f aca="false">IF(VLOOKUP($C48,GrpF!$O$32:$V$35,8,0)&gt;0,MATCH($C48,GrpF!$O$32:$O$35,0),0)</f>
        <v>0</v>
      </c>
    </row>
    <row r="49" customFormat="false" ht="15" hidden="false" customHeight="false" outlineLevel="0" collapsed="false">
      <c r="Y49" s="229" t="n">
        <f aca="false">SUM(Y45:Y48)</f>
        <v>0</v>
      </c>
      <c r="Z49" s="229" t="n">
        <f aca="false">SUM(Z45:Z48)</f>
        <v>0</v>
      </c>
      <c r="AA49" s="229" t="n">
        <f aca="false">SUM(AA45:AA48)</f>
        <v>0</v>
      </c>
      <c r="AB49" s="229" t="n">
        <f aca="false">SUM(AB45:AB48)</f>
        <v>0</v>
      </c>
      <c r="AC49" s="174" t="n">
        <f aca="false" t="array" ref="AC49:AC49">MAX(IF($Y49:$AB49&gt;0,COLUMN($Y49:$AB49)-COLUMN(X$1),0))</f>
        <v>0</v>
      </c>
    </row>
    <row r="50" customFormat="false" ht="15.75" hidden="false" customHeight="false" outlineLevel="0" collapsed="false"/>
    <row r="51" customFormat="false" ht="19.5" hidden="false" customHeight="false" outlineLevel="0" collapsed="false">
      <c r="B51" s="177" t="str">
        <f aca="false">IF(OR($AC57&gt;0,$K53&lt;&gt;"",$K54&lt;&gt;"",$K55&lt;&gt;""),"","")</f>
        <v/>
      </c>
      <c r="C51" s="178" t="str">
        <f aca="false">Language!$E$124&amp;" G"</f>
        <v>Group G</v>
      </c>
      <c r="D51" s="179" t="str">
        <f aca="false">Language!$E$129</f>
        <v>Total</v>
      </c>
      <c r="E51" s="179"/>
      <c r="F51" s="179"/>
      <c r="G51" s="179"/>
      <c r="H51" s="179"/>
      <c r="I51" s="179" t="str">
        <f aca="false">Language!$E$132</f>
        <v>Dir. Conp.(2)</v>
      </c>
      <c r="J51" s="179"/>
      <c r="K51" s="179"/>
      <c r="L51" s="179"/>
      <c r="M51" s="179"/>
      <c r="N51" s="179" t="str">
        <f aca="false">Language!$E$133</f>
        <v>Dir. Comp.(3)</v>
      </c>
      <c r="O51" s="179"/>
      <c r="P51" s="179"/>
      <c r="Q51" s="179"/>
      <c r="R51" s="179"/>
      <c r="S51" s="180"/>
      <c r="T51" s="179"/>
      <c r="U51" s="181"/>
    </row>
    <row r="52" customFormat="false" ht="15.75" hidden="false" customHeight="false" outlineLevel="0" collapsed="false">
      <c r="D52" s="182" t="str">
        <f aca="false">Language!$E$125</f>
        <v>Pts.</v>
      </c>
      <c r="E52" s="174" t="str">
        <f aca="false">Language!$E$126</f>
        <v>Diff.</v>
      </c>
      <c r="F52" s="184" t="str">
        <f aca="false">Language!$E$127</f>
        <v>Goals</v>
      </c>
      <c r="G52" s="184"/>
      <c r="H52" s="184"/>
      <c r="K52" s="182" t="str">
        <f aca="false">Language!$E$125</f>
        <v>Pts.</v>
      </c>
      <c r="L52" s="182"/>
      <c r="M52" s="182"/>
      <c r="N52" s="182" t="str">
        <f aca="false">Language!$E$125</f>
        <v>Pts.</v>
      </c>
      <c r="O52" s="174" t="str">
        <f aca="false">Language!$E$126</f>
        <v>Diff.</v>
      </c>
      <c r="P52" s="185" t="str">
        <f aca="false">Language!$E$127</f>
        <v>Goals</v>
      </c>
      <c r="Q52" s="185"/>
      <c r="R52" s="185"/>
      <c r="T52" s="174" t="str">
        <f aca="false">Language!$E$130</f>
        <v>Fair Play/Lot</v>
      </c>
      <c r="U52" s="186" t="str">
        <f aca="false">Language!$E$131</f>
        <v>Not clear</v>
      </c>
    </row>
    <row r="53" customFormat="false" ht="15.75" hidden="false" customHeight="false" outlineLevel="0" collapsed="false">
      <c r="B53" s="188" t="s">
        <v>52</v>
      </c>
      <c r="C53" s="189" t="str">
        <f aca="false">GrpG!$O$11</f>
        <v>Brazil</v>
      </c>
      <c r="D53" s="190" t="n">
        <f aca="false">GrpG!$P$11</f>
        <v>0</v>
      </c>
      <c r="E53" s="191" t="n">
        <f aca="false">GrpG!$Q$11</f>
        <v>0</v>
      </c>
      <c r="F53" s="192" t="n">
        <f aca="false">GrpG!$R$11</f>
        <v>0</v>
      </c>
      <c r="G53" s="193" t="s">
        <v>72</v>
      </c>
      <c r="H53" s="194" t="n">
        <f aca="false">GrpG!$S$11</f>
        <v>0</v>
      </c>
      <c r="K53" s="195" t="str">
        <f aca="false">IF(VLOOKUP(GrpG!$O$11,GrpG!$D$18:$J$21,7,0)=0,"",VLOOKUP(GrpG!$O$11,GrpG!$D$18:$J$21,6,0))</f>
        <v/>
      </c>
      <c r="L53" s="182"/>
      <c r="M53" s="182"/>
      <c r="N53" s="196" t="str">
        <f aca="false">IF($AC57=0,"",IF(INDEX($Y53:$AB56,1,$AC57)=0,"",INDEX($AD53:$AG55,INDEX($Y53:$AB56,1,$AC57),1)))</f>
        <v/>
      </c>
      <c r="O53" s="197" t="str">
        <f aca="false">IF($AC57=0,"",IF(INDEX($Y53:$AB56,1,$AC57)=0,"",INDEX($AD53:$AG55,INDEX($Y53:$AB56,1,$AC57),2)))</f>
        <v/>
      </c>
      <c r="P53" s="198" t="str">
        <f aca="false">IF($AC57=0,"",IF(INDEX($Y53:$AB56,1,$AC57)=0,"",INDEX($AD53:$AG55,INDEX($Y53:$AB56,1,$AC57),3)))</f>
        <v/>
      </c>
      <c r="Q53" s="199" t="s">
        <v>72</v>
      </c>
      <c r="R53" s="200" t="str">
        <f aca="false">IF($AC57=0,"",IF(INDEX($Y53:$AB56,1,$AC57)=0,"",INDEX($AD53:$AG55,INDEX($Y53:$AB56,1,$AC57),4)))</f>
        <v/>
      </c>
      <c r="T53" s="201" t="n">
        <f aca="false">SUMIFS(FairPlayPoints1,FairPlayTeams1,$C53)+SUMIFS(FairPlayPoints2,FairPlayTeams2,$C53)</f>
        <v>0</v>
      </c>
      <c r="U53" s="202" t="str">
        <f aca="false">IF($W53&gt;0,"•","")</f>
        <v/>
      </c>
      <c r="W53" s="174" t="n">
        <f aca="false">IF(AND(OR(TRUNC(GrpG!$T$11,4)=TRUNC(GrpG!$T$12,4),TRUNC(GrpG!$T$11,4)=TRUNC(GrpG!$T$13,4),TRUNC(GrpG!$T$11,4)=TRUNC(GrpG!$T$14,4)),VLOOKUP(GrpG!$O$11,GrpG!$O$4:$X$7,10,0)),1,0)</f>
        <v>0</v>
      </c>
      <c r="Y53" s="174" t="n">
        <f aca="false">IF(VLOOKUP($C53,GrpG!$O$17:$V$20,8,0)&gt;0,MATCH($C53,GrpG!$O$17:$O$20,0),0)</f>
        <v>0</v>
      </c>
      <c r="Z53" s="174" t="n">
        <f aca="false">IF(VLOOKUP($C53,GrpG!$O$22:$V$25,8,0)&gt;0,MATCH($C53,GrpG!$O$22:$O$25,0),0)</f>
        <v>0</v>
      </c>
      <c r="AA53" s="174" t="n">
        <f aca="false">IF(VLOOKUP($C53,GrpG!$O$27:$V$30,8,0)&gt;0,MATCH($C53,GrpG!$O$27:$O$30,0),0)</f>
        <v>0</v>
      </c>
      <c r="AB53" s="174" t="n">
        <f aca="false">IF(VLOOKUP($C53,GrpG!$O$32:$V$35,8,0)&gt;0,MATCH($C53,GrpG!$O$32:$O$35,0),0)</f>
        <v>0</v>
      </c>
      <c r="AD53" s="174" t="str">
        <f aca="false" t="array" ref="AD53:AG55">IF($Y57&gt;0,GrpG!$P$17:$S$19,IF($Z57&gt;0,GrpG!$P$22:$S$25,IF($AA57&gt;0,GrpG!$P$27:$S$30,IF($AB57&gt;0,GrpG!$P$32:$S$35,"0"))))</f>
        <v>0</v>
      </c>
      <c r="AE53" s="174" t="str">
        <v>0</v>
      </c>
      <c r="AF53" s="174" t="str">
        <v>0</v>
      </c>
      <c r="AG53" s="174" t="str">
        <v>0</v>
      </c>
    </row>
    <row r="54" customFormat="false" ht="15.75" hidden="false" customHeight="false" outlineLevel="0" collapsed="false">
      <c r="B54" s="188" t="s">
        <v>53</v>
      </c>
      <c r="C54" s="189" t="str">
        <f aca="false">GrpG!$O$12</f>
        <v>Serbia</v>
      </c>
      <c r="D54" s="203" t="n">
        <f aca="false">GrpG!$P$12</f>
        <v>0</v>
      </c>
      <c r="E54" s="204" t="n">
        <f aca="false">GrpG!$Q$12</f>
        <v>0</v>
      </c>
      <c r="F54" s="205" t="n">
        <f aca="false">GrpG!$R$12</f>
        <v>0</v>
      </c>
      <c r="G54" s="206" t="s">
        <v>72</v>
      </c>
      <c r="H54" s="207" t="n">
        <f aca="false">GrpG!$S$12</f>
        <v>0</v>
      </c>
      <c r="K54" s="208" t="str">
        <f aca="false">IF(VLOOKUP(GrpG!$O$12,GrpG!$D$18:$J$21,7,0)=0,"",VLOOKUP(GrpG!$O$12,GrpG!$D$18:$J$21,6,0))</f>
        <v/>
      </c>
      <c r="L54" s="182"/>
      <c r="M54" s="182"/>
      <c r="N54" s="209" t="str">
        <f aca="false">IF($AC57=0,"",IF(INDEX($Y53:$AB56,2,$AC57)=0,"",INDEX($AD53:$AG55,INDEX($Y53:$AB56,2,$AC57),1)))</f>
        <v/>
      </c>
      <c r="O54" s="210" t="str">
        <f aca="false">IF($AC57=0,"",IF(INDEX($Y53:$AB56,2,$AC57)=0,"",INDEX($AD53:$AG55,INDEX($Y53:$AB56,2,$AC57),2)))</f>
        <v/>
      </c>
      <c r="P54" s="211" t="str">
        <f aca="false">IF($AC57=0,"",IF(INDEX($Y53:$AB56,2,$AC57)=0,"",INDEX($AD53:$AG55,INDEX($Y53:$AB56,2,$AC57),3)))</f>
        <v/>
      </c>
      <c r="Q54" s="212" t="s">
        <v>72</v>
      </c>
      <c r="R54" s="213" t="str">
        <f aca="false">IF($AC57=0,"",IF(INDEX($Y53:$AB56,2,$AC57)=0,"",INDEX($AD53:$AG55,INDEX($Y53:$AB56,2,$AC57),4)))</f>
        <v/>
      </c>
      <c r="T54" s="214" t="n">
        <f aca="false">SUMIFS(FairPlayPoints1,FairPlayTeams1,$C54)+SUMIFS(FairPlayPoints2,FairPlayTeams2,$C54)</f>
        <v>0</v>
      </c>
      <c r="U54" s="215" t="str">
        <f aca="false">IF($W54&gt;0,"•","")</f>
        <v/>
      </c>
      <c r="W54" s="174" t="n">
        <f aca="false">IF(AND(OR(TRUNC(GrpG!$T$12,4)=TRUNC(GrpG!$T$11,4),TRUNC(GrpG!$T$12,4)=TRUNC(GrpG!$T$13,4),TRUNC(GrpG!$T$12,4)=TRUNC(GrpG!$T$14,4)),VLOOKUP(GrpG!$O$12,GrpG!$O$4:$X$7,10,0)),1,0)</f>
        <v>0</v>
      </c>
      <c r="Y54" s="174" t="n">
        <f aca="false">IF(VLOOKUP($C54,GrpG!$O$17:$V$20,8,0)&gt;0,MATCH($C54,GrpG!$O$17:$O$20,0),0)</f>
        <v>0</v>
      </c>
      <c r="Z54" s="174" t="n">
        <f aca="false">IF(VLOOKUP($C54,GrpG!$O$22:$V$25,8,0)&gt;0,MATCH($C54,GrpG!$O$22:$O$25,0),0)</f>
        <v>0</v>
      </c>
      <c r="AA54" s="174" t="n">
        <f aca="false">IF(VLOOKUP($C54,GrpG!$O$27:$V$30,8,0)&gt;0,MATCH($C54,GrpG!$O$27:$O$30,0),0)</f>
        <v>0</v>
      </c>
      <c r="AB54" s="174" t="n">
        <f aca="false">IF(VLOOKUP($C54,GrpG!$O$32:$V$35,8,0)&gt;0,MATCH($C54,GrpG!$O$32:$O$35,0),0)</f>
        <v>0</v>
      </c>
      <c r="AD54" s="174" t="str">
        <v>0</v>
      </c>
      <c r="AE54" s="174" t="str">
        <v>0</v>
      </c>
      <c r="AF54" s="174" t="str">
        <v>0</v>
      </c>
      <c r="AG54" s="174" t="str">
        <v>0</v>
      </c>
    </row>
    <row r="55" customFormat="false" ht="15.75" hidden="false" customHeight="false" outlineLevel="0" collapsed="false">
      <c r="B55" s="188" t="s">
        <v>73</v>
      </c>
      <c r="C55" s="189" t="str">
        <f aca="false">GrpG!$O$13</f>
        <v>Switzerland</v>
      </c>
      <c r="D55" s="203" t="n">
        <f aca="false">GrpG!$P$13</f>
        <v>0</v>
      </c>
      <c r="E55" s="204" t="n">
        <f aca="false">GrpG!$Q$13</f>
        <v>0</v>
      </c>
      <c r="F55" s="205" t="n">
        <f aca="false">GrpG!$R$13</f>
        <v>0</v>
      </c>
      <c r="G55" s="206" t="s">
        <v>72</v>
      </c>
      <c r="H55" s="207" t="n">
        <f aca="false">GrpG!$S$13</f>
        <v>0</v>
      </c>
      <c r="K55" s="208" t="str">
        <f aca="false">IF(VLOOKUP(GrpG!$O$13,GrpG!$D$18:$J$21,7,0)=0,"",VLOOKUP(GrpG!$O$13,GrpG!$D$18:$J$21,6,0))</f>
        <v/>
      </c>
      <c r="L55" s="182"/>
      <c r="M55" s="182"/>
      <c r="N55" s="209" t="str">
        <f aca="false">IF($AC57=0,"",IF(INDEX($Y53:$AB56,3,$AC57)=0,"",INDEX($AD53:$AG55,INDEX($Y53:$AB56,3,$AC57),1)))</f>
        <v/>
      </c>
      <c r="O55" s="210" t="str">
        <f aca="false">IF($AC57=0,"",IF(INDEX($Y53:$AB56,3,$AC57)=0,"",INDEX($AD53:$AG55,INDEX($Y53:$AB56,3,$AC57),2)))</f>
        <v/>
      </c>
      <c r="P55" s="211" t="str">
        <f aca="false">IF($AC57=0,"",IF(INDEX($Y53:$AB56,3,$AC57)=0,"",INDEX($AD53:$AG55,INDEX($Y53:$AB56,3,$AC57),3)))</f>
        <v/>
      </c>
      <c r="Q55" s="212" t="s">
        <v>72</v>
      </c>
      <c r="R55" s="213" t="str">
        <f aca="false">IF($AC57=0,"",IF(INDEX($Y53:$AB56,3,$AC57)=0,"",INDEX($AD53:$AG55,INDEX($Y53:$AB56,3,$AC57),4)))</f>
        <v/>
      </c>
      <c r="T55" s="214" t="n">
        <f aca="false">SUMIFS(FairPlayPoints1,FairPlayTeams1,$C55)+SUMIFS(FairPlayPoints2,FairPlayTeams2,$C55)</f>
        <v>0</v>
      </c>
      <c r="U55" s="215" t="str">
        <f aca="false">IF($W55&gt;0,"•","")</f>
        <v/>
      </c>
      <c r="W55" s="174" t="n">
        <f aca="false">IF(AND(OR(TRUNC(GrpG!$T$13,4)=TRUNC(GrpG!$T$11,4),TRUNC(GrpG!$T$13,4)=TRUNC(GrpG!$T$12,4),TRUNC(GrpG!$T$13,4)=TRUNC(GrpG!$T$14,4)),VLOOKUP(GrpG!$O$13,GrpG!$O$4:$X$7,10,0)),1,0)</f>
        <v>0</v>
      </c>
      <c r="Y55" s="174" t="n">
        <f aca="false">IF(VLOOKUP($C55,GrpG!$O$17:$V$20,8,0)&gt;0,MATCH($C55,GrpG!$O$17:$O$20,0),0)</f>
        <v>0</v>
      </c>
      <c r="Z55" s="174" t="n">
        <f aca="false">IF(VLOOKUP($C55,GrpG!$O$22:$V$25,8,0)&gt;0,MATCH($C55,GrpG!$O$22:$O$25,0),0)</f>
        <v>0</v>
      </c>
      <c r="AA55" s="174" t="n">
        <f aca="false">IF(VLOOKUP($C55,GrpG!$O$27:$V$30,8,0)&gt;0,MATCH($C55,GrpG!$O$27:$O$30,0),0)</f>
        <v>0</v>
      </c>
      <c r="AB55" s="174" t="n">
        <f aca="false">IF(VLOOKUP($C55,GrpG!$O$32:$V$35,8,0)&gt;0,MATCH($C55,GrpG!$O$32:$O$35,0),0)</f>
        <v>0</v>
      </c>
      <c r="AD55" s="174" t="str">
        <v>0</v>
      </c>
      <c r="AE55" s="174" t="str">
        <v>0</v>
      </c>
      <c r="AF55" s="174" t="str">
        <v>0</v>
      </c>
      <c r="AG55" s="174" t="str">
        <v>0</v>
      </c>
    </row>
    <row r="56" customFormat="false" ht="16.5" hidden="false" customHeight="false" outlineLevel="0" collapsed="false">
      <c r="B56" s="188" t="s">
        <v>74</v>
      </c>
      <c r="C56" s="189" t="str">
        <f aca="false">GrpG!$O$14</f>
        <v>Cameroon</v>
      </c>
      <c r="D56" s="216" t="n">
        <f aca="false">GrpG!$P$14</f>
        <v>0</v>
      </c>
      <c r="E56" s="217" t="n">
        <f aca="false">GrpG!$Q$14</f>
        <v>0</v>
      </c>
      <c r="F56" s="218" t="n">
        <f aca="false">GrpG!$R$14</f>
        <v>0</v>
      </c>
      <c r="G56" s="219" t="s">
        <v>72</v>
      </c>
      <c r="H56" s="220" t="n">
        <f aca="false">GrpG!$S$14</f>
        <v>0</v>
      </c>
      <c r="K56" s="221" t="str">
        <f aca="false">IF(VLOOKUP(GrpG!$O$14,GrpG!$D$18:$J$21,7,0)=0,"",VLOOKUP(GrpG!$O$14,GrpG!$D$18:$J$21,6,0))</f>
        <v/>
      </c>
      <c r="L56" s="182"/>
      <c r="M56" s="182"/>
      <c r="N56" s="222" t="str">
        <f aca="false">IF($AC57=0,"",IF(INDEX($Y53:$AB56,4,$AC57)=0,"",INDEX($AD53:$AG55,INDEX($Y53:$AB56,4,$AC57),1)))</f>
        <v/>
      </c>
      <c r="O56" s="223" t="str">
        <f aca="false">IF($AC57=0,"",IF(INDEX($Y53:$AB56,4,$AC57)=0,"",INDEX($AD53:$AG55,INDEX($Y53:$AB56,4,$AC57),2)))</f>
        <v/>
      </c>
      <c r="P56" s="224" t="str">
        <f aca="false">IF($AC57=0,"",IF(INDEX($Y53:$AB56,4,$AC57)=0,"",INDEX($AD53:$AG55,INDEX($Y53:$AB56,4,$AC57),3)))</f>
        <v/>
      </c>
      <c r="Q56" s="225" t="s">
        <v>72</v>
      </c>
      <c r="R56" s="226" t="str">
        <f aca="false">IF($AC57=0,"",IF(INDEX($Y53:$AB56,4,$AC57)=0,"",INDEX($AD53:$AG55,INDEX($Y53:$AB56,4,$AC57),4)))</f>
        <v/>
      </c>
      <c r="T56" s="227" t="n">
        <f aca="false">SUMIFS(FairPlayPoints1,FairPlayTeams1,$C56)+SUMIFS(FairPlayPoints2,FairPlayTeams2,$C56)</f>
        <v>0</v>
      </c>
      <c r="U56" s="228" t="str">
        <f aca="false">IF($W56&gt;0,"•","")</f>
        <v/>
      </c>
      <c r="W56" s="174" t="n">
        <f aca="false">IF(AND(OR(TRUNC(GrpG!$T$14,4)=TRUNC(GrpG!$T$11,4),TRUNC(GrpG!$T$14,4)=TRUNC(GrpG!$T$12,4),TRUNC(GrpG!$T$14,4)=TRUNC(GrpG!$T$13,4)),VLOOKUP(GrpG!$O$14,GrpG!$O$4:$X$7,10,0)),1,0)</f>
        <v>0</v>
      </c>
      <c r="Y56" s="174" t="n">
        <f aca="false">IF(VLOOKUP($C56,GrpG!$O$17:$V$20,8,0)&gt;0,MATCH($C56,GrpG!$O$17:$O$20,0),0)</f>
        <v>0</v>
      </c>
      <c r="Z56" s="174" t="n">
        <f aca="false">IF(VLOOKUP($C56,GrpG!$O$22:$V$25,8,0)&gt;0,MATCH($C56,GrpG!$O$22:$O$25,0),0)</f>
        <v>0</v>
      </c>
      <c r="AA56" s="174" t="n">
        <f aca="false">IF(VLOOKUP($C56,GrpG!$O$27:$V$30,8,0)&gt;0,MATCH($C56,GrpG!$O$27:$O$30,0),0)</f>
        <v>0</v>
      </c>
      <c r="AB56" s="174" t="n">
        <f aca="false">IF(VLOOKUP($C56,GrpG!$O$32:$V$35,8,0)&gt;0,MATCH($C56,GrpG!$O$32:$O$35,0),0)</f>
        <v>0</v>
      </c>
    </row>
    <row r="57" customFormat="false" ht="15" hidden="false" customHeight="false" outlineLevel="0" collapsed="false">
      <c r="Y57" s="229" t="n">
        <f aca="false">SUM(Y53:Y56)</f>
        <v>0</v>
      </c>
      <c r="Z57" s="229" t="n">
        <f aca="false">SUM(Z53:Z56)</f>
        <v>0</v>
      </c>
      <c r="AA57" s="229" t="n">
        <f aca="false">SUM(AA53:AA56)</f>
        <v>0</v>
      </c>
      <c r="AB57" s="229" t="n">
        <f aca="false">SUM(AB53:AB56)</f>
        <v>0</v>
      </c>
      <c r="AC57" s="174" t="n">
        <f aca="false" t="array" ref="AC57:AC57">MAX(IF($Y57:$AB57&gt;0,COLUMN($Y57:$AB57)-COLUMN(X$1),0))</f>
        <v>0</v>
      </c>
    </row>
    <row r="58" customFormat="false" ht="15.75" hidden="false" customHeight="false" outlineLevel="0" collapsed="false"/>
    <row r="59" customFormat="false" ht="19.5" hidden="false" customHeight="false" outlineLevel="0" collapsed="false">
      <c r="B59" s="177" t="str">
        <f aca="false">IF(OR($AC65&gt;0,$K61&lt;&gt;"",$K62&lt;&gt;"",$K63&lt;&gt;""),"","")</f>
        <v/>
      </c>
      <c r="C59" s="178" t="str">
        <f aca="false">Language!$E$124&amp;" H"</f>
        <v>Group H</v>
      </c>
      <c r="D59" s="179" t="str">
        <f aca="false">Language!$E$129</f>
        <v>Total</v>
      </c>
      <c r="E59" s="179"/>
      <c r="F59" s="179"/>
      <c r="G59" s="179"/>
      <c r="H59" s="179"/>
      <c r="I59" s="179" t="str">
        <f aca="false">Language!$E$132</f>
        <v>Dir. Conp.(2)</v>
      </c>
      <c r="J59" s="179"/>
      <c r="K59" s="179"/>
      <c r="L59" s="179"/>
      <c r="M59" s="179"/>
      <c r="N59" s="179" t="str">
        <f aca="false">Language!$E$133</f>
        <v>Dir. Comp.(3)</v>
      </c>
      <c r="O59" s="179"/>
      <c r="P59" s="179"/>
      <c r="Q59" s="179"/>
      <c r="R59" s="179"/>
      <c r="S59" s="180"/>
      <c r="T59" s="179"/>
      <c r="U59" s="181"/>
    </row>
    <row r="60" customFormat="false" ht="15.75" hidden="false" customHeight="false" outlineLevel="0" collapsed="false">
      <c r="D60" s="182" t="str">
        <f aca="false">Language!$E$125</f>
        <v>Pts.</v>
      </c>
      <c r="E60" s="174" t="str">
        <f aca="false">Language!$E$126</f>
        <v>Diff.</v>
      </c>
      <c r="F60" s="184" t="str">
        <f aca="false">Language!$E$127</f>
        <v>Goals</v>
      </c>
      <c r="G60" s="184"/>
      <c r="H60" s="184"/>
      <c r="K60" s="182" t="str">
        <f aca="false">Language!$E$125</f>
        <v>Pts.</v>
      </c>
      <c r="L60" s="182"/>
      <c r="M60" s="182"/>
      <c r="N60" s="182" t="str">
        <f aca="false">Language!$E$125</f>
        <v>Pts.</v>
      </c>
      <c r="O60" s="174" t="str">
        <f aca="false">Language!$E$126</f>
        <v>Diff.</v>
      </c>
      <c r="P60" s="185" t="str">
        <f aca="false">Language!$E$127</f>
        <v>Goals</v>
      </c>
      <c r="Q60" s="185"/>
      <c r="R60" s="185"/>
      <c r="T60" s="174" t="str">
        <f aca="false">Language!$E$130</f>
        <v>Fair Play/Lot</v>
      </c>
      <c r="U60" s="186" t="str">
        <f aca="false">Language!$E$131</f>
        <v>Not clear</v>
      </c>
    </row>
    <row r="61" customFormat="false" ht="15.75" hidden="false" customHeight="false" outlineLevel="0" collapsed="false">
      <c r="B61" s="188" t="s">
        <v>52</v>
      </c>
      <c r="C61" s="189" t="str">
        <f aca="false">GrpH!$O$11</f>
        <v>Portugal</v>
      </c>
      <c r="D61" s="190" t="n">
        <f aca="false">GrpH!$P$11</f>
        <v>0</v>
      </c>
      <c r="E61" s="191" t="n">
        <f aca="false">GrpH!$Q$11</f>
        <v>0</v>
      </c>
      <c r="F61" s="192" t="n">
        <f aca="false">GrpH!$R$11</f>
        <v>0</v>
      </c>
      <c r="G61" s="193" t="s">
        <v>72</v>
      </c>
      <c r="H61" s="194" t="n">
        <f aca="false">GrpH!$S$11</f>
        <v>0</v>
      </c>
      <c r="K61" s="195" t="str">
        <f aca="false">IF(VLOOKUP(GrpH!$O$11,GrpH!$D$18:$J$21,7,0)=0,"",VLOOKUP(GrpH!$O$11,GrpH!$D$18:$J$21,6,0))</f>
        <v/>
      </c>
      <c r="L61" s="182"/>
      <c r="M61" s="182"/>
      <c r="N61" s="196" t="str">
        <f aca="false">IF($AC65=0,"",IF(INDEX($Y61:$AB64,1,$AC65)=0,"",INDEX($AD61:$AG63,INDEX($Y61:$AB64,1,$AC65),1)))</f>
        <v/>
      </c>
      <c r="O61" s="197" t="str">
        <f aca="false">IF($AC65=0,"",IF(INDEX($Y61:$AB64,1,$AC65)=0,"",INDEX($AD61:$AG63,INDEX($Y61:$AB64,1,$AC65),2)))</f>
        <v/>
      </c>
      <c r="P61" s="198" t="str">
        <f aca="false">IF($AC65=0,"",IF(INDEX($Y61:$AB64,1,$AC65)=0,"",INDEX($AD61:$AG63,INDEX($Y61:$AB64,1,$AC65),3)))</f>
        <v/>
      </c>
      <c r="Q61" s="199" t="s">
        <v>72</v>
      </c>
      <c r="R61" s="200" t="str">
        <f aca="false">IF($AC65=0,"",IF(INDEX($Y61:$AB64,1,$AC65)=0,"",INDEX($AD61:$AG63,INDEX($Y61:$AB64,1,$AC65),4)))</f>
        <v/>
      </c>
      <c r="T61" s="201" t="n">
        <f aca="false">SUMIFS(FairPlayPoints1,FairPlayTeams1,$C61)+SUMIFS(FairPlayPoints2,FairPlayTeams2,$C61)</f>
        <v>0</v>
      </c>
      <c r="U61" s="202" t="str">
        <f aca="false">IF($W61&gt;0,"•","")</f>
        <v/>
      </c>
      <c r="W61" s="174" t="n">
        <f aca="false">IF(AND(OR(TRUNC(GrpH!$T$11,4)=TRUNC(GrpH!$T$12,4),TRUNC(GrpH!$T$11,4)=TRUNC(GrpH!$T$13,4),TRUNC(GrpH!$T$11,4)=TRUNC(GrpH!$T$14,4)),VLOOKUP(GrpH!$O$11,GrpH!$O$4:$X$7,10,0)),1,0)</f>
        <v>0</v>
      </c>
      <c r="Y61" s="174" t="n">
        <f aca="false">IF(VLOOKUP($C61,GrpH!$O$17:$V$20,8,0)&gt;0,MATCH($C61,GrpH!$O$17:$O$20,0),0)</f>
        <v>0</v>
      </c>
      <c r="Z61" s="174" t="n">
        <f aca="false">IF(VLOOKUP($C61,GrpH!$O$22:$V$25,8,0)&gt;0,MATCH($C61,GrpH!$O$22:$O$25,0),0)</f>
        <v>0</v>
      </c>
      <c r="AA61" s="174" t="n">
        <f aca="false">IF(VLOOKUP($C61,GrpH!$O$27:$V$30,8,0)&gt;0,MATCH($C61,GrpH!$O$27:$O$30,0),0)</f>
        <v>0</v>
      </c>
      <c r="AB61" s="174" t="n">
        <f aca="false">IF(VLOOKUP($C61,GrpH!$O$32:$V$35,8,0)&gt;0,MATCH($C61,GrpH!$O$32:$O$35,0),0)</f>
        <v>0</v>
      </c>
      <c r="AD61" s="174" t="str">
        <f aca="false" t="array" ref="AD61:AG63">IF($Y65&gt;0,GrpH!$P$17:$S$19,IF($Z65&gt;0,GrpH!$P$22:$S$25,IF($AA65&gt;0,GrpH!$P$27:$S$30,IF($AB65&gt;0,GrpH!$P$32:$S$35,"0"))))</f>
        <v>0</v>
      </c>
      <c r="AE61" s="174" t="str">
        <v>0</v>
      </c>
      <c r="AF61" s="174" t="str">
        <v>0</v>
      </c>
      <c r="AG61" s="174" t="str">
        <v>0</v>
      </c>
    </row>
    <row r="62" customFormat="false" ht="15.75" hidden="false" customHeight="false" outlineLevel="0" collapsed="false">
      <c r="B62" s="188" t="s">
        <v>53</v>
      </c>
      <c r="C62" s="189" t="str">
        <f aca="false">GrpH!$O$12</f>
        <v>Ghana</v>
      </c>
      <c r="D62" s="203" t="n">
        <f aca="false">GrpH!$P$12</f>
        <v>0</v>
      </c>
      <c r="E62" s="204" t="n">
        <f aca="false">GrpH!$Q$12</f>
        <v>0</v>
      </c>
      <c r="F62" s="205" t="n">
        <f aca="false">GrpH!$R$12</f>
        <v>0</v>
      </c>
      <c r="G62" s="206" t="s">
        <v>72</v>
      </c>
      <c r="H62" s="207" t="n">
        <f aca="false">GrpH!$S$12</f>
        <v>0</v>
      </c>
      <c r="K62" s="208" t="str">
        <f aca="false">IF(VLOOKUP(GrpH!$O$12,GrpH!$D$18:$J$21,7,0)=0,"",VLOOKUP(GrpH!$O$12,GrpH!$D$18:$J$21,6,0))</f>
        <v/>
      </c>
      <c r="L62" s="182"/>
      <c r="M62" s="182"/>
      <c r="N62" s="209" t="str">
        <f aca="false">IF($AC65=0,"",IF(INDEX($Y61:$AB64,2,$AC65)=0,"",INDEX($AD61:$AG63,INDEX($Y61:$AB64,2,$AC65),1)))</f>
        <v/>
      </c>
      <c r="O62" s="210" t="str">
        <f aca="false">IF($AC65=0,"",IF(INDEX($Y61:$AB64,2,$AC65)=0,"",INDEX($AD61:$AG63,INDEX($Y61:$AB64,2,$AC65),2)))</f>
        <v/>
      </c>
      <c r="P62" s="211" t="str">
        <f aca="false">IF($AC65=0,"",IF(INDEX($Y61:$AB64,2,$AC65)=0,"",INDEX($AD61:$AG63,INDEX($Y61:$AB64,2,$AC65),3)))</f>
        <v/>
      </c>
      <c r="Q62" s="212" t="s">
        <v>72</v>
      </c>
      <c r="R62" s="213" t="str">
        <f aca="false">IF($AC65=0,"",IF(INDEX($Y61:$AB64,2,$AC65)=0,"",INDEX($AD61:$AG63,INDEX($Y61:$AB64,2,$AC65),4)))</f>
        <v/>
      </c>
      <c r="T62" s="214" t="n">
        <f aca="false">SUMIFS(FairPlayPoints1,FairPlayTeams1,$C62)+SUMIFS(FairPlayPoints2,FairPlayTeams2,$C62)</f>
        <v>0</v>
      </c>
      <c r="U62" s="215" t="str">
        <f aca="false">IF($W62&gt;0,"•","")</f>
        <v/>
      </c>
      <c r="W62" s="174" t="n">
        <f aca="false">IF(AND(OR(TRUNC(GrpH!$T$12,4)=TRUNC(GrpH!$T$11,4),TRUNC(GrpH!$T$12,4)=TRUNC(GrpH!$T$13,4),TRUNC(GrpH!$T$12,4)=TRUNC(GrpH!$T$14,4)),VLOOKUP(GrpH!$O$12,GrpH!$O$4:$X$7,10,0)),1,0)</f>
        <v>0</v>
      </c>
      <c r="Y62" s="174" t="n">
        <f aca="false">IF(VLOOKUP($C62,GrpH!$O$17:$V$20,8,0)&gt;0,MATCH($C62,GrpH!$O$17:$O$20,0),0)</f>
        <v>0</v>
      </c>
      <c r="Z62" s="174" t="n">
        <f aca="false">IF(VLOOKUP($C62,GrpH!$O$22:$V$25,8,0)&gt;0,MATCH($C62,GrpH!$O$22:$O$25,0),0)</f>
        <v>0</v>
      </c>
      <c r="AA62" s="174" t="n">
        <f aca="false">IF(VLOOKUP($C62,GrpH!$O$27:$V$30,8,0)&gt;0,MATCH($C62,GrpH!$O$27:$O$30,0),0)</f>
        <v>0</v>
      </c>
      <c r="AB62" s="174" t="n">
        <f aca="false">IF(VLOOKUP($C62,GrpH!$O$32:$V$35,8,0)&gt;0,MATCH($C62,GrpH!$O$32:$O$35,0),0)</f>
        <v>0</v>
      </c>
      <c r="AD62" s="174" t="str">
        <v>0</v>
      </c>
      <c r="AE62" s="174" t="str">
        <v>0</v>
      </c>
      <c r="AF62" s="174" t="str">
        <v>0</v>
      </c>
      <c r="AG62" s="174" t="str">
        <v>0</v>
      </c>
    </row>
    <row r="63" customFormat="false" ht="15.75" hidden="false" customHeight="false" outlineLevel="0" collapsed="false">
      <c r="B63" s="188" t="s">
        <v>73</v>
      </c>
      <c r="C63" s="189" t="str">
        <f aca="false">GrpH!$O$13</f>
        <v>Uruguay</v>
      </c>
      <c r="D63" s="203" t="n">
        <f aca="false">GrpH!$P$13</f>
        <v>0</v>
      </c>
      <c r="E63" s="204" t="n">
        <f aca="false">GrpH!$Q$13</f>
        <v>0</v>
      </c>
      <c r="F63" s="205" t="n">
        <f aca="false">GrpH!$R$13</f>
        <v>0</v>
      </c>
      <c r="G63" s="206" t="s">
        <v>72</v>
      </c>
      <c r="H63" s="207" t="n">
        <f aca="false">GrpH!$S$13</f>
        <v>0</v>
      </c>
      <c r="K63" s="208" t="str">
        <f aca="false">IF(VLOOKUP(GrpH!$O$13,GrpH!$D$18:$J$21,7,0)=0,"",VLOOKUP(GrpH!$O$13,GrpH!$D$18:$J$21,6,0))</f>
        <v/>
      </c>
      <c r="L63" s="182"/>
      <c r="M63" s="182"/>
      <c r="N63" s="209" t="str">
        <f aca="false">IF($AC65=0,"",IF(INDEX($Y61:$AB64,3,$AC65)=0,"",INDEX($AD61:$AG63,INDEX($Y61:$AB64,3,$AC65),1)))</f>
        <v/>
      </c>
      <c r="O63" s="210" t="str">
        <f aca="false">IF($AC65=0,"",IF(INDEX($Y61:$AB64,3,$AC65)=0,"",INDEX($AD61:$AG63,INDEX($Y61:$AB64,3,$AC65),2)))</f>
        <v/>
      </c>
      <c r="P63" s="211" t="str">
        <f aca="false">IF($AC65=0,"",IF(INDEX($Y61:$AB64,3,$AC65)=0,"",INDEX($AD61:$AG63,INDEX($Y61:$AB64,3,$AC65),3)))</f>
        <v/>
      </c>
      <c r="Q63" s="212" t="s">
        <v>72</v>
      </c>
      <c r="R63" s="213" t="str">
        <f aca="false">IF($AC65=0,"",IF(INDEX($Y61:$AB64,3,$AC65)=0,"",INDEX($AD61:$AG63,INDEX($Y61:$AB64,3,$AC65),4)))</f>
        <v/>
      </c>
      <c r="T63" s="214" t="n">
        <f aca="false">SUMIFS(FairPlayPoints1,FairPlayTeams1,$C63)+SUMIFS(FairPlayPoints2,FairPlayTeams2,$C63)</f>
        <v>0</v>
      </c>
      <c r="U63" s="215" t="str">
        <f aca="false">IF($W63&gt;0,"•","")</f>
        <v/>
      </c>
      <c r="W63" s="174" t="n">
        <f aca="false">IF(AND(OR(TRUNC(GrpH!$T$13,4)=TRUNC(GrpH!$T$11,4),TRUNC(GrpH!$T$13,4)=TRUNC(GrpH!$T$12,4),TRUNC(GrpH!$T$13,4)=TRUNC(GrpH!$T$14,4)),VLOOKUP(GrpH!$O$13,GrpH!$O$4:$X$7,10,0)),1,0)</f>
        <v>0</v>
      </c>
      <c r="Y63" s="174" t="n">
        <f aca="false">IF(VLOOKUP($C63,GrpH!$O$17:$V$20,8,0)&gt;0,MATCH($C63,GrpH!$O$17:$O$20,0),0)</f>
        <v>0</v>
      </c>
      <c r="Z63" s="174" t="n">
        <f aca="false">IF(VLOOKUP($C63,GrpH!$O$22:$V$25,8,0)&gt;0,MATCH($C63,GrpH!$O$22:$O$25,0),0)</f>
        <v>0</v>
      </c>
      <c r="AA63" s="174" t="n">
        <f aca="false">IF(VLOOKUP($C63,GrpH!$O$27:$V$30,8,0)&gt;0,MATCH($C63,GrpH!$O$27:$O$30,0),0)</f>
        <v>0</v>
      </c>
      <c r="AB63" s="174" t="n">
        <f aca="false">IF(VLOOKUP($C63,GrpH!$O$32:$V$35,8,0)&gt;0,MATCH($C63,GrpH!$O$32:$O$35,0),0)</f>
        <v>0</v>
      </c>
      <c r="AD63" s="174" t="str">
        <v>0</v>
      </c>
      <c r="AE63" s="174" t="str">
        <v>0</v>
      </c>
      <c r="AF63" s="174" t="str">
        <v>0</v>
      </c>
      <c r="AG63" s="174" t="str">
        <v>0</v>
      </c>
    </row>
    <row r="64" customFormat="false" ht="16.5" hidden="false" customHeight="false" outlineLevel="0" collapsed="false">
      <c r="B64" s="188" t="s">
        <v>74</v>
      </c>
      <c r="C64" s="189" t="str">
        <f aca="false">GrpH!$O$14</f>
        <v>South Korea</v>
      </c>
      <c r="D64" s="216" t="n">
        <f aca="false">GrpH!$P$14</f>
        <v>0</v>
      </c>
      <c r="E64" s="217" t="n">
        <f aca="false">GrpH!$Q$14</f>
        <v>0</v>
      </c>
      <c r="F64" s="218" t="n">
        <f aca="false">GrpH!$R$14</f>
        <v>0</v>
      </c>
      <c r="G64" s="219" t="s">
        <v>72</v>
      </c>
      <c r="H64" s="220" t="n">
        <f aca="false">GrpH!$S$14</f>
        <v>0</v>
      </c>
      <c r="K64" s="221" t="str">
        <f aca="false">IF(VLOOKUP(GrpH!$O$14,GrpH!$D$18:$J$21,7,0)=0,"",VLOOKUP(GrpH!$O$14,GrpH!$D$18:$J$21,6,0))</f>
        <v/>
      </c>
      <c r="L64" s="182"/>
      <c r="M64" s="182"/>
      <c r="N64" s="222" t="str">
        <f aca="false">IF($AC65=0,"",IF(INDEX($Y61:$AB64,4,$AC65)=0,"",INDEX($AD61:$AG63,INDEX($Y61:$AB64,4,$AC65),1)))</f>
        <v/>
      </c>
      <c r="O64" s="223" t="str">
        <f aca="false">IF($AC65=0,"",IF(INDEX($Y61:$AB64,4,$AC65)=0,"",INDEX($AD61:$AG63,INDEX($Y61:$AB64,4,$AC65),2)))</f>
        <v/>
      </c>
      <c r="P64" s="224" t="str">
        <f aca="false">IF($AC65=0,"",IF(INDEX($Y61:$AB64,4,$AC65)=0,"",INDEX($AD61:$AG63,INDEX($Y61:$AB64,4,$AC65),3)))</f>
        <v/>
      </c>
      <c r="Q64" s="225" t="s">
        <v>72</v>
      </c>
      <c r="R64" s="226" t="str">
        <f aca="false">IF($AC65=0,"",IF(INDEX($Y61:$AB64,4,$AC65)=0,"",INDEX($AD61:$AG63,INDEX($Y61:$AB64,4,$AC65),4)))</f>
        <v/>
      </c>
      <c r="T64" s="227" t="n">
        <f aca="false">SUMIFS(FairPlayPoints1,FairPlayTeams1,$C64)+SUMIFS(FairPlayPoints2,FairPlayTeams2,$C64)</f>
        <v>0</v>
      </c>
      <c r="U64" s="228" t="str">
        <f aca="false">IF($W64&gt;0,"•","")</f>
        <v/>
      </c>
      <c r="W64" s="174" t="n">
        <f aca="false">IF(AND(OR(TRUNC(GrpH!$T$14,4)=TRUNC(GrpH!$T$11,4),TRUNC(GrpH!$T$14,4)=TRUNC(GrpH!$T$12,4),TRUNC(GrpH!$T$14,4)=TRUNC(GrpH!$T$13,4)),VLOOKUP(GrpH!$O$14,GrpH!$O$4:$X$7,10,0)),1,0)</f>
        <v>0</v>
      </c>
      <c r="Y64" s="174" t="n">
        <f aca="false">IF(VLOOKUP($C64,GrpH!$O$17:$V$20,8,0)&gt;0,MATCH($C64,GrpH!$O$17:$O$20,0),0)</f>
        <v>0</v>
      </c>
      <c r="Z64" s="174" t="n">
        <f aca="false">IF(VLOOKUP($C64,GrpH!$O$22:$V$25,8,0)&gt;0,MATCH($C64,GrpH!$O$22:$O$25,0),0)</f>
        <v>0</v>
      </c>
      <c r="AA64" s="174" t="n">
        <f aca="false">IF(VLOOKUP($C64,GrpH!$O$27:$V$30,8,0)&gt;0,MATCH($C64,GrpH!$O$27:$O$30,0),0)</f>
        <v>0</v>
      </c>
      <c r="AB64" s="174" t="n">
        <f aca="false">IF(VLOOKUP($C64,GrpH!$O$32:$V$35,8,0)&gt;0,MATCH($C64,GrpH!$O$32:$O$35,0),0)</f>
        <v>0</v>
      </c>
    </row>
    <row r="65" customFormat="false" ht="15" hidden="false" customHeight="false" outlineLevel="0" collapsed="false">
      <c r="Y65" s="229" t="n">
        <f aca="false">SUM(Y61:Y64)</f>
        <v>0</v>
      </c>
      <c r="Z65" s="229" t="n">
        <f aca="false">SUM(Z61:Z64)</f>
        <v>0</v>
      </c>
      <c r="AA65" s="229" t="n">
        <f aca="false">SUM(AA61:AA64)</f>
        <v>0</v>
      </c>
      <c r="AB65" s="229" t="n">
        <f aca="false">SUM(AB61:AB64)</f>
        <v>0</v>
      </c>
      <c r="AC65" s="174" t="n">
        <f aca="false" t="array" ref="AC65:AC65">MAX(IF($Y65:$AB65&gt;0,COLUMN($Y65:$AB65)-COLUMN(X$1),0))</f>
        <v>0</v>
      </c>
    </row>
    <row r="66" customFormat="false" ht="15" hidden="false" customHeight="false" outlineLevel="0" collapsed="false"/>
    <row r="67" customFormat="false" ht="15" hidden="false" customHeight="false" outlineLevel="0" collapsed="false"/>
  </sheetData>
  <sheetProtection sheet="true" selectLockedCells="true"/>
  <mergeCells count="41">
    <mergeCell ref="B1:U1"/>
    <mergeCell ref="D3:H3"/>
    <mergeCell ref="I3:M3"/>
    <mergeCell ref="N3:R3"/>
    <mergeCell ref="F4:H4"/>
    <mergeCell ref="P4:R4"/>
    <mergeCell ref="D11:H11"/>
    <mergeCell ref="I11:M11"/>
    <mergeCell ref="N11:R11"/>
    <mergeCell ref="F12:H12"/>
    <mergeCell ref="P12:R12"/>
    <mergeCell ref="D19:H19"/>
    <mergeCell ref="I19:M19"/>
    <mergeCell ref="N19:R19"/>
    <mergeCell ref="F20:H20"/>
    <mergeCell ref="P20:R20"/>
    <mergeCell ref="D27:H27"/>
    <mergeCell ref="I27:M27"/>
    <mergeCell ref="N27:R27"/>
    <mergeCell ref="F28:H28"/>
    <mergeCell ref="P28:R28"/>
    <mergeCell ref="D35:H35"/>
    <mergeCell ref="I35:M35"/>
    <mergeCell ref="N35:R35"/>
    <mergeCell ref="F36:H36"/>
    <mergeCell ref="P36:R36"/>
    <mergeCell ref="D43:H43"/>
    <mergeCell ref="I43:M43"/>
    <mergeCell ref="N43:R43"/>
    <mergeCell ref="F44:H44"/>
    <mergeCell ref="P44:R44"/>
    <mergeCell ref="D51:H51"/>
    <mergeCell ref="I51:M51"/>
    <mergeCell ref="N51:R51"/>
    <mergeCell ref="F52:H52"/>
    <mergeCell ref="P52:R52"/>
    <mergeCell ref="D59:H59"/>
    <mergeCell ref="I59:M59"/>
    <mergeCell ref="N59:R59"/>
    <mergeCell ref="F60:H60"/>
    <mergeCell ref="P60:R6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H1" activeCellId="0" sqref="H1"/>
    </sheetView>
  </sheetViews>
  <sheetFormatPr defaultColWidth="11.43359375" defaultRowHeight="15" zeroHeight="true" outlineLevelRow="0" outlineLevelCol="0"/>
  <cols>
    <col collapsed="false" customWidth="true" hidden="false" outlineLevel="0" max="1" min="1" style="11" width="18"/>
    <col collapsed="false" customWidth="true" hidden="true" outlineLevel="0" max="2" min="2" style="11" width="9.71"/>
    <col collapsed="false" customWidth="false" hidden="false" outlineLevel="0" max="3" min="3" style="11" width="11.42"/>
    <col collapsed="false" customWidth="true" hidden="false" outlineLevel="0" max="4" min="4" style="11" width="13.14"/>
    <col collapsed="false" customWidth="true" hidden="true" outlineLevel="0" max="5" min="5" style="11" width="5.14"/>
    <col collapsed="false" customWidth="false" hidden="false" outlineLevel="0" max="6" min="6" style="11" width="11.42"/>
    <col collapsed="false" customWidth="true" hidden="false" outlineLevel="0" max="7" min="7" style="11" width="20.42"/>
    <col collapsed="false" customWidth="true" hidden="false" outlineLevel="0" max="8" min="8" style="11" width="15.57"/>
    <col collapsed="false" customWidth="true" hidden="false" outlineLevel="0" max="9" min="9" style="11" width="17"/>
    <col collapsed="false" customWidth="true" hidden="false" outlineLevel="0" max="10" min="10" style="11" width="14.01"/>
    <col collapsed="false" customWidth="true" hidden="true" outlineLevel="0" max="11" min="11" style="11" width="25.86"/>
    <col collapsed="false" customWidth="true" hidden="true" outlineLevel="0" max="12" min="12" style="11" width="15.88"/>
    <col collapsed="false" customWidth="true" hidden="true" outlineLevel="0" max="13" min="13" style="11" width="16.57"/>
    <col collapsed="false" customWidth="true" hidden="true" outlineLevel="0" max="14" min="14" style="11" width="16.87"/>
    <col collapsed="false" customWidth="false" hidden="true" outlineLevel="0" max="1024" min="15" style="11" width="11.42"/>
  </cols>
  <sheetData>
    <row r="1" customFormat="false" ht="36.75" hidden="false" customHeight="true" outlineLevel="0" collapsed="false">
      <c r="A1" s="245" t="str">
        <f aca="false">Language!$E$118</f>
        <v>Choose time zone</v>
      </c>
      <c r="B1" s="245"/>
      <c r="C1" s="245"/>
      <c r="D1" s="245"/>
      <c r="E1" s="245"/>
      <c r="F1" s="245"/>
      <c r="G1" s="246" t="str">
        <f aca="false">Language!$E$161</f>
        <v>Click here and
choose time zone:</v>
      </c>
      <c r="H1" s="247" t="s">
        <v>75</v>
      </c>
      <c r="I1" s="248" t="s">
        <v>76</v>
      </c>
      <c r="J1" s="248"/>
    </row>
    <row r="2" customFormat="false" ht="15" hidden="false" customHeight="false" outlineLevel="0" collapsed="false"/>
    <row r="3" customFormat="false" ht="15" hidden="false" customHeight="false" outlineLevel="0" collapsed="false">
      <c r="C3" s="249"/>
      <c r="D3" s="41"/>
    </row>
    <row r="4" customFormat="false" ht="15.75" hidden="false" customHeight="false" outlineLevel="0" collapsed="false">
      <c r="B4" s="250" t="n">
        <v>-12</v>
      </c>
      <c r="C4" s="251" t="s">
        <v>77</v>
      </c>
      <c r="D4" s="252" t="s">
        <v>78</v>
      </c>
      <c r="E4" s="253" t="n">
        <f aca="false">$B4/24</f>
        <v>-0.5</v>
      </c>
      <c r="F4" s="254"/>
      <c r="G4" s="255" t="str">
        <f aca="false">Language!$E$165</f>
        <v>For summer time, the time zone must be increased by 1 (e.g. UTC+2 instead of UTC+1)</v>
      </c>
      <c r="H4" s="255"/>
      <c r="I4" s="255"/>
      <c r="J4" s="256"/>
      <c r="K4" s="44"/>
      <c r="L4" s="44"/>
      <c r="M4" s="44"/>
      <c r="N4" s="44"/>
    </row>
    <row r="5" customFormat="false" ht="15" hidden="false" customHeight="true" outlineLevel="0" collapsed="false">
      <c r="B5" s="250" t="n">
        <v>-11</v>
      </c>
      <c r="C5" s="257" t="s">
        <v>79</v>
      </c>
      <c r="D5" s="258"/>
      <c r="E5" s="253" t="n">
        <f aca="false">$B5/24</f>
        <v>-0.458333333333333</v>
      </c>
      <c r="G5" s="255"/>
      <c r="H5" s="255"/>
      <c r="I5" s="255"/>
      <c r="J5" s="259"/>
      <c r="K5" s="260" t="str">
        <f aca="false">Language!$E$162</f>
        <v>Time zone of
the host country:</v>
      </c>
      <c r="L5" s="247" t="s">
        <v>80</v>
      </c>
      <c r="M5" s="261"/>
      <c r="N5" s="261"/>
    </row>
    <row r="6" customFormat="false" ht="15.75" hidden="false" customHeight="false" outlineLevel="0" collapsed="false">
      <c r="B6" s="250" t="n">
        <v>-10</v>
      </c>
      <c r="C6" s="257" t="s">
        <v>81</v>
      </c>
      <c r="D6" s="262" t="s">
        <v>82</v>
      </c>
      <c r="E6" s="253" t="n">
        <f aca="false">$B6/24</f>
        <v>-0.416666666666667</v>
      </c>
      <c r="G6" s="255"/>
      <c r="H6" s="255"/>
      <c r="I6" s="255"/>
      <c r="J6" s="259"/>
      <c r="K6" s="260"/>
      <c r="L6" s="247"/>
      <c r="M6" s="261"/>
      <c r="N6" s="261"/>
    </row>
    <row r="7" customFormat="false" ht="15" hidden="false" customHeight="false" outlineLevel="0" collapsed="false">
      <c r="B7" s="250" t="n">
        <v>-9</v>
      </c>
      <c r="C7" s="257" t="s">
        <v>83</v>
      </c>
      <c r="D7" s="262" t="s">
        <v>84</v>
      </c>
      <c r="E7" s="253" t="n">
        <f aca="false">$B7/24</f>
        <v>-0.375</v>
      </c>
      <c r="G7" s="263"/>
      <c r="I7" s="264"/>
      <c r="J7" s="259"/>
      <c r="K7" s="259"/>
      <c r="L7" s="261"/>
      <c r="M7" s="261"/>
      <c r="N7" s="261"/>
    </row>
    <row r="8" customFormat="false" ht="15" hidden="false" customHeight="false" outlineLevel="0" collapsed="false">
      <c r="B8" s="250" t="n">
        <v>-8</v>
      </c>
      <c r="C8" s="257" t="s">
        <v>85</v>
      </c>
      <c r="D8" s="262" t="s">
        <v>86</v>
      </c>
      <c r="E8" s="253" t="n">
        <f aca="false">$B8/24</f>
        <v>-0.333333333333333</v>
      </c>
      <c r="I8" s="264"/>
      <c r="J8" s="259"/>
      <c r="K8" s="259"/>
      <c r="L8" s="261"/>
      <c r="M8" s="261"/>
      <c r="N8" s="261"/>
    </row>
    <row r="9" customFormat="false" ht="15" hidden="false" customHeight="false" outlineLevel="0" collapsed="false">
      <c r="B9" s="250" t="n">
        <v>-7</v>
      </c>
      <c r="C9" s="257" t="s">
        <v>87</v>
      </c>
      <c r="D9" s="262" t="s">
        <v>88</v>
      </c>
      <c r="E9" s="253" t="n">
        <f aca="false">$B9/24</f>
        <v>-0.291666666666667</v>
      </c>
      <c r="I9" s="264"/>
      <c r="J9" s="259"/>
      <c r="K9" s="259"/>
      <c r="L9" s="261"/>
      <c r="M9" s="261"/>
      <c r="N9" s="261"/>
    </row>
    <row r="10" customFormat="false" ht="15" hidden="false" customHeight="true" outlineLevel="0" collapsed="false">
      <c r="B10" s="250" t="n">
        <v>-6</v>
      </c>
      <c r="C10" s="257" t="s">
        <v>89</v>
      </c>
      <c r="D10" s="262" t="s">
        <v>90</v>
      </c>
      <c r="E10" s="253" t="n">
        <f aca="false">$B10/24</f>
        <v>-0.25</v>
      </c>
      <c r="J10" s="259"/>
      <c r="K10" s="259"/>
      <c r="L10" s="261"/>
      <c r="M10" s="261"/>
      <c r="N10" s="261"/>
    </row>
    <row r="11" customFormat="false" ht="15" hidden="false" customHeight="false" outlineLevel="0" collapsed="false">
      <c r="B11" s="250" t="n">
        <v>-5</v>
      </c>
      <c r="C11" s="257" t="s">
        <v>91</v>
      </c>
      <c r="D11" s="262" t="s">
        <v>92</v>
      </c>
      <c r="E11" s="253" t="n">
        <f aca="false">$B11/24</f>
        <v>-0.208333333333333</v>
      </c>
      <c r="J11" s="264"/>
      <c r="K11" s="259"/>
      <c r="L11" s="261"/>
      <c r="M11" s="261"/>
      <c r="N11" s="261"/>
    </row>
    <row r="12" customFormat="false" ht="15" hidden="false" customHeight="false" outlineLevel="0" collapsed="false">
      <c r="B12" s="250" t="n">
        <v>-4</v>
      </c>
      <c r="C12" s="257" t="s">
        <v>93</v>
      </c>
      <c r="D12" s="262" t="s">
        <v>94</v>
      </c>
      <c r="E12" s="253" t="n">
        <f aca="false">$B12/24</f>
        <v>-0.166666666666667</v>
      </c>
      <c r="J12" s="259"/>
      <c r="K12" s="259"/>
      <c r="L12" s="261"/>
      <c r="M12" s="261"/>
      <c r="N12" s="261"/>
    </row>
    <row r="13" customFormat="false" ht="15" hidden="false" customHeight="false" outlineLevel="0" collapsed="false">
      <c r="B13" s="250" t="n">
        <v>-3.5</v>
      </c>
      <c r="C13" s="257" t="s">
        <v>95</v>
      </c>
      <c r="D13" s="262" t="s">
        <v>96</v>
      </c>
      <c r="E13" s="253" t="n">
        <f aca="false">$B13/24</f>
        <v>-0.145833333333333</v>
      </c>
      <c r="I13" s="264"/>
      <c r="J13" s="259"/>
      <c r="K13" s="259"/>
      <c r="L13" s="261"/>
      <c r="M13" s="261"/>
      <c r="N13" s="261"/>
    </row>
    <row r="14" customFormat="false" ht="15" hidden="false" customHeight="false" outlineLevel="0" collapsed="false">
      <c r="B14" s="250" t="n">
        <v>-3</v>
      </c>
      <c r="C14" s="257" t="s">
        <v>97</v>
      </c>
      <c r="D14" s="258"/>
      <c r="E14" s="253" t="n">
        <f aca="false">$B14/24</f>
        <v>-0.125</v>
      </c>
      <c r="I14" s="264"/>
      <c r="J14" s="259"/>
      <c r="K14" s="259"/>
      <c r="L14" s="261"/>
      <c r="M14" s="261"/>
      <c r="N14" s="261"/>
    </row>
    <row r="15" customFormat="false" ht="15" hidden="false" customHeight="false" outlineLevel="0" collapsed="false">
      <c r="B15" s="250" t="n">
        <v>-2</v>
      </c>
      <c r="C15" s="257" t="s">
        <v>98</v>
      </c>
      <c r="D15" s="258"/>
      <c r="E15" s="253" t="n">
        <f aca="false">$B15/24</f>
        <v>-0.0833333333333333</v>
      </c>
      <c r="I15" s="264"/>
      <c r="J15" s="259"/>
      <c r="K15" s="259"/>
      <c r="L15" s="261"/>
      <c r="M15" s="261"/>
      <c r="N15" s="261"/>
    </row>
    <row r="16" customFormat="false" ht="15" hidden="false" customHeight="false" outlineLevel="0" collapsed="false">
      <c r="B16" s="250" t="n">
        <v>-1</v>
      </c>
      <c r="C16" s="257" t="s">
        <v>99</v>
      </c>
      <c r="D16" s="258"/>
      <c r="E16" s="253" t="n">
        <f aca="false">$B16/24</f>
        <v>-0.0416666666666667</v>
      </c>
      <c r="I16" s="264"/>
      <c r="J16" s="259"/>
      <c r="K16" s="259"/>
      <c r="L16" s="261"/>
      <c r="M16" s="261"/>
      <c r="N16" s="261"/>
    </row>
    <row r="17" customFormat="false" ht="15" hidden="false" customHeight="false" outlineLevel="0" collapsed="false">
      <c r="B17" s="250" t="n">
        <v>0</v>
      </c>
      <c r="C17" s="257" t="s">
        <v>100</v>
      </c>
      <c r="D17" s="262" t="s">
        <v>101</v>
      </c>
      <c r="E17" s="253" t="n">
        <f aca="false">$B17/24</f>
        <v>0</v>
      </c>
      <c r="I17" s="264"/>
      <c r="J17" s="259"/>
      <c r="K17" s="259"/>
      <c r="L17" s="261"/>
      <c r="M17" s="261"/>
      <c r="N17" s="261"/>
    </row>
    <row r="18" customFormat="false" ht="15" hidden="false" customHeight="false" outlineLevel="0" collapsed="false">
      <c r="B18" s="250" t="n">
        <v>1</v>
      </c>
      <c r="C18" s="257" t="s">
        <v>75</v>
      </c>
      <c r="D18" s="262" t="s">
        <v>102</v>
      </c>
      <c r="E18" s="253" t="n">
        <f aca="false">$B18/24</f>
        <v>0.0416666666666667</v>
      </c>
      <c r="I18" s="265"/>
      <c r="J18" s="264"/>
      <c r="K18" s="259"/>
      <c r="L18" s="261"/>
      <c r="M18" s="261"/>
      <c r="N18" s="261"/>
    </row>
    <row r="19" customFormat="false" ht="15" hidden="false" customHeight="false" outlineLevel="0" collapsed="false">
      <c r="B19" s="250" t="n">
        <v>2</v>
      </c>
      <c r="C19" s="257" t="s">
        <v>103</v>
      </c>
      <c r="D19" s="262" t="s">
        <v>104</v>
      </c>
      <c r="E19" s="253" t="n">
        <f aca="false">$B19/24</f>
        <v>0.0833333333333333</v>
      </c>
      <c r="I19" s="264"/>
      <c r="J19" s="259"/>
      <c r="K19" s="259"/>
      <c r="L19" s="261"/>
      <c r="M19" s="261"/>
      <c r="N19" s="261"/>
    </row>
    <row r="20" customFormat="false" ht="15" hidden="false" customHeight="false" outlineLevel="0" collapsed="false">
      <c r="B20" s="250" t="n">
        <v>3</v>
      </c>
      <c r="C20" s="257" t="s">
        <v>80</v>
      </c>
      <c r="D20" s="262" t="s">
        <v>105</v>
      </c>
      <c r="E20" s="253" t="n">
        <f aca="false">$B20/24</f>
        <v>0.125</v>
      </c>
      <c r="I20" s="264"/>
      <c r="J20" s="259"/>
      <c r="K20" s="259"/>
      <c r="L20" s="261"/>
      <c r="M20" s="261"/>
      <c r="N20" s="261"/>
    </row>
    <row r="21" customFormat="false" ht="15" hidden="false" customHeight="false" outlineLevel="0" collapsed="false">
      <c r="B21" s="250" t="n">
        <v>3.5</v>
      </c>
      <c r="C21" s="257" t="s">
        <v>106</v>
      </c>
      <c r="D21" s="262" t="s">
        <v>107</v>
      </c>
      <c r="E21" s="253" t="n">
        <f aca="false">$B21/24</f>
        <v>0.145833333333333</v>
      </c>
      <c r="I21" s="264"/>
      <c r="J21" s="259"/>
      <c r="K21" s="259"/>
      <c r="L21" s="261"/>
      <c r="M21" s="261"/>
      <c r="N21" s="261"/>
    </row>
    <row r="22" customFormat="false" ht="15" hidden="false" customHeight="false" outlineLevel="0" collapsed="false">
      <c r="B22" s="250" t="n">
        <v>4</v>
      </c>
      <c r="C22" s="257" t="s">
        <v>108</v>
      </c>
      <c r="D22" s="258"/>
      <c r="E22" s="253" t="n">
        <f aca="false">$B22/24</f>
        <v>0.166666666666667</v>
      </c>
      <c r="I22" s="264"/>
      <c r="J22" s="259"/>
      <c r="K22" s="259"/>
      <c r="L22" s="261"/>
      <c r="M22" s="261"/>
      <c r="N22" s="261"/>
    </row>
    <row r="23" customFormat="false" ht="15" hidden="false" customHeight="false" outlineLevel="0" collapsed="false">
      <c r="B23" s="250" t="n">
        <v>4.5</v>
      </c>
      <c r="C23" s="257" t="s">
        <v>109</v>
      </c>
      <c r="D23" s="258"/>
      <c r="E23" s="253" t="n">
        <f aca="false">$B23/24</f>
        <v>0.1875</v>
      </c>
      <c r="I23" s="264"/>
      <c r="J23" s="259"/>
      <c r="K23" s="259"/>
      <c r="L23" s="261"/>
      <c r="M23" s="261"/>
      <c r="N23" s="261"/>
    </row>
    <row r="24" customFormat="false" ht="15" hidden="false" customHeight="false" outlineLevel="0" collapsed="false">
      <c r="B24" s="250" t="n">
        <v>5</v>
      </c>
      <c r="C24" s="257" t="s">
        <v>110</v>
      </c>
      <c r="D24" s="258"/>
      <c r="E24" s="253" t="n">
        <f aca="false">$B24/24</f>
        <v>0.208333333333333</v>
      </c>
      <c r="I24" s="264"/>
      <c r="J24" s="259"/>
      <c r="K24" s="259"/>
      <c r="L24" s="261"/>
      <c r="M24" s="261"/>
      <c r="N24" s="261"/>
    </row>
    <row r="25" customFormat="false" ht="15" hidden="false" customHeight="false" outlineLevel="0" collapsed="false">
      <c r="B25" s="250" t="n">
        <v>5.5</v>
      </c>
      <c r="C25" s="257" t="s">
        <v>111</v>
      </c>
      <c r="D25" s="262" t="s">
        <v>112</v>
      </c>
      <c r="E25" s="253" t="n">
        <f aca="false">$B25/24</f>
        <v>0.229166666666667</v>
      </c>
      <c r="I25" s="265"/>
      <c r="J25" s="264"/>
      <c r="K25" s="259"/>
      <c r="L25" s="261"/>
      <c r="M25" s="261"/>
      <c r="N25" s="261"/>
    </row>
    <row r="26" customFormat="false" ht="15" hidden="false" customHeight="false" outlineLevel="0" collapsed="false">
      <c r="B26" s="250" t="n">
        <v>5.75</v>
      </c>
      <c r="C26" s="257" t="s">
        <v>113</v>
      </c>
      <c r="D26" s="258"/>
      <c r="E26" s="253" t="n">
        <f aca="false">$B26/24</f>
        <v>0.239583333333333</v>
      </c>
      <c r="I26" s="264"/>
      <c r="J26" s="259"/>
      <c r="K26" s="259"/>
      <c r="L26" s="261"/>
      <c r="M26" s="261"/>
      <c r="N26" s="261"/>
    </row>
    <row r="27" customFormat="false" ht="15" hidden="false" customHeight="false" outlineLevel="0" collapsed="false">
      <c r="B27" s="250" t="n">
        <v>6</v>
      </c>
      <c r="C27" s="257" t="s">
        <v>114</v>
      </c>
      <c r="D27" s="258"/>
      <c r="E27" s="253" t="n">
        <f aca="false">$B27/24</f>
        <v>0.25</v>
      </c>
      <c r="I27" s="264"/>
      <c r="J27" s="259"/>
      <c r="K27" s="259"/>
      <c r="L27" s="261"/>
      <c r="M27" s="261"/>
      <c r="N27" s="261"/>
    </row>
    <row r="28" customFormat="false" ht="15" hidden="false" customHeight="false" outlineLevel="0" collapsed="false">
      <c r="B28" s="250" t="n">
        <v>6.5</v>
      </c>
      <c r="C28" s="257" t="s">
        <v>115</v>
      </c>
      <c r="D28" s="258"/>
      <c r="E28" s="253" t="n">
        <f aca="false">$B28/24</f>
        <v>0.270833333333333</v>
      </c>
      <c r="I28" s="264"/>
      <c r="J28" s="259"/>
      <c r="K28" s="259"/>
      <c r="L28" s="261"/>
      <c r="M28" s="261"/>
      <c r="N28" s="261"/>
    </row>
    <row r="29" customFormat="false" ht="15" hidden="false" customHeight="false" outlineLevel="0" collapsed="false">
      <c r="B29" s="250" t="n">
        <v>7</v>
      </c>
      <c r="C29" s="257" t="s">
        <v>116</v>
      </c>
      <c r="D29" s="262" t="s">
        <v>117</v>
      </c>
      <c r="E29" s="253" t="n">
        <f aca="false">$B29/24</f>
        <v>0.291666666666667</v>
      </c>
      <c r="I29" s="264"/>
      <c r="J29" s="259"/>
      <c r="K29" s="259"/>
      <c r="L29" s="261"/>
      <c r="M29" s="261"/>
      <c r="N29" s="261"/>
    </row>
    <row r="30" customFormat="false" ht="15" hidden="false" customHeight="false" outlineLevel="0" collapsed="false">
      <c r="B30" s="250" t="n">
        <v>8</v>
      </c>
      <c r="C30" s="257" t="s">
        <v>118</v>
      </c>
      <c r="D30" s="262" t="s">
        <v>119</v>
      </c>
      <c r="E30" s="253" t="n">
        <f aca="false">$B30/24</f>
        <v>0.333333333333333</v>
      </c>
      <c r="I30" s="264"/>
      <c r="J30" s="259"/>
      <c r="K30" s="259"/>
      <c r="L30" s="261"/>
      <c r="M30" s="261"/>
      <c r="N30" s="261"/>
    </row>
    <row r="31" customFormat="false" ht="15" hidden="false" customHeight="false" outlineLevel="0" collapsed="false">
      <c r="B31" s="250" t="n">
        <v>9</v>
      </c>
      <c r="C31" s="257" t="s">
        <v>120</v>
      </c>
      <c r="D31" s="262" t="s">
        <v>121</v>
      </c>
      <c r="E31" s="253" t="n">
        <f aca="false">$B31/24</f>
        <v>0.375</v>
      </c>
      <c r="I31" s="264"/>
      <c r="J31" s="259"/>
      <c r="K31" s="259"/>
      <c r="L31" s="261"/>
      <c r="M31" s="261"/>
      <c r="N31" s="261"/>
    </row>
    <row r="32" customFormat="false" ht="15" hidden="false" customHeight="false" outlineLevel="0" collapsed="false">
      <c r="B32" s="250" t="n">
        <v>9.5</v>
      </c>
      <c r="C32" s="257" t="s">
        <v>122</v>
      </c>
      <c r="D32" s="262" t="s">
        <v>123</v>
      </c>
      <c r="E32" s="253" t="n">
        <f aca="false">$B32/24</f>
        <v>0.395833333333333</v>
      </c>
      <c r="I32" s="265"/>
      <c r="J32" s="264"/>
      <c r="K32" s="259"/>
      <c r="L32" s="261"/>
      <c r="M32" s="261"/>
      <c r="N32" s="261"/>
    </row>
    <row r="33" customFormat="false" ht="15" hidden="false" customHeight="false" outlineLevel="0" collapsed="false">
      <c r="B33" s="250" t="n">
        <v>10</v>
      </c>
      <c r="C33" s="257" t="s">
        <v>124</v>
      </c>
      <c r="D33" s="258"/>
      <c r="E33" s="253" t="n">
        <f aca="false">$B33/24</f>
        <v>0.416666666666667</v>
      </c>
      <c r="I33" s="264"/>
      <c r="J33" s="259"/>
      <c r="K33" s="259"/>
      <c r="L33" s="261"/>
      <c r="M33" s="261"/>
      <c r="N33" s="261"/>
    </row>
    <row r="34" customFormat="false" ht="15" hidden="false" customHeight="false" outlineLevel="0" collapsed="false">
      <c r="B34" s="250" t="n">
        <v>10.5</v>
      </c>
      <c r="C34" s="257" t="s">
        <v>125</v>
      </c>
      <c r="D34" s="258"/>
      <c r="E34" s="253" t="n">
        <f aca="false">$B34/24</f>
        <v>0.4375</v>
      </c>
      <c r="I34" s="264"/>
      <c r="J34" s="259"/>
      <c r="K34" s="259"/>
      <c r="L34" s="261"/>
      <c r="M34" s="261"/>
      <c r="N34" s="261"/>
    </row>
    <row r="35" customFormat="false" ht="15" hidden="false" customHeight="false" outlineLevel="0" collapsed="false">
      <c r="B35" s="250" t="n">
        <v>11</v>
      </c>
      <c r="C35" s="257" t="s">
        <v>126</v>
      </c>
      <c r="D35" s="258"/>
      <c r="E35" s="253" t="n">
        <f aca="false">$B35/24</f>
        <v>0.458333333333333</v>
      </c>
      <c r="I35" s="264"/>
      <c r="J35" s="259"/>
      <c r="K35" s="259"/>
      <c r="L35" s="261"/>
      <c r="M35" s="261"/>
      <c r="N35" s="261"/>
    </row>
    <row r="36" customFormat="false" ht="15" hidden="false" customHeight="false" outlineLevel="0" collapsed="false">
      <c r="B36" s="250" t="n">
        <v>12</v>
      </c>
      <c r="C36" s="257" t="s">
        <v>127</v>
      </c>
      <c r="D36" s="262" t="s">
        <v>128</v>
      </c>
      <c r="E36" s="253" t="n">
        <f aca="false">$B36/24</f>
        <v>0.5</v>
      </c>
      <c r="I36" s="264"/>
      <c r="J36" s="259"/>
      <c r="K36" s="259"/>
      <c r="L36" s="261"/>
      <c r="M36" s="261"/>
      <c r="N36" s="261"/>
    </row>
    <row r="37" customFormat="false" ht="15" hidden="false" customHeight="false" outlineLevel="0" collapsed="false">
      <c r="B37" s="250" t="n">
        <v>12.75</v>
      </c>
      <c r="C37" s="257" t="s">
        <v>129</v>
      </c>
      <c r="D37" s="258"/>
      <c r="E37" s="253" t="n">
        <f aca="false">$B37/24</f>
        <v>0.53125</v>
      </c>
      <c r="I37" s="264"/>
      <c r="J37" s="259"/>
      <c r="K37" s="259"/>
      <c r="L37" s="261"/>
      <c r="M37" s="261"/>
      <c r="N37" s="261"/>
    </row>
    <row r="38" customFormat="false" ht="15" hidden="false" customHeight="false" outlineLevel="0" collapsed="false">
      <c r="B38" s="250" t="n">
        <v>13</v>
      </c>
      <c r="C38" s="257" t="s">
        <v>130</v>
      </c>
      <c r="D38" s="258"/>
      <c r="E38" s="253" t="n">
        <f aca="false">$B38/24</f>
        <v>0.541666666666667</v>
      </c>
      <c r="I38" s="264"/>
      <c r="J38" s="259"/>
      <c r="K38" s="259"/>
      <c r="L38" s="261"/>
      <c r="M38" s="261"/>
      <c r="N38" s="261"/>
    </row>
    <row r="39" customFormat="false" ht="15" hidden="false" customHeight="false" outlineLevel="0" collapsed="false">
      <c r="B39" s="250" t="n">
        <v>14</v>
      </c>
      <c r="C39" s="266" t="s">
        <v>131</v>
      </c>
      <c r="D39" s="267"/>
      <c r="E39" s="253" t="n">
        <f aca="false">$B39/24</f>
        <v>0.583333333333333</v>
      </c>
      <c r="I39" s="265"/>
      <c r="J39" s="259"/>
      <c r="K39" s="259"/>
      <c r="L39" s="261"/>
      <c r="M39" s="261"/>
      <c r="N39" s="261"/>
    </row>
    <row r="40" customFormat="false" ht="15" hidden="false" customHeight="false" outlineLevel="0" collapsed="false">
      <c r="I40" s="264"/>
      <c r="J40" s="259"/>
      <c r="K40" s="259"/>
      <c r="L40" s="261"/>
      <c r="M40" s="261"/>
      <c r="N40" s="261"/>
    </row>
    <row r="41" customFormat="false" ht="15" hidden="true" customHeight="false" outlineLevel="0" collapsed="false">
      <c r="I41" s="264"/>
      <c r="J41" s="259"/>
      <c r="K41" s="259"/>
      <c r="L41" s="261"/>
      <c r="M41" s="261"/>
      <c r="N41" s="261"/>
    </row>
    <row r="42" customFormat="false" ht="15" hidden="true" customHeight="false" outlineLevel="0" collapsed="false">
      <c r="I42" s="264"/>
      <c r="J42" s="259"/>
      <c r="K42" s="259"/>
      <c r="L42" s="261"/>
      <c r="M42" s="261"/>
      <c r="N42" s="261"/>
    </row>
    <row r="43" customFormat="false" ht="15" hidden="true" customHeight="false" outlineLevel="0" collapsed="false">
      <c r="I43" s="264"/>
      <c r="J43" s="259"/>
      <c r="K43" s="259"/>
      <c r="L43" s="261"/>
      <c r="M43" s="261"/>
      <c r="N43" s="261"/>
    </row>
    <row r="44" customFormat="false" ht="15" hidden="true" customHeight="false" outlineLevel="0" collapsed="false">
      <c r="I44" s="264"/>
      <c r="J44" s="259"/>
      <c r="K44" s="259"/>
      <c r="L44" s="261"/>
      <c r="M44" s="261"/>
      <c r="N44" s="261"/>
    </row>
    <row r="45" customFormat="false" ht="15" hidden="true" customHeight="false" outlineLevel="0" collapsed="false">
      <c r="I45" s="264"/>
      <c r="J45" s="259"/>
      <c r="K45" s="259"/>
      <c r="L45" s="261"/>
      <c r="M45" s="261"/>
      <c r="N45" s="261"/>
    </row>
    <row r="46" customFormat="false" ht="15" hidden="true" customHeight="false" outlineLevel="0" collapsed="false">
      <c r="I46" s="265"/>
      <c r="J46" s="264"/>
      <c r="K46" s="259"/>
      <c r="L46" s="261"/>
      <c r="M46" s="261"/>
      <c r="N46" s="261"/>
    </row>
    <row r="47" customFormat="false" ht="15" hidden="true" customHeight="false" outlineLevel="0" collapsed="false">
      <c r="I47" s="264"/>
      <c r="J47" s="259"/>
      <c r="K47" s="259"/>
      <c r="L47" s="261"/>
      <c r="M47" s="261"/>
      <c r="N47" s="261"/>
    </row>
    <row r="48" customFormat="false" ht="15" hidden="true" customHeight="false" outlineLevel="0" collapsed="false">
      <c r="I48" s="264"/>
      <c r="J48" s="259"/>
      <c r="K48" s="259"/>
      <c r="L48" s="261"/>
      <c r="M48" s="261"/>
      <c r="N48" s="261"/>
    </row>
    <row r="49" customFormat="false" ht="15" hidden="true" customHeight="false" outlineLevel="0" collapsed="false">
      <c r="I49" s="264"/>
      <c r="J49" s="259"/>
      <c r="K49" s="259"/>
      <c r="L49" s="261"/>
      <c r="M49" s="261"/>
      <c r="N49" s="261"/>
    </row>
    <row r="50" customFormat="false" ht="15" hidden="true" customHeight="false" outlineLevel="0" collapsed="false">
      <c r="I50" s="264"/>
      <c r="J50" s="259"/>
      <c r="K50" s="259"/>
      <c r="L50" s="261"/>
      <c r="M50" s="261"/>
      <c r="N50" s="261"/>
    </row>
    <row r="51" customFormat="false" ht="15" hidden="true" customHeight="false" outlineLevel="0" collapsed="false">
      <c r="I51" s="264"/>
      <c r="J51" s="259"/>
      <c r="K51" s="259"/>
      <c r="L51" s="261"/>
      <c r="M51" s="261"/>
      <c r="N51" s="261"/>
    </row>
    <row r="52" customFormat="false" ht="15" hidden="true" customHeight="false" outlineLevel="0" collapsed="false">
      <c r="I52" s="264"/>
      <c r="J52" s="259"/>
      <c r="K52" s="259"/>
      <c r="L52" s="261"/>
      <c r="M52" s="261"/>
      <c r="N52" s="261"/>
    </row>
    <row r="53" customFormat="false" ht="15" hidden="true" customHeight="false" outlineLevel="0" collapsed="false">
      <c r="I53" s="265"/>
      <c r="J53" s="264"/>
      <c r="K53" s="259"/>
      <c r="L53" s="261"/>
      <c r="M53" s="261"/>
      <c r="N53" s="261"/>
    </row>
    <row r="54" customFormat="false" ht="15" hidden="true" customHeight="false" outlineLevel="0" collapsed="false">
      <c r="I54" s="264"/>
      <c r="J54" s="259"/>
      <c r="K54" s="259"/>
      <c r="L54" s="261"/>
      <c r="M54" s="261"/>
      <c r="N54" s="261"/>
    </row>
    <row r="55" customFormat="false" ht="15" hidden="true" customHeight="false" outlineLevel="0" collapsed="false">
      <c r="I55" s="264"/>
      <c r="J55" s="259"/>
      <c r="K55" s="259"/>
      <c r="L55" s="261"/>
      <c r="M55" s="261"/>
      <c r="N55" s="261"/>
    </row>
    <row r="56" customFormat="false" ht="15" hidden="true" customHeight="false" outlineLevel="0" collapsed="false">
      <c r="I56" s="264"/>
      <c r="J56" s="259"/>
      <c r="K56" s="259"/>
      <c r="L56" s="261"/>
      <c r="M56" s="261"/>
      <c r="N56" s="261"/>
    </row>
    <row r="57" customFormat="false" ht="15" hidden="true" customHeight="false" outlineLevel="0" collapsed="false">
      <c r="I57" s="264"/>
      <c r="J57" s="259"/>
      <c r="K57" s="259"/>
      <c r="L57" s="261"/>
      <c r="M57" s="261"/>
      <c r="N57" s="261"/>
    </row>
    <row r="58" customFormat="false" ht="15" hidden="true" customHeight="false" outlineLevel="0" collapsed="false">
      <c r="I58" s="264"/>
      <c r="J58" s="259"/>
      <c r="K58" s="259"/>
      <c r="L58" s="261"/>
      <c r="M58" s="261"/>
      <c r="N58" s="261"/>
    </row>
    <row r="59" customFormat="false" ht="15" hidden="true" customHeight="false" outlineLevel="0" collapsed="false">
      <c r="I59" s="264"/>
      <c r="J59" s="259"/>
      <c r="K59" s="259"/>
      <c r="L59" s="261"/>
      <c r="M59" s="261"/>
      <c r="N59" s="261"/>
    </row>
    <row r="60" customFormat="false" ht="15" hidden="true" customHeight="false" outlineLevel="0" collapsed="false">
      <c r="I60" s="268"/>
      <c r="J60" s="264"/>
      <c r="K60" s="259"/>
      <c r="L60" s="261"/>
      <c r="M60" s="261"/>
      <c r="N60" s="261"/>
    </row>
    <row r="61" customFormat="false" ht="15" hidden="true" customHeight="false" outlineLevel="0" collapsed="false">
      <c r="I61" s="264"/>
      <c r="J61" s="259"/>
      <c r="K61" s="259"/>
      <c r="L61" s="261"/>
      <c r="M61" s="261"/>
      <c r="N61" s="261"/>
    </row>
    <row r="62" customFormat="false" ht="15" hidden="true" customHeight="false" outlineLevel="0" collapsed="false">
      <c r="I62" s="264"/>
      <c r="J62" s="259"/>
      <c r="K62" s="259"/>
      <c r="L62" s="261"/>
      <c r="M62" s="261"/>
      <c r="N62" s="261"/>
    </row>
    <row r="63" customFormat="false" ht="15" hidden="true" customHeight="false" outlineLevel="0" collapsed="false">
      <c r="I63" s="264"/>
      <c r="J63" s="259"/>
      <c r="K63" s="259"/>
      <c r="L63" s="261"/>
      <c r="M63" s="261"/>
      <c r="N63" s="261"/>
    </row>
    <row r="64" customFormat="false" ht="15" hidden="true" customHeight="false" outlineLevel="0" collapsed="false">
      <c r="I64" s="264"/>
      <c r="J64" s="259"/>
      <c r="K64" s="259"/>
      <c r="L64" s="261"/>
      <c r="M64" s="261"/>
      <c r="N64" s="261"/>
    </row>
    <row r="65" customFormat="false" ht="15" hidden="true" customHeight="false" outlineLevel="0" collapsed="false">
      <c r="I65" s="264"/>
      <c r="J65" s="259"/>
      <c r="K65" s="259"/>
      <c r="L65" s="261"/>
      <c r="M65" s="261"/>
      <c r="N65" s="261"/>
    </row>
    <row r="66" customFormat="false" ht="15" hidden="true" customHeight="false" outlineLevel="0" collapsed="false">
      <c r="I66" s="264"/>
      <c r="J66" s="259"/>
      <c r="K66" s="259"/>
      <c r="L66" s="261"/>
      <c r="M66" s="261"/>
      <c r="N66" s="261"/>
    </row>
    <row r="67" customFormat="false" ht="15" hidden="true" customHeight="false" outlineLevel="0" collapsed="false">
      <c r="I67" s="264"/>
      <c r="J67" s="259"/>
      <c r="K67" s="259"/>
      <c r="L67" s="261"/>
      <c r="M67" s="261"/>
      <c r="N67" s="261"/>
    </row>
    <row r="68" customFormat="false" ht="15" hidden="true" customHeight="false" outlineLevel="0" collapsed="false">
      <c r="I68" s="264"/>
      <c r="J68" s="259"/>
      <c r="K68" s="259"/>
      <c r="L68" s="261"/>
      <c r="M68" s="261"/>
      <c r="N68" s="261"/>
    </row>
    <row r="69" customFormat="false" ht="15" hidden="true" customHeight="false" outlineLevel="0" collapsed="false">
      <c r="I69" s="268"/>
      <c r="J69" s="264"/>
      <c r="K69" s="259"/>
      <c r="L69" s="261"/>
      <c r="M69" s="261"/>
      <c r="N69" s="261"/>
    </row>
    <row r="70" customFormat="false" ht="15" hidden="true" customHeight="false" outlineLevel="0" collapsed="false">
      <c r="I70" s="264"/>
      <c r="J70" s="259"/>
      <c r="K70" s="259"/>
      <c r="L70" s="261"/>
      <c r="M70" s="261"/>
      <c r="N70" s="261"/>
    </row>
    <row r="71" customFormat="false" ht="15" hidden="true" customHeight="false" outlineLevel="0" collapsed="false">
      <c r="I71" s="264"/>
      <c r="J71" s="259"/>
      <c r="K71" s="259"/>
      <c r="L71" s="261"/>
      <c r="M71" s="261"/>
      <c r="N71" s="261"/>
    </row>
    <row r="72" customFormat="false" ht="15" hidden="true" customHeight="false" outlineLevel="0" collapsed="false">
      <c r="I72" s="264"/>
      <c r="J72" s="259"/>
      <c r="K72" s="259"/>
      <c r="L72" s="261"/>
      <c r="M72" s="261"/>
      <c r="N72" s="261"/>
    </row>
    <row r="73" customFormat="false" ht="15" hidden="true" customHeight="false" outlineLevel="0" collapsed="false">
      <c r="I73" s="264"/>
      <c r="J73" s="259"/>
      <c r="K73" s="259"/>
      <c r="L73" s="261"/>
      <c r="M73" s="261"/>
      <c r="N73" s="261"/>
    </row>
    <row r="74" customFormat="false" ht="15" hidden="true" customHeight="false" outlineLevel="0" collapsed="false">
      <c r="I74" s="268"/>
      <c r="J74" s="264"/>
      <c r="K74" s="259"/>
      <c r="L74" s="261"/>
      <c r="M74" s="261"/>
      <c r="N74" s="261"/>
    </row>
    <row r="75" customFormat="false" ht="15" hidden="true" customHeight="false" outlineLevel="0" collapsed="false">
      <c r="I75" s="264"/>
      <c r="J75" s="259"/>
      <c r="K75" s="259"/>
      <c r="L75" s="261"/>
      <c r="M75" s="261"/>
      <c r="N75" s="261"/>
    </row>
    <row r="76" customFormat="false" ht="15" hidden="true" customHeight="false" outlineLevel="0" collapsed="false">
      <c r="I76" s="264"/>
      <c r="J76" s="259"/>
      <c r="K76" s="259"/>
      <c r="L76" s="261"/>
      <c r="M76" s="261"/>
      <c r="N76" s="261"/>
    </row>
    <row r="77" customFormat="false" ht="15" hidden="true" customHeight="false" outlineLevel="0" collapsed="false">
      <c r="I77" s="268"/>
      <c r="J77" s="264"/>
      <c r="K77" s="259"/>
      <c r="L77" s="261"/>
      <c r="M77" s="261"/>
      <c r="N77" s="261"/>
    </row>
    <row r="78" customFormat="false" ht="15" hidden="true" customHeight="false" outlineLevel="0" collapsed="false">
      <c r="I78" s="264"/>
      <c r="J78" s="259"/>
      <c r="K78" s="259"/>
      <c r="L78" s="261"/>
      <c r="M78" s="261"/>
      <c r="N78" s="261"/>
    </row>
    <row r="79" customFormat="false" ht="15" hidden="true" customHeight="false" outlineLevel="0" collapsed="false">
      <c r="I79" s="268"/>
      <c r="J79" s="264"/>
      <c r="K79" s="259"/>
      <c r="L79" s="261"/>
      <c r="M79" s="261"/>
      <c r="N79" s="261"/>
    </row>
    <row r="80" customFormat="false" ht="15" hidden="true" customHeight="false" outlineLevel="0" collapsed="false">
      <c r="I80" s="264"/>
      <c r="J80" s="259"/>
      <c r="K80" s="259"/>
      <c r="L80" s="261"/>
      <c r="M80" s="261"/>
      <c r="N80" s="261"/>
    </row>
  </sheetData>
  <sheetProtection sheet="true" objects="true" scenarios="true" selectLockedCells="true"/>
  <mergeCells count="4">
    <mergeCell ref="A1:F1"/>
    <mergeCell ref="G4:I6"/>
    <mergeCell ref="K5:K6"/>
    <mergeCell ref="L5:L6"/>
  </mergeCells>
  <conditionalFormatting sqref="C18:D18">
    <cfRule type="expression" priority="2" aboveAverage="0" equalAverage="0" bottom="0" percent="0" rank="0" text="" dxfId="172">
      <formula>$H$1=$C18</formula>
    </cfRule>
  </conditionalFormatting>
  <conditionalFormatting sqref="C4:D4">
    <cfRule type="expression" priority="3" aboveAverage="0" equalAverage="0" bottom="0" percent="0" rank="0" text="" dxfId="173">
      <formula>$H$1=$C4</formula>
    </cfRule>
  </conditionalFormatting>
  <conditionalFormatting sqref="C5:D5">
    <cfRule type="expression" priority="4" aboveAverage="0" equalAverage="0" bottom="0" percent="0" rank="0" text="" dxfId="174">
      <formula>$H$1=$C5</formula>
    </cfRule>
  </conditionalFormatting>
  <conditionalFormatting sqref="C6:D6">
    <cfRule type="expression" priority="5" aboveAverage="0" equalAverage="0" bottom="0" percent="0" rank="0" text="" dxfId="175">
      <formula>$H$1=$C6</formula>
    </cfRule>
  </conditionalFormatting>
  <conditionalFormatting sqref="C7:D7">
    <cfRule type="expression" priority="6" aboveAverage="0" equalAverage="0" bottom="0" percent="0" rank="0" text="" dxfId="176">
      <formula>$H$1=$C7</formula>
    </cfRule>
  </conditionalFormatting>
  <conditionalFormatting sqref="C8:D8">
    <cfRule type="expression" priority="7" aboveAverage="0" equalAverage="0" bottom="0" percent="0" rank="0" text="" dxfId="177">
      <formula>$H$1=$C8</formula>
    </cfRule>
  </conditionalFormatting>
  <conditionalFormatting sqref="C9:D9">
    <cfRule type="expression" priority="8" aboveAverage="0" equalAverage="0" bottom="0" percent="0" rank="0" text="" dxfId="178">
      <formula>$H$1=$C9</formula>
    </cfRule>
  </conditionalFormatting>
  <conditionalFormatting sqref="C10:D10">
    <cfRule type="expression" priority="9" aboveAverage="0" equalAverage="0" bottom="0" percent="0" rank="0" text="" dxfId="179">
      <formula>$H$1=$C10</formula>
    </cfRule>
  </conditionalFormatting>
  <conditionalFormatting sqref="C11:D11">
    <cfRule type="expression" priority="10" aboveAverage="0" equalAverage="0" bottom="0" percent="0" rank="0" text="" dxfId="180">
      <formula>$H$1=$C11</formula>
    </cfRule>
  </conditionalFormatting>
  <conditionalFormatting sqref="C12:D12">
    <cfRule type="expression" priority="11" aboveAverage="0" equalAverage="0" bottom="0" percent="0" rank="0" text="" dxfId="181">
      <formula>$H$1=$C12</formula>
    </cfRule>
  </conditionalFormatting>
  <conditionalFormatting sqref="C13:D13">
    <cfRule type="expression" priority="12" aboveAverage="0" equalAverage="0" bottom="0" percent="0" rank="0" text="" dxfId="182">
      <formula>$H$1=$C13</formula>
    </cfRule>
  </conditionalFormatting>
  <conditionalFormatting sqref="C14:D14">
    <cfRule type="expression" priority="13" aboveAverage="0" equalAverage="0" bottom="0" percent="0" rank="0" text="" dxfId="183">
      <formula>$H$1=$C14</formula>
    </cfRule>
  </conditionalFormatting>
  <conditionalFormatting sqref="C15:D15">
    <cfRule type="expression" priority="14" aboveAverage="0" equalAverage="0" bottom="0" percent="0" rank="0" text="" dxfId="184">
      <formula>$H$1=$C15</formula>
    </cfRule>
  </conditionalFormatting>
  <conditionalFormatting sqref="C16:D16">
    <cfRule type="expression" priority="15" aboveAverage="0" equalAverage="0" bottom="0" percent="0" rank="0" text="" dxfId="185">
      <formula>$H$1=$C16</formula>
    </cfRule>
  </conditionalFormatting>
  <conditionalFormatting sqref="C17:D17">
    <cfRule type="expression" priority="16" aboveAverage="0" equalAverage="0" bottom="0" percent="0" rank="0" text="" dxfId="186">
      <formula>$H$1=$C17</formula>
    </cfRule>
  </conditionalFormatting>
  <conditionalFormatting sqref="C19:D19">
    <cfRule type="expression" priority="17" aboveAverage="0" equalAverage="0" bottom="0" percent="0" rank="0" text="" dxfId="187">
      <formula>$H$1=$C19</formula>
    </cfRule>
  </conditionalFormatting>
  <conditionalFormatting sqref="C21:D21">
    <cfRule type="expression" priority="18" aboveAverage="0" equalAverage="0" bottom="0" percent="0" rank="0" text="" dxfId="188">
      <formula>$H$1=$C21</formula>
    </cfRule>
  </conditionalFormatting>
  <conditionalFormatting sqref="C20:D20">
    <cfRule type="expression" priority="19" aboveAverage="0" equalAverage="0" bottom="0" percent="0" rank="0" text="" dxfId="189">
      <formula>$H$1=$C20</formula>
    </cfRule>
  </conditionalFormatting>
  <conditionalFormatting sqref="C22:D22">
    <cfRule type="expression" priority="20" aboveAverage="0" equalAverage="0" bottom="0" percent="0" rank="0" text="" dxfId="190">
      <formula>$H$1=$C22</formula>
    </cfRule>
  </conditionalFormatting>
  <conditionalFormatting sqref="C23:D23">
    <cfRule type="expression" priority="21" aboveAverage="0" equalAverage="0" bottom="0" percent="0" rank="0" text="" dxfId="191">
      <formula>$H$1=$C23</formula>
    </cfRule>
  </conditionalFormatting>
  <conditionalFormatting sqref="C24:D24">
    <cfRule type="expression" priority="22" aboveAverage="0" equalAverage="0" bottom="0" percent="0" rank="0" text="" dxfId="192">
      <formula>$H$1=$C24</formula>
    </cfRule>
  </conditionalFormatting>
  <conditionalFormatting sqref="C25:D25">
    <cfRule type="expression" priority="23" aboveAverage="0" equalAverage="0" bottom="0" percent="0" rank="0" text="" dxfId="193">
      <formula>$H$1=$C25</formula>
    </cfRule>
  </conditionalFormatting>
  <conditionalFormatting sqref="C26:D26">
    <cfRule type="expression" priority="24" aboveAverage="0" equalAverage="0" bottom="0" percent="0" rank="0" text="" dxfId="194">
      <formula>$H$1=$C26</formula>
    </cfRule>
  </conditionalFormatting>
  <conditionalFormatting sqref="C27:D27">
    <cfRule type="expression" priority="25" aboveAverage="0" equalAverage="0" bottom="0" percent="0" rank="0" text="" dxfId="195">
      <formula>$H$1=$C27</formula>
    </cfRule>
  </conditionalFormatting>
  <conditionalFormatting sqref="C28:D28">
    <cfRule type="expression" priority="26" aboveAverage="0" equalAverage="0" bottom="0" percent="0" rank="0" text="" dxfId="196">
      <formula>$H$1=$C28</formula>
    </cfRule>
  </conditionalFormatting>
  <conditionalFormatting sqref="C29:D29">
    <cfRule type="expression" priority="27" aboveAverage="0" equalAverage="0" bottom="0" percent="0" rank="0" text="" dxfId="197">
      <formula>$H$1=$C29</formula>
    </cfRule>
  </conditionalFormatting>
  <conditionalFormatting sqref="C30:D30">
    <cfRule type="expression" priority="28" aboveAverage="0" equalAverage="0" bottom="0" percent="0" rank="0" text="" dxfId="198">
      <formula>$H$1=$C30</formula>
    </cfRule>
  </conditionalFormatting>
  <conditionalFormatting sqref="C31:D31">
    <cfRule type="expression" priority="29" aboveAverage="0" equalAverage="0" bottom="0" percent="0" rank="0" text="" dxfId="199">
      <formula>$H$1=$C31</formula>
    </cfRule>
  </conditionalFormatting>
  <conditionalFormatting sqref="C32:D32">
    <cfRule type="expression" priority="30" aboveAverage="0" equalAverage="0" bottom="0" percent="0" rank="0" text="" dxfId="200">
      <formula>$H$1=$C32</formula>
    </cfRule>
  </conditionalFormatting>
  <conditionalFormatting sqref="C33:D33">
    <cfRule type="expression" priority="31" aboveAverage="0" equalAverage="0" bottom="0" percent="0" rank="0" text="" dxfId="201">
      <formula>$H$1=$C33</formula>
    </cfRule>
  </conditionalFormatting>
  <conditionalFormatting sqref="C34:D34">
    <cfRule type="expression" priority="32" aboveAverage="0" equalAverage="0" bottom="0" percent="0" rank="0" text="" dxfId="202">
      <formula>$H$1=$C34</formula>
    </cfRule>
  </conditionalFormatting>
  <conditionalFormatting sqref="C35:D35">
    <cfRule type="expression" priority="33" aboveAverage="0" equalAverage="0" bottom="0" percent="0" rank="0" text="" dxfId="203">
      <formula>$H$1=$C35</formula>
    </cfRule>
  </conditionalFormatting>
  <conditionalFormatting sqref="C36:D36">
    <cfRule type="expression" priority="34" aboveAverage="0" equalAverage="0" bottom="0" percent="0" rank="0" text="" dxfId="204">
      <formula>$H$1=$C36</formula>
    </cfRule>
  </conditionalFormatting>
  <conditionalFormatting sqref="C37:D37">
    <cfRule type="expression" priority="35" aboveAverage="0" equalAverage="0" bottom="0" percent="0" rank="0" text="" dxfId="205">
      <formula>$H$1=$C37</formula>
    </cfRule>
  </conditionalFormatting>
  <conditionalFormatting sqref="C38:D38">
    <cfRule type="expression" priority="36" aboveAverage="0" equalAverage="0" bottom="0" percent="0" rank="0" text="" dxfId="206">
      <formula>$H$1=$C38</formula>
    </cfRule>
  </conditionalFormatting>
  <conditionalFormatting sqref="C39:D39">
    <cfRule type="expression" priority="37" aboveAverage="0" equalAverage="0" bottom="0" percent="0" rank="0" text="" dxfId="207">
      <formula>$H$1=$C39</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N1" activeCellId="0" sqref="N1"/>
    </sheetView>
  </sheetViews>
  <sheetFormatPr defaultColWidth="11.43359375" defaultRowHeight="15" zeroHeight="true" outlineLevelRow="0" outlineLevelCol="0"/>
  <cols>
    <col collapsed="false" customWidth="true" hidden="false" outlineLevel="0" max="1" min="1" style="0" width="8"/>
    <col collapsed="false" customWidth="true" hidden="true" outlineLevel="0" max="2" min="2" style="0" width="19.31"/>
    <col collapsed="false" customWidth="false" hidden="true" outlineLevel="0" max="3" min="3" style="0" width="11.42"/>
    <col collapsed="false" customWidth="true" hidden="false" outlineLevel="0" max="4" min="4" style="11" width="7"/>
    <col collapsed="false" customWidth="true" hidden="true" outlineLevel="0" max="5" min="5" style="0" width="22.7"/>
    <col collapsed="false" customWidth="true" hidden="false" outlineLevel="0" max="12" min="6" style="0" width="22.7"/>
    <col collapsed="false" customWidth="true" hidden="false" outlineLevel="0" max="13" min="13" style="0" width="3.86"/>
    <col collapsed="false" customWidth="true" hidden="false" outlineLevel="0" max="14" min="14" style="0" width="17.71"/>
    <col collapsed="false" customWidth="true" hidden="false" outlineLevel="0" max="15" min="15" style="0" width="9.13"/>
    <col collapsed="false" customWidth="false" hidden="true" outlineLevel="0" max="1024" min="16" style="0" width="11.42"/>
  </cols>
  <sheetData>
    <row r="1" customFormat="false" ht="29.25" hidden="false" customHeight="false" outlineLevel="0" collapsed="false">
      <c r="B1" s="269"/>
      <c r="D1" s="270" t="s">
        <v>132</v>
      </c>
      <c r="F1" s="271" t="str">
        <f aca="false">Language!$E$120</f>
        <v>Choose language</v>
      </c>
      <c r="G1" s="271"/>
      <c r="H1" s="271"/>
      <c r="I1" s="271"/>
      <c r="J1" s="271"/>
      <c r="K1" s="272"/>
      <c r="L1" s="273" t="str">
        <f aca="false">Language!$E$163</f>
        <v>Click here and choose language:</v>
      </c>
      <c r="M1" s="273"/>
      <c r="N1" s="247" t="s">
        <v>133</v>
      </c>
      <c r="O1" s="248" t="s">
        <v>76</v>
      </c>
    </row>
    <row r="2" customFormat="false" ht="11.25" hidden="false" customHeight="true" outlineLevel="0" collapsed="false">
      <c r="D2" s="274" t="n">
        <v>44651</v>
      </c>
      <c r="F2" s="275"/>
      <c r="G2" s="275"/>
      <c r="H2" s="275"/>
      <c r="I2" s="275"/>
      <c r="J2" s="275"/>
      <c r="K2" s="275"/>
      <c r="M2" s="276"/>
      <c r="N2" s="277"/>
    </row>
    <row r="3" customFormat="false" ht="15.75" hidden="false" customHeight="true" outlineLevel="0" collapsed="false">
      <c r="B3" s="59" t="s">
        <v>133</v>
      </c>
      <c r="C3" s="278" t="n">
        <f aca="false">IF(AND($N$1&lt;&gt;B4,$N$1&lt;&gt;B5,$N$1&lt;&gt;B6,$N$1&lt;&gt;B7,$N$1&lt;&gt;B8,$N$1&lt;&gt;B9),1,0)</f>
        <v>1</v>
      </c>
      <c r="D3" s="279" t="s">
        <v>134</v>
      </c>
      <c r="E3" s="280"/>
      <c r="F3" s="281" t="s">
        <v>133</v>
      </c>
      <c r="G3" s="282" t="s">
        <v>135</v>
      </c>
      <c r="H3" s="282" t="s">
        <v>136</v>
      </c>
      <c r="I3" s="282" t="s">
        <v>137</v>
      </c>
      <c r="J3" s="282" t="s">
        <v>138</v>
      </c>
      <c r="K3" s="282" t="s">
        <v>139</v>
      </c>
      <c r="L3" s="283" t="s">
        <v>140</v>
      </c>
      <c r="M3" s="52"/>
    </row>
    <row r="4" customFormat="false" ht="15" hidden="false" customHeight="false" outlineLevel="0" collapsed="false">
      <c r="B4" s="59" t="s">
        <v>135</v>
      </c>
      <c r="C4" s="278" t="n">
        <f aca="false">IF($N$1=B4,1,0)</f>
        <v>0</v>
      </c>
      <c r="D4" s="279"/>
      <c r="E4" s="280"/>
      <c r="F4" s="281"/>
      <c r="G4" s="282"/>
      <c r="H4" s="282"/>
      <c r="I4" s="282"/>
      <c r="J4" s="282"/>
      <c r="K4" s="282"/>
      <c r="L4" s="283"/>
      <c r="M4" s="284"/>
      <c r="N4" s="285"/>
    </row>
    <row r="5" customFormat="false" ht="15" hidden="false" customHeight="false" outlineLevel="0" collapsed="false">
      <c r="B5" s="59" t="s">
        <v>136</v>
      </c>
      <c r="C5" s="278" t="n">
        <f aca="false">IF($N$1=B5,1,0)</f>
        <v>0</v>
      </c>
      <c r="D5" s="286" t="n">
        <v>1</v>
      </c>
      <c r="E5" s="287" t="str">
        <f aca="false">IF($C$3,F5,IF($C$4,G5,IF($C$5,H5,IF($C$6,I5,IF($C$7,J5,IF($C$8,K5,IF(L5&lt;&gt;"",L5,F5)))))))</f>
        <v>Brazil</v>
      </c>
      <c r="F5" s="288" t="s">
        <v>141</v>
      </c>
      <c r="G5" s="289" t="s">
        <v>142</v>
      </c>
      <c r="H5" s="290" t="s">
        <v>143</v>
      </c>
      <c r="I5" s="291" t="s">
        <v>144</v>
      </c>
      <c r="J5" s="290" t="s">
        <v>145</v>
      </c>
      <c r="K5" s="292" t="s">
        <v>146</v>
      </c>
      <c r="L5" s="293"/>
    </row>
    <row r="6" customFormat="false" ht="15" hidden="false" customHeight="false" outlineLevel="0" collapsed="false">
      <c r="B6" s="59" t="s">
        <v>137</v>
      </c>
      <c r="C6" s="278" t="n">
        <f aca="false">IF($N$1=B6,1,0)</f>
        <v>0</v>
      </c>
      <c r="D6" s="286" t="n">
        <v>2</v>
      </c>
      <c r="E6" s="287" t="str">
        <f aca="false">IF($C$3,F6,IF($C$4,G6,IF($C$5,H6,IF($C$6,I6,IF($C$7,J6,IF($C$8,K6,IF(L6&lt;&gt;"",L6,F6)))))))</f>
        <v>Belgium</v>
      </c>
      <c r="F6" s="288" t="s">
        <v>147</v>
      </c>
      <c r="G6" s="289" t="s">
        <v>148</v>
      </c>
      <c r="H6" s="290" t="s">
        <v>149</v>
      </c>
      <c r="I6" s="291" t="s">
        <v>150</v>
      </c>
      <c r="J6" s="290" t="s">
        <v>151</v>
      </c>
      <c r="K6" s="292" t="s">
        <v>152</v>
      </c>
      <c r="L6" s="293"/>
    </row>
    <row r="7" customFormat="false" ht="15" hidden="false" customHeight="false" outlineLevel="0" collapsed="false">
      <c r="B7" s="59" t="s">
        <v>138</v>
      </c>
      <c r="C7" s="278" t="n">
        <f aca="false">IF($N$1=B7,1,0)</f>
        <v>0</v>
      </c>
      <c r="D7" s="286" t="n">
        <v>3</v>
      </c>
      <c r="E7" s="287" t="str">
        <f aca="false">IF($C$3,F7,IF($C$4,G7,IF($C$5,H7,IF($C$6,I7,IF($C$7,J7,IF($C$8,K7,IF(L7&lt;&gt;"",L7,F7)))))))</f>
        <v>France</v>
      </c>
      <c r="F7" s="288" t="s">
        <v>153</v>
      </c>
      <c r="G7" s="289" t="s">
        <v>154</v>
      </c>
      <c r="H7" s="290" t="s">
        <v>154</v>
      </c>
      <c r="I7" s="291" t="s">
        <v>153</v>
      </c>
      <c r="J7" s="290" t="s">
        <v>155</v>
      </c>
      <c r="K7" s="292" t="s">
        <v>156</v>
      </c>
      <c r="L7" s="293"/>
    </row>
    <row r="8" customFormat="false" ht="15" hidden="false" customHeight="false" outlineLevel="0" collapsed="false">
      <c r="B8" s="59" t="s">
        <v>139</v>
      </c>
      <c r="C8" s="278" t="n">
        <f aca="false">IF($N$1=B8,1,0)</f>
        <v>0</v>
      </c>
      <c r="D8" s="286" t="n">
        <v>4</v>
      </c>
      <c r="E8" s="287" t="str">
        <f aca="false">IF($C$3,F8,IF($C$4,G8,IF($C$5,H8,IF($C$6,I8,IF($C$7,J8,IF($C$8,K8,IF(L8&lt;&gt;"",L8,F8)))))))</f>
        <v>Argentina</v>
      </c>
      <c r="F8" s="288" t="s">
        <v>157</v>
      </c>
      <c r="G8" s="289" t="s">
        <v>157</v>
      </c>
      <c r="H8" s="290" t="s">
        <v>157</v>
      </c>
      <c r="I8" s="291" t="s">
        <v>158</v>
      </c>
      <c r="J8" s="290" t="s">
        <v>159</v>
      </c>
      <c r="K8" s="292" t="s">
        <v>160</v>
      </c>
      <c r="L8" s="293"/>
    </row>
    <row r="9" customFormat="false" ht="15" hidden="false" customHeight="false" outlineLevel="0" collapsed="false">
      <c r="B9" s="59" t="s">
        <v>140</v>
      </c>
      <c r="C9" s="278" t="n">
        <f aca="false">IF($N$1=B9,1,0)</f>
        <v>0</v>
      </c>
      <c r="D9" s="286" t="n">
        <v>5</v>
      </c>
      <c r="E9" s="287" t="str">
        <f aca="false">IF($C$3,F9,IF($C$4,G9,IF($C$5,H9,IF($C$6,I9,IF($C$7,J9,IF($C$8,K9,IF(L9&lt;&gt;"",L9,F9)))))))</f>
        <v>England</v>
      </c>
      <c r="F9" s="288" t="s">
        <v>161</v>
      </c>
      <c r="G9" s="289" t="s">
        <v>162</v>
      </c>
      <c r="H9" s="290" t="s">
        <v>163</v>
      </c>
      <c r="I9" s="291" t="s">
        <v>164</v>
      </c>
      <c r="J9" s="290" t="s">
        <v>161</v>
      </c>
      <c r="K9" s="292" t="s">
        <v>165</v>
      </c>
      <c r="L9" s="293"/>
    </row>
    <row r="10" customFormat="false" ht="15" hidden="false" customHeight="false" outlineLevel="0" collapsed="false">
      <c r="D10" s="286" t="n">
        <v>6</v>
      </c>
      <c r="E10" s="287" t="str">
        <f aca="false">IF($C$3,F10,IF($C$4,G10,IF($C$5,H10,IF($C$6,I10,IF($C$7,J10,IF($C$8,K10,IF(L10&lt;&gt;"",L10,F10)))))))</f>
        <v>Italy</v>
      </c>
      <c r="F10" s="288" t="s">
        <v>166</v>
      </c>
      <c r="G10" s="289" t="s">
        <v>167</v>
      </c>
      <c r="H10" s="290" t="s">
        <v>167</v>
      </c>
      <c r="I10" s="291" t="s">
        <v>168</v>
      </c>
      <c r="J10" s="290" t="s">
        <v>169</v>
      </c>
      <c r="K10" s="292" t="s">
        <v>170</v>
      </c>
      <c r="L10" s="293"/>
    </row>
    <row r="11" customFormat="false" ht="15" hidden="false" customHeight="false" outlineLevel="0" collapsed="false">
      <c r="D11" s="286" t="n">
        <v>7</v>
      </c>
      <c r="E11" s="287" t="str">
        <f aca="false">IF($C$3,F11,IF($C$4,G11,IF($C$5,H11,IF($C$6,I11,IF($C$7,J11,IF($C$8,K11,IF(L11&lt;&gt;"",L11,F11)))))))</f>
        <v>Spain</v>
      </c>
      <c r="F11" s="288" t="s">
        <v>171</v>
      </c>
      <c r="G11" s="289" t="s">
        <v>172</v>
      </c>
      <c r="H11" s="290" t="s">
        <v>173</v>
      </c>
      <c r="I11" s="291" t="s">
        <v>174</v>
      </c>
      <c r="J11" s="290" t="s">
        <v>175</v>
      </c>
      <c r="K11" s="292" t="s">
        <v>176</v>
      </c>
      <c r="L11" s="293"/>
    </row>
    <row r="12" customFormat="false" ht="15" hidden="false" customHeight="false" outlineLevel="0" collapsed="false">
      <c r="D12" s="286" t="n">
        <v>8</v>
      </c>
      <c r="E12" s="287" t="str">
        <f aca="false">IF($C$3,F12,IF($C$4,G12,IF($C$5,H12,IF($C$6,I12,IF($C$7,J12,IF($C$8,K12,IF(L12&lt;&gt;"",L12,F12)))))))</f>
        <v>Portugal</v>
      </c>
      <c r="F12" s="288" t="s">
        <v>177</v>
      </c>
      <c r="G12" s="289" t="s">
        <v>177</v>
      </c>
      <c r="H12" s="290" t="s">
        <v>178</v>
      </c>
      <c r="I12" s="291" t="s">
        <v>177</v>
      </c>
      <c r="J12" s="290" t="s">
        <v>177</v>
      </c>
      <c r="K12" s="292" t="s">
        <v>177</v>
      </c>
      <c r="L12" s="293"/>
    </row>
    <row r="13" customFormat="false" ht="15" hidden="false" customHeight="false" outlineLevel="0" collapsed="false">
      <c r="D13" s="286" t="n">
        <v>9</v>
      </c>
      <c r="E13" s="287" t="str">
        <f aca="false">IF($C$3,F13,IF($C$4,G13,IF($C$5,H13,IF($C$6,I13,IF($C$7,J13,IF($C$8,K13,IF(L13&lt;&gt;"",L13,F13)))))))</f>
        <v>Mexico</v>
      </c>
      <c r="F13" s="288" t="s">
        <v>179</v>
      </c>
      <c r="G13" s="289" t="s">
        <v>180</v>
      </c>
      <c r="H13" s="290" t="s">
        <v>181</v>
      </c>
      <c r="I13" s="291" t="s">
        <v>182</v>
      </c>
      <c r="J13" s="290" t="s">
        <v>183</v>
      </c>
      <c r="K13" s="292" t="s">
        <v>179</v>
      </c>
      <c r="L13" s="293"/>
    </row>
    <row r="14" customFormat="false" ht="15" hidden="false" customHeight="false" outlineLevel="0" collapsed="false">
      <c r="D14" s="286" t="n">
        <v>10</v>
      </c>
      <c r="E14" s="287" t="str">
        <f aca="false">IF($C$3,F14,IF($C$4,G14,IF($C$5,H14,IF($C$6,I14,IF($C$7,J14,IF($C$8,K14,IF(L14&lt;&gt;"",L14,F14)))))))</f>
        <v>Netherlands</v>
      </c>
      <c r="F14" s="288" t="s">
        <v>184</v>
      </c>
      <c r="G14" s="289" t="s">
        <v>185</v>
      </c>
      <c r="H14" s="290" t="s">
        <v>186</v>
      </c>
      <c r="I14" s="291" t="s">
        <v>187</v>
      </c>
      <c r="J14" s="290" t="s">
        <v>188</v>
      </c>
      <c r="K14" s="292" t="s">
        <v>189</v>
      </c>
      <c r="L14" s="293"/>
    </row>
    <row r="15" customFormat="false" ht="15" hidden="false" customHeight="false" outlineLevel="0" collapsed="false">
      <c r="D15" s="286" t="n">
        <v>11</v>
      </c>
      <c r="E15" s="287" t="str">
        <f aca="false">IF($C$3,F15,IF($C$4,G15,IF($C$5,H15,IF($C$6,I15,IF($C$7,J15,IF($C$8,K15,IF(L15&lt;&gt;"",L15,F15)))))))</f>
        <v>Denmark</v>
      </c>
      <c r="F15" s="288" t="s">
        <v>190</v>
      </c>
      <c r="G15" s="289" t="s">
        <v>191</v>
      </c>
      <c r="H15" s="290" t="s">
        <v>192</v>
      </c>
      <c r="I15" s="291" t="s">
        <v>193</v>
      </c>
      <c r="J15" s="290" t="s">
        <v>194</v>
      </c>
      <c r="K15" s="292" t="s">
        <v>195</v>
      </c>
      <c r="L15" s="293"/>
    </row>
    <row r="16" customFormat="false" ht="15" hidden="false" customHeight="false" outlineLevel="0" collapsed="false">
      <c r="D16" s="286" t="n">
        <v>12</v>
      </c>
      <c r="E16" s="287" t="str">
        <f aca="false">IF($C$3,F16,IF($C$4,G16,IF($C$5,H16,IF($C$6,I16,IF($C$7,J16,IF($C$8,K16,IF(L16&lt;&gt;"",L16,F16)))))))</f>
        <v>Germany</v>
      </c>
      <c r="F16" s="288" t="s">
        <v>196</v>
      </c>
      <c r="G16" s="289" t="s">
        <v>197</v>
      </c>
      <c r="H16" s="290" t="s">
        <v>198</v>
      </c>
      <c r="I16" s="291" t="s">
        <v>199</v>
      </c>
      <c r="J16" s="290" t="s">
        <v>200</v>
      </c>
      <c r="K16" s="292" t="s">
        <v>201</v>
      </c>
      <c r="L16" s="293"/>
    </row>
    <row r="17" customFormat="false" ht="15" hidden="false" customHeight="false" outlineLevel="0" collapsed="false">
      <c r="D17" s="286" t="n">
        <v>13</v>
      </c>
      <c r="E17" s="287" t="str">
        <f aca="false">IF($C$3,F17,IF($C$4,G17,IF($C$5,H17,IF($C$6,I17,IF($C$7,J17,IF($C$8,K17,IF(L17&lt;&gt;"",L17,F17)))))))</f>
        <v>Uruguay</v>
      </c>
      <c r="F17" s="288" t="s">
        <v>202</v>
      </c>
      <c r="G17" s="289" t="s">
        <v>202</v>
      </c>
      <c r="H17" s="290" t="s">
        <v>202</v>
      </c>
      <c r="I17" s="291" t="s">
        <v>202</v>
      </c>
      <c r="J17" s="290" t="s">
        <v>202</v>
      </c>
      <c r="K17" s="292" t="s">
        <v>202</v>
      </c>
      <c r="L17" s="293"/>
    </row>
    <row r="18" customFormat="false" ht="15" hidden="false" customHeight="false" outlineLevel="0" collapsed="false">
      <c r="D18" s="286" t="n">
        <v>14</v>
      </c>
      <c r="E18" s="287" t="str">
        <f aca="false">IF($C$3,F18,IF($C$4,G18,IF($C$5,H18,IF($C$6,I18,IF($C$7,J18,IF($C$8,K18,IF(L18&lt;&gt;"",L18,F18)))))))</f>
        <v>Switzerland</v>
      </c>
      <c r="F18" s="288" t="s">
        <v>203</v>
      </c>
      <c r="G18" s="289" t="s">
        <v>204</v>
      </c>
      <c r="H18" s="290" t="s">
        <v>205</v>
      </c>
      <c r="I18" s="291" t="s">
        <v>206</v>
      </c>
      <c r="J18" s="290" t="s">
        <v>207</v>
      </c>
      <c r="K18" s="292" t="s">
        <v>208</v>
      </c>
      <c r="L18" s="293"/>
    </row>
    <row r="19" customFormat="false" ht="15" hidden="false" customHeight="false" outlineLevel="0" collapsed="false">
      <c r="D19" s="286" t="n">
        <v>15</v>
      </c>
      <c r="E19" s="287" t="str">
        <f aca="false">IF($C$3,F19,IF($C$4,G19,IF($C$5,H19,IF($C$6,I19,IF($C$7,J19,IF($C$8,K19,IF(L19&lt;&gt;"",L19,F19)))))))</f>
        <v>USA</v>
      </c>
      <c r="F19" s="288" t="s">
        <v>209</v>
      </c>
      <c r="G19" s="289" t="s">
        <v>210</v>
      </c>
      <c r="H19" s="290" t="s">
        <v>209</v>
      </c>
      <c r="I19" s="291" t="s">
        <v>209</v>
      </c>
      <c r="J19" s="290" t="s">
        <v>209</v>
      </c>
      <c r="K19" s="292" t="s">
        <v>209</v>
      </c>
      <c r="L19" s="293"/>
    </row>
    <row r="20" customFormat="false" ht="15" hidden="false" customHeight="false" outlineLevel="0" collapsed="false">
      <c r="D20" s="286" t="n">
        <v>16</v>
      </c>
      <c r="E20" s="287" t="str">
        <f aca="false">IF($C$3,F20,IF($C$4,G20,IF($C$5,H20,IF($C$6,I20,IF($C$7,J20,IF($C$8,K20,IF(L20&lt;&gt;"",L20,F20)))))))</f>
        <v>Croatia</v>
      </c>
      <c r="F20" s="288" t="s">
        <v>211</v>
      </c>
      <c r="G20" s="289" t="s">
        <v>212</v>
      </c>
      <c r="H20" s="290" t="s">
        <v>213</v>
      </c>
      <c r="I20" s="291" t="s">
        <v>214</v>
      </c>
      <c r="J20" s="290" t="s">
        <v>215</v>
      </c>
      <c r="K20" s="292" t="s">
        <v>216</v>
      </c>
      <c r="L20" s="293"/>
    </row>
    <row r="21" customFormat="false" ht="15" hidden="false" customHeight="false" outlineLevel="0" collapsed="false">
      <c r="D21" s="286" t="n">
        <v>17</v>
      </c>
      <c r="E21" s="287" t="str">
        <f aca="false">IF($C$3,F21,IF($C$4,G21,IF($C$5,H21,IF($C$6,I21,IF($C$7,J21,IF($C$8,K21,IF(L21&lt;&gt;"",L21,F21)))))))</f>
        <v>Colombia</v>
      </c>
      <c r="F21" s="288" t="s">
        <v>217</v>
      </c>
      <c r="G21" s="289" t="s">
        <v>217</v>
      </c>
      <c r="H21" s="290" t="s">
        <v>217</v>
      </c>
      <c r="I21" s="291" t="s">
        <v>218</v>
      </c>
      <c r="J21" s="290" t="s">
        <v>219</v>
      </c>
      <c r="K21" s="292" t="s">
        <v>217</v>
      </c>
      <c r="L21" s="293"/>
    </row>
    <row r="22" customFormat="false" ht="15" hidden="false" customHeight="false" outlineLevel="0" collapsed="false">
      <c r="D22" s="286" t="n">
        <v>18</v>
      </c>
      <c r="E22" s="287" t="str">
        <f aca="false">IF($C$3,F22,IF($C$4,G22,IF($C$5,H22,IF($C$6,I22,IF($C$7,J22,IF($C$8,K22,IF(L22&lt;&gt;"",L22,F22)))))))</f>
        <v>Wales</v>
      </c>
      <c r="F22" s="288" t="s">
        <v>220</v>
      </c>
      <c r="G22" s="289" t="s">
        <v>221</v>
      </c>
      <c r="H22" s="290" t="s">
        <v>222</v>
      </c>
      <c r="I22" s="291" t="s">
        <v>223</v>
      </c>
      <c r="J22" s="290" t="s">
        <v>220</v>
      </c>
      <c r="K22" s="292" t="s">
        <v>220</v>
      </c>
      <c r="L22" s="293"/>
    </row>
    <row r="23" customFormat="false" ht="15" hidden="false" customHeight="false" outlineLevel="0" collapsed="false">
      <c r="D23" s="286" t="n">
        <v>19</v>
      </c>
      <c r="E23" s="287" t="str">
        <f aca="false">IF($C$3,F23,IF($C$4,G23,IF($C$5,H23,IF($C$6,I23,IF($C$7,J23,IF($C$8,K23,IF(L23&lt;&gt;"",L23,F23)))))))</f>
        <v>Sweden</v>
      </c>
      <c r="F23" s="288" t="s">
        <v>224</v>
      </c>
      <c r="G23" s="289" t="s">
        <v>225</v>
      </c>
      <c r="H23" s="290" t="s">
        <v>226</v>
      </c>
      <c r="I23" s="291" t="s">
        <v>227</v>
      </c>
      <c r="J23" s="290" t="s">
        <v>228</v>
      </c>
      <c r="K23" s="292" t="s">
        <v>229</v>
      </c>
      <c r="L23" s="293"/>
    </row>
    <row r="24" customFormat="false" ht="15" hidden="false" customHeight="false" outlineLevel="0" collapsed="false">
      <c r="D24" s="286" t="n">
        <v>20</v>
      </c>
      <c r="E24" s="287" t="str">
        <f aca="false">IF($C$3,F24,IF($C$4,G24,IF($C$5,H24,IF($C$6,I24,IF($C$7,J24,IF($C$8,K24,IF(L24&lt;&gt;"",L24,F24)))))))</f>
        <v>Senegal</v>
      </c>
      <c r="F24" s="288" t="s">
        <v>230</v>
      </c>
      <c r="G24" s="289" t="s">
        <v>230</v>
      </c>
      <c r="H24" s="290" t="s">
        <v>230</v>
      </c>
      <c r="I24" s="291" t="s">
        <v>231</v>
      </c>
      <c r="J24" s="290" t="s">
        <v>230</v>
      </c>
      <c r="K24" s="292" t="s">
        <v>230</v>
      </c>
      <c r="L24" s="293"/>
    </row>
    <row r="25" customFormat="false" ht="15" hidden="false" customHeight="false" outlineLevel="0" collapsed="false">
      <c r="D25" s="286" t="n">
        <v>21</v>
      </c>
      <c r="E25" s="287" t="str">
        <f aca="false">IF($C$3,F25,IF($C$4,G25,IF($C$5,H25,IF($C$6,I25,IF($C$7,J25,IF($C$8,K25,IF(L25&lt;&gt;"",L25,F25)))))))</f>
        <v>IR Iran</v>
      </c>
      <c r="F25" s="288" t="s">
        <v>232</v>
      </c>
      <c r="G25" s="289" t="s">
        <v>233</v>
      </c>
      <c r="H25" s="290" t="s">
        <v>233</v>
      </c>
      <c r="I25" s="291" t="s">
        <v>234</v>
      </c>
      <c r="J25" s="290" t="s">
        <v>233</v>
      </c>
      <c r="K25" s="292" t="s">
        <v>233</v>
      </c>
      <c r="L25" s="293"/>
    </row>
    <row r="26" customFormat="false" ht="15" hidden="false" customHeight="false" outlineLevel="0" collapsed="false">
      <c r="D26" s="286" t="n">
        <v>22</v>
      </c>
      <c r="E26" s="287" t="str">
        <f aca="false">IF($C$3,F26,IF($C$4,G26,IF($C$5,H26,IF($C$6,I26,IF($C$7,J26,IF($C$8,K26,IF(L26&lt;&gt;"",L26,F26)))))))</f>
        <v>Peru</v>
      </c>
      <c r="F26" s="288" t="s">
        <v>235</v>
      </c>
      <c r="G26" s="289" t="s">
        <v>236</v>
      </c>
      <c r="H26" s="290" t="s">
        <v>237</v>
      </c>
      <c r="I26" s="291" t="s">
        <v>238</v>
      </c>
      <c r="J26" s="290" t="s">
        <v>235</v>
      </c>
      <c r="K26" s="292" t="s">
        <v>235</v>
      </c>
      <c r="L26" s="293"/>
    </row>
    <row r="27" customFormat="false" ht="15" hidden="false" customHeight="false" outlineLevel="0" collapsed="false">
      <c r="D27" s="286" t="n">
        <v>23</v>
      </c>
      <c r="E27" s="287" t="str">
        <f aca="false">IF($C$3,F27,IF($C$4,G27,IF($C$5,H27,IF($C$6,I27,IF($C$7,J27,IF($C$8,K27,IF(L27&lt;&gt;"",L27,F27)))))))</f>
        <v>Japan</v>
      </c>
      <c r="F27" s="288" t="s">
        <v>239</v>
      </c>
      <c r="G27" s="289" t="s">
        <v>240</v>
      </c>
      <c r="H27" s="290" t="s">
        <v>241</v>
      </c>
      <c r="I27" s="291" t="s">
        <v>242</v>
      </c>
      <c r="J27" s="290" t="s">
        <v>239</v>
      </c>
      <c r="K27" s="292" t="s">
        <v>239</v>
      </c>
      <c r="L27" s="293"/>
    </row>
    <row r="28" customFormat="false" ht="15" hidden="false" customHeight="false" outlineLevel="0" collapsed="false">
      <c r="D28" s="286" t="n">
        <v>24</v>
      </c>
      <c r="E28" s="287" t="str">
        <f aca="false">IF($C$3,F28,IF($C$4,G28,IF($C$5,H28,IF($C$6,I28,IF($C$7,J28,IF($C$8,K28,IF(L28&lt;&gt;"",L28,F28)))))))</f>
        <v>Morocco</v>
      </c>
      <c r="F28" s="288" t="s">
        <v>243</v>
      </c>
      <c r="G28" s="289" t="s">
        <v>244</v>
      </c>
      <c r="H28" s="290" t="s">
        <v>245</v>
      </c>
      <c r="I28" s="291" t="s">
        <v>246</v>
      </c>
      <c r="J28" s="290" t="s">
        <v>247</v>
      </c>
      <c r="K28" s="292" t="s">
        <v>247</v>
      </c>
      <c r="L28" s="293"/>
    </row>
    <row r="29" customFormat="false" ht="15" hidden="false" customHeight="false" outlineLevel="0" collapsed="false">
      <c r="D29" s="286" t="n">
        <v>25</v>
      </c>
      <c r="E29" s="287" t="str">
        <f aca="false">IF($C$3,F29,IF($C$4,G29,IF($C$5,H29,IF($C$6,I29,IF($C$7,J29,IF($C$8,K29,IF(L29&lt;&gt;"",L29,F29)))))))</f>
        <v>Serbia</v>
      </c>
      <c r="F29" s="288" t="s">
        <v>248</v>
      </c>
      <c r="G29" s="289" t="s">
        <v>248</v>
      </c>
      <c r="H29" s="290" t="s">
        <v>248</v>
      </c>
      <c r="I29" s="291" t="s">
        <v>249</v>
      </c>
      <c r="J29" s="290" t="s">
        <v>250</v>
      </c>
      <c r="K29" s="292" t="s">
        <v>251</v>
      </c>
      <c r="L29" s="293"/>
    </row>
    <row r="30" customFormat="false" ht="15" hidden="false" customHeight="false" outlineLevel="0" collapsed="false">
      <c r="D30" s="286" t="n">
        <v>26</v>
      </c>
      <c r="E30" s="287" t="str">
        <f aca="false">IF($C$3,F30,IF($C$4,G30,IF($C$5,H30,IF($C$6,I30,IF($C$7,J30,IF($C$8,K30,IF(L30&lt;&gt;"",L30,F30)))))))</f>
        <v>Poland</v>
      </c>
      <c r="F30" s="288" t="s">
        <v>252</v>
      </c>
      <c r="G30" s="289" t="s">
        <v>253</v>
      </c>
      <c r="H30" s="290" t="s">
        <v>253</v>
      </c>
      <c r="I30" s="291" t="s">
        <v>254</v>
      </c>
      <c r="J30" s="290" t="s">
        <v>255</v>
      </c>
      <c r="K30" s="292" t="s">
        <v>255</v>
      </c>
      <c r="L30" s="293"/>
    </row>
    <row r="31" customFormat="false" ht="15" hidden="false" customHeight="false" outlineLevel="0" collapsed="false">
      <c r="D31" s="286" t="n">
        <v>27</v>
      </c>
      <c r="E31" s="287" t="str">
        <f aca="false">IF($C$3,F31,IF($C$4,G31,IF($C$5,H31,IF($C$6,I31,IF($C$7,J31,IF($C$8,K31,IF(L31&lt;&gt;"",L31,F31)))))))</f>
        <v>Ukraine</v>
      </c>
      <c r="F31" s="288" t="s">
        <v>256</v>
      </c>
      <c r="G31" s="289" t="s">
        <v>257</v>
      </c>
      <c r="H31" s="290" t="s">
        <v>258</v>
      </c>
      <c r="I31" s="291" t="s">
        <v>256</v>
      </c>
      <c r="J31" s="290" t="s">
        <v>256</v>
      </c>
      <c r="K31" s="292" t="s">
        <v>259</v>
      </c>
      <c r="L31" s="293"/>
    </row>
    <row r="32" customFormat="false" ht="15" hidden="false" customHeight="false" outlineLevel="0" collapsed="false">
      <c r="D32" s="286" t="n">
        <v>28</v>
      </c>
      <c r="E32" s="287" t="str">
        <f aca="false">IF($C$3,F32,IF($C$4,G32,IF($C$5,H32,IF($C$6,I32,IF($C$7,J32,IF($C$8,K32,IF(L32&lt;&gt;"",L32,F32)))))))</f>
        <v>Chile</v>
      </c>
      <c r="F32" s="288" t="s">
        <v>260</v>
      </c>
      <c r="G32" s="289" t="s">
        <v>260</v>
      </c>
      <c r="H32" s="290" t="s">
        <v>261</v>
      </c>
      <c r="I32" s="291" t="s">
        <v>262</v>
      </c>
      <c r="J32" s="290" t="s">
        <v>260</v>
      </c>
      <c r="K32" s="292" t="s">
        <v>262</v>
      </c>
      <c r="L32" s="293"/>
    </row>
    <row r="33" customFormat="false" ht="15" hidden="false" customHeight="false" outlineLevel="0" collapsed="false">
      <c r="D33" s="286" t="n">
        <v>29</v>
      </c>
      <c r="E33" s="287" t="str">
        <f aca="false">IF($C$3,F33,IF($C$4,G33,IF($C$5,H33,IF($C$6,I33,IF($C$7,J33,IF($C$8,K33,IF(L33&lt;&gt;"",L33,F33)))))))</f>
        <v>South Korea</v>
      </c>
      <c r="F33" s="288" t="s">
        <v>263</v>
      </c>
      <c r="G33" s="289" t="s">
        <v>264</v>
      </c>
      <c r="H33" s="290" t="s">
        <v>265</v>
      </c>
      <c r="I33" s="291" t="s">
        <v>266</v>
      </c>
      <c r="J33" s="290" t="s">
        <v>267</v>
      </c>
      <c r="K33" s="292" t="s">
        <v>268</v>
      </c>
      <c r="L33" s="293"/>
    </row>
    <row r="34" customFormat="false" ht="15" hidden="false" customHeight="false" outlineLevel="0" collapsed="false">
      <c r="D34" s="286" t="n">
        <v>30</v>
      </c>
      <c r="E34" s="287" t="str">
        <f aca="false">IF($C$3,F34,IF($C$4,G34,IF($C$5,H34,IF($C$6,I34,IF($C$7,J34,IF($C$8,K34,IF(L34&lt;&gt;"",L34,F34)))))))</f>
        <v>Nigeria</v>
      </c>
      <c r="F34" s="288" t="s">
        <v>269</v>
      </c>
      <c r="G34" s="289" t="s">
        <v>269</v>
      </c>
      <c r="H34" s="290" t="s">
        <v>269</v>
      </c>
      <c r="I34" s="291" t="s">
        <v>269</v>
      </c>
      <c r="J34" s="290" t="s">
        <v>269</v>
      </c>
      <c r="K34" s="292" t="s">
        <v>269</v>
      </c>
      <c r="L34" s="293"/>
    </row>
    <row r="35" customFormat="false" ht="15" hidden="false" customHeight="false" outlineLevel="0" collapsed="false">
      <c r="D35" s="286" t="n">
        <v>31</v>
      </c>
      <c r="E35" s="287" t="str">
        <f aca="false">IF($C$3,F35,IF($C$4,G35,IF($C$5,H35,IF($C$6,I35,IF($C$7,J35,IF($C$8,K35,IF(L35&lt;&gt;"",L35,F35)))))))</f>
        <v>Costa Rica</v>
      </c>
      <c r="F35" s="288" t="s">
        <v>270</v>
      </c>
      <c r="G35" s="289" t="s">
        <v>270</v>
      </c>
      <c r="H35" s="290" t="s">
        <v>270</v>
      </c>
      <c r="I35" s="291" t="s">
        <v>270</v>
      </c>
      <c r="J35" s="290" t="s">
        <v>270</v>
      </c>
      <c r="K35" s="292" t="s">
        <v>270</v>
      </c>
      <c r="L35" s="293"/>
    </row>
    <row r="36" customFormat="false" ht="15" hidden="false" customHeight="false" outlineLevel="0" collapsed="false">
      <c r="D36" s="286" t="n">
        <v>32</v>
      </c>
      <c r="E36" s="287" t="str">
        <f aca="false">IF($C$3,F36,IF($C$4,G36,IF($C$5,H36,IF($C$6,I36,IF($C$7,J36,IF($C$8,K36,IF(L36&lt;&gt;"",L36,F36)))))))</f>
        <v>Egypt</v>
      </c>
      <c r="F36" s="288" t="s">
        <v>271</v>
      </c>
      <c r="G36" s="289" t="s">
        <v>272</v>
      </c>
      <c r="H36" s="290" t="s">
        <v>273</v>
      </c>
      <c r="I36" s="291" t="s">
        <v>274</v>
      </c>
      <c r="J36" s="290" t="s">
        <v>275</v>
      </c>
      <c r="K36" s="292" t="s">
        <v>274</v>
      </c>
      <c r="L36" s="293"/>
    </row>
    <row r="37" customFormat="false" ht="15" hidden="false" customHeight="false" outlineLevel="0" collapsed="false">
      <c r="D37" s="286" t="n">
        <v>33</v>
      </c>
      <c r="E37" s="287" t="str">
        <f aca="false">IF($C$3,F37,IF($C$4,G37,IF($C$5,H37,IF($C$6,I37,IF($C$7,J37,IF($C$8,K37,IF(L37&lt;&gt;"",L37,F37)))))))</f>
        <v>Czechia</v>
      </c>
      <c r="F37" s="288" t="s">
        <v>276</v>
      </c>
      <c r="G37" s="289" t="s">
        <v>277</v>
      </c>
      <c r="H37" s="290" t="s">
        <v>278</v>
      </c>
      <c r="I37" s="291" t="s">
        <v>279</v>
      </c>
      <c r="J37" s="290" t="s">
        <v>280</v>
      </c>
      <c r="K37" s="292" t="s">
        <v>281</v>
      </c>
      <c r="L37" s="293"/>
    </row>
    <row r="38" customFormat="false" ht="15" hidden="false" customHeight="false" outlineLevel="0" collapsed="false">
      <c r="D38" s="286" t="n">
        <v>34</v>
      </c>
      <c r="E38" s="287" t="str">
        <f aca="false">IF($C$3,F38,IF($C$4,G38,IF($C$5,H38,IF($C$6,I38,IF($C$7,J38,IF($C$8,K38,IF(L38&lt;&gt;"",L38,F38)))))))</f>
        <v>Austria</v>
      </c>
      <c r="F38" s="288" t="s">
        <v>282</v>
      </c>
      <c r="G38" s="289" t="s">
        <v>282</v>
      </c>
      <c r="H38" s="290" t="s">
        <v>282</v>
      </c>
      <c r="I38" s="291" t="s">
        <v>283</v>
      </c>
      <c r="J38" s="290" t="s">
        <v>284</v>
      </c>
      <c r="K38" s="292" t="s">
        <v>285</v>
      </c>
      <c r="L38" s="293"/>
    </row>
    <row r="39" customFormat="false" ht="15" hidden="false" customHeight="false" outlineLevel="0" collapsed="false">
      <c r="D39" s="286" t="n">
        <v>35</v>
      </c>
      <c r="E39" s="287" t="str">
        <f aca="false">IF($C$3,F39,IF($C$4,G39,IF($C$5,H39,IF($C$6,I39,IF($C$7,J39,IF($C$8,K39,IF(L39&lt;&gt;"",L39,F39)))))))</f>
        <v>Tunisia</v>
      </c>
      <c r="F39" s="288" t="s">
        <v>286</v>
      </c>
      <c r="G39" s="289" t="s">
        <v>287</v>
      </c>
      <c r="H39" s="290" t="s">
        <v>286</v>
      </c>
      <c r="I39" s="291" t="s">
        <v>288</v>
      </c>
      <c r="J39" s="290" t="s">
        <v>289</v>
      </c>
      <c r="K39" s="292" t="s">
        <v>290</v>
      </c>
      <c r="L39" s="293"/>
    </row>
    <row r="40" customFormat="false" ht="15" hidden="false" customHeight="false" outlineLevel="0" collapsed="false">
      <c r="D40" s="286" t="n">
        <v>36</v>
      </c>
      <c r="E40" s="287" t="str">
        <f aca="false">IF($C$3,F40,IF($C$4,G40,IF($C$5,H40,IF($C$6,I40,IF($C$7,J40,IF($C$8,K40,IF(L40&lt;&gt;"",L40,F40)))))))</f>
        <v>Russia</v>
      </c>
      <c r="F40" s="288" t="s">
        <v>291</v>
      </c>
      <c r="G40" s="289" t="s">
        <v>292</v>
      </c>
      <c r="H40" s="290" t="s">
        <v>291</v>
      </c>
      <c r="I40" s="291" t="s">
        <v>293</v>
      </c>
      <c r="J40" s="290" t="s">
        <v>294</v>
      </c>
      <c r="K40" s="292" t="s">
        <v>295</v>
      </c>
      <c r="L40" s="293"/>
    </row>
    <row r="41" customFormat="false" ht="15" hidden="false" customHeight="false" outlineLevel="0" collapsed="false">
      <c r="D41" s="286" t="n">
        <v>37</v>
      </c>
      <c r="E41" s="287" t="str">
        <f aca="false">IF($C$3,F41,IF($C$4,G41,IF($C$5,H41,IF($C$6,I41,IF($C$7,J41,IF($C$8,K41,IF(L41&lt;&gt;"",L41,F41)))))))</f>
        <v>Cameroon</v>
      </c>
      <c r="F41" s="288" t="s">
        <v>296</v>
      </c>
      <c r="G41" s="289" t="s">
        <v>297</v>
      </c>
      <c r="H41" s="290" t="s">
        <v>298</v>
      </c>
      <c r="I41" s="291" t="s">
        <v>299</v>
      </c>
      <c r="J41" s="290" t="s">
        <v>300</v>
      </c>
      <c r="K41" s="292" t="s">
        <v>301</v>
      </c>
      <c r="L41" s="293"/>
    </row>
    <row r="42" customFormat="false" ht="15" hidden="false" customHeight="false" outlineLevel="0" collapsed="false">
      <c r="D42" s="286" t="n">
        <v>38</v>
      </c>
      <c r="E42" s="287" t="str">
        <f aca="false">IF($C$3,F42,IF($C$4,G42,IF($C$5,H42,IF($C$6,I42,IF($C$7,J42,IF($C$8,K42,IF(L42&lt;&gt;"",L42,F42)))))))</f>
        <v>Canada</v>
      </c>
      <c r="F42" s="288" t="s">
        <v>302</v>
      </c>
      <c r="G42" s="289" t="s">
        <v>303</v>
      </c>
      <c r="H42" s="290" t="s">
        <v>302</v>
      </c>
      <c r="I42" s="291" t="s">
        <v>302</v>
      </c>
      <c r="J42" s="290" t="s">
        <v>304</v>
      </c>
      <c r="K42" s="292" t="s">
        <v>302</v>
      </c>
      <c r="L42" s="293"/>
    </row>
    <row r="43" customFormat="false" ht="15" hidden="false" customHeight="false" outlineLevel="0" collapsed="false">
      <c r="D43" s="286" t="n">
        <v>39</v>
      </c>
      <c r="E43" s="287" t="str">
        <f aca="false">IF($C$3,F43,IF($C$4,G43,IF($C$5,H43,IF($C$6,I43,IF($C$7,J43,IF($C$8,K43,IF(L43&lt;&gt;"",L43,F43)))))))</f>
        <v>Scotland</v>
      </c>
      <c r="F43" s="288" t="s">
        <v>305</v>
      </c>
      <c r="G43" s="289" t="s">
        <v>306</v>
      </c>
      <c r="H43" s="290" t="s">
        <v>307</v>
      </c>
      <c r="I43" s="291" t="s">
        <v>308</v>
      </c>
      <c r="J43" s="290" t="s">
        <v>309</v>
      </c>
      <c r="K43" s="292" t="s">
        <v>310</v>
      </c>
      <c r="L43" s="293"/>
    </row>
    <row r="44" customFormat="false" ht="15" hidden="false" customHeight="false" outlineLevel="0" collapsed="false">
      <c r="D44" s="286" t="n">
        <v>40</v>
      </c>
      <c r="E44" s="287" t="str">
        <f aca="false">IF($C$3,F44,IF($C$4,G44,IF($C$5,H44,IF($C$6,I44,IF($C$7,J44,IF($C$8,K44,IF(L44&lt;&gt;"",L44,F44)))))))</f>
        <v>Hungary</v>
      </c>
      <c r="F44" s="288" t="s">
        <v>311</v>
      </c>
      <c r="G44" s="289" t="s">
        <v>312</v>
      </c>
      <c r="H44" s="290" t="s">
        <v>313</v>
      </c>
      <c r="I44" s="291" t="s">
        <v>314</v>
      </c>
      <c r="J44" s="290" t="s">
        <v>315</v>
      </c>
      <c r="K44" s="292" t="s">
        <v>316</v>
      </c>
      <c r="L44" s="293"/>
    </row>
    <row r="45" customFormat="false" ht="15" hidden="false" customHeight="false" outlineLevel="0" collapsed="false">
      <c r="D45" s="286" t="n">
        <v>41</v>
      </c>
      <c r="E45" s="287" t="str">
        <f aca="false">IF($C$3,F45,IF($C$4,G45,IF($C$5,H45,IF($C$6,I45,IF($C$7,J45,IF($C$8,K45,IF(L45&lt;&gt;"",L45,F45)))))))</f>
        <v>Norway</v>
      </c>
      <c r="F45" s="288" t="s">
        <v>317</v>
      </c>
      <c r="G45" s="289" t="s">
        <v>318</v>
      </c>
      <c r="H45" s="290" t="s">
        <v>319</v>
      </c>
      <c r="I45" s="291" t="s">
        <v>320</v>
      </c>
      <c r="J45" s="290" t="s">
        <v>321</v>
      </c>
      <c r="K45" s="292" t="s">
        <v>322</v>
      </c>
      <c r="L45" s="293"/>
    </row>
    <row r="46" customFormat="false" ht="15" hidden="false" customHeight="false" outlineLevel="0" collapsed="false">
      <c r="D46" s="286" t="n">
        <v>42</v>
      </c>
      <c r="E46" s="287" t="str">
        <f aca="false">IF($C$3,F46,IF($C$4,G46,IF($C$5,H46,IF($C$6,I46,IF($C$7,J46,IF($C$8,K46,IF(L46&lt;&gt;"",L46,F46)))))))</f>
        <v>Australia</v>
      </c>
      <c r="F46" s="288" t="s">
        <v>323</v>
      </c>
      <c r="G46" s="289" t="s">
        <v>323</v>
      </c>
      <c r="H46" s="290" t="s">
        <v>323</v>
      </c>
      <c r="I46" s="291" t="s">
        <v>324</v>
      </c>
      <c r="J46" s="290" t="s">
        <v>325</v>
      </c>
      <c r="K46" s="292" t="s">
        <v>326</v>
      </c>
      <c r="L46" s="293"/>
    </row>
    <row r="47" customFormat="false" ht="15" hidden="false" customHeight="false" outlineLevel="0" collapsed="false">
      <c r="D47" s="286" t="n">
        <v>43</v>
      </c>
      <c r="E47" s="287" t="str">
        <f aca="false">IF($C$3,F47,IF($C$4,G47,IF($C$5,H47,IF($C$6,I47,IF($C$7,J47,IF($C$8,K47,IF(L47&lt;&gt;"",L47,F47)))))))</f>
        <v>Turkey</v>
      </c>
      <c r="F47" s="288" t="s">
        <v>327</v>
      </c>
      <c r="G47" s="289" t="s">
        <v>328</v>
      </c>
      <c r="H47" s="290" t="s">
        <v>329</v>
      </c>
      <c r="I47" s="291" t="s">
        <v>330</v>
      </c>
      <c r="J47" s="290" t="s">
        <v>331</v>
      </c>
      <c r="K47" s="292" t="s">
        <v>332</v>
      </c>
      <c r="L47" s="293"/>
    </row>
    <row r="48" customFormat="false" ht="15" hidden="false" customHeight="false" outlineLevel="0" collapsed="false">
      <c r="D48" s="286" t="n">
        <v>44</v>
      </c>
      <c r="E48" s="287" t="str">
        <f aca="false">IF($C$3,F48,IF($C$4,G48,IF($C$5,H48,IF($C$6,I48,IF($C$7,J48,IF($C$8,K48,IF(L48&lt;&gt;"",L48,F48)))))))</f>
        <v>Algeria</v>
      </c>
      <c r="F48" s="288" t="s">
        <v>333</v>
      </c>
      <c r="G48" s="289" t="s">
        <v>334</v>
      </c>
      <c r="H48" s="290" t="s">
        <v>333</v>
      </c>
      <c r="I48" s="291" t="s">
        <v>335</v>
      </c>
      <c r="J48" s="290" t="s">
        <v>336</v>
      </c>
      <c r="K48" s="292" t="s">
        <v>337</v>
      </c>
      <c r="L48" s="293"/>
    </row>
    <row r="49" customFormat="false" ht="15" hidden="false" customHeight="false" outlineLevel="0" collapsed="false">
      <c r="D49" s="286" t="n">
        <v>45</v>
      </c>
      <c r="E49" s="287" t="str">
        <f aca="false">IF($C$3,F49,IF($C$4,G49,IF($C$5,H49,IF($C$6,I49,IF($C$7,J49,IF($C$8,K49,IF(L49&lt;&gt;"",L49,F49)))))))</f>
        <v>Slovakia</v>
      </c>
      <c r="F49" s="288" t="s">
        <v>338</v>
      </c>
      <c r="G49" s="289" t="s">
        <v>339</v>
      </c>
      <c r="H49" s="290" t="s">
        <v>340</v>
      </c>
      <c r="I49" s="291" t="s">
        <v>341</v>
      </c>
      <c r="J49" s="290" t="s">
        <v>342</v>
      </c>
      <c r="K49" s="292" t="s">
        <v>343</v>
      </c>
      <c r="L49" s="293"/>
    </row>
    <row r="50" customFormat="false" ht="15" hidden="false" customHeight="false" outlineLevel="0" collapsed="false">
      <c r="D50" s="286" t="n">
        <v>46</v>
      </c>
      <c r="E50" s="287" t="str">
        <f aca="false">IF($C$3,F50,IF($C$4,G50,IF($C$5,H50,IF($C$6,I50,IF($C$7,J50,IF($C$8,K50,IF(L50&lt;&gt;"",L50,F50)))))))</f>
        <v>Ecuador</v>
      </c>
      <c r="F50" s="288" t="s">
        <v>344</v>
      </c>
      <c r="G50" s="289" t="s">
        <v>344</v>
      </c>
      <c r="H50" s="290" t="s">
        <v>344</v>
      </c>
      <c r="I50" s="291" t="s">
        <v>345</v>
      </c>
      <c r="J50" s="290" t="s">
        <v>344</v>
      </c>
      <c r="K50" s="292" t="s">
        <v>344</v>
      </c>
      <c r="L50" s="293"/>
    </row>
    <row r="51" customFormat="false" ht="15" hidden="false" customHeight="false" outlineLevel="0" collapsed="false">
      <c r="D51" s="286" t="n">
        <v>47</v>
      </c>
      <c r="E51" s="287" t="str">
        <f aca="false">IF($C$3,F51,IF($C$4,G51,IF($C$5,H51,IF($C$6,I51,IF($C$7,J51,IF($C$8,K51,IF(L51&lt;&gt;"",L51,F51)))))))</f>
        <v>Ireland</v>
      </c>
      <c r="F51" s="288" t="s">
        <v>346</v>
      </c>
      <c r="G51" s="289" t="s">
        <v>347</v>
      </c>
      <c r="H51" s="290" t="s">
        <v>347</v>
      </c>
      <c r="I51" s="291" t="s">
        <v>348</v>
      </c>
      <c r="J51" s="290" t="s">
        <v>349</v>
      </c>
      <c r="K51" s="292" t="s">
        <v>350</v>
      </c>
      <c r="L51" s="293"/>
    </row>
    <row r="52" customFormat="false" ht="15" hidden="false" customHeight="false" outlineLevel="0" collapsed="false">
      <c r="D52" s="286" t="n">
        <v>48</v>
      </c>
      <c r="E52" s="287" t="str">
        <f aca="false">IF($C$3,F52,IF($C$4,G52,IF($C$5,H52,IF($C$6,I52,IF($C$7,J52,IF($C$8,K52,IF(L52&lt;&gt;"",L52,F52)))))))</f>
        <v>Romania</v>
      </c>
      <c r="F52" s="288" t="s">
        <v>351</v>
      </c>
      <c r="G52" s="289" t="s">
        <v>352</v>
      </c>
      <c r="H52" s="290" t="s">
        <v>351</v>
      </c>
      <c r="I52" s="291" t="s">
        <v>353</v>
      </c>
      <c r="J52" s="290" t="s">
        <v>354</v>
      </c>
      <c r="K52" s="292" t="s">
        <v>355</v>
      </c>
      <c r="L52" s="293"/>
    </row>
    <row r="53" customFormat="false" ht="15" hidden="false" customHeight="false" outlineLevel="0" collapsed="false">
      <c r="D53" s="286" t="n">
        <v>49</v>
      </c>
      <c r="E53" s="287" t="str">
        <f aca="false">IF($C$3,F53,IF($C$4,G53,IF($C$5,H53,IF($C$6,I53,IF($C$7,J53,IF($C$8,K53,IF(L53&lt;&gt;"",L53,F53)))))))</f>
        <v>Saudi Arabia</v>
      </c>
      <c r="F53" s="288" t="s">
        <v>356</v>
      </c>
      <c r="G53" s="289" t="s">
        <v>357</v>
      </c>
      <c r="H53" s="290" t="s">
        <v>357</v>
      </c>
      <c r="I53" s="291" t="s">
        <v>358</v>
      </c>
      <c r="J53" s="290" t="s">
        <v>359</v>
      </c>
      <c r="K53" s="292" t="s">
        <v>360</v>
      </c>
      <c r="L53" s="293"/>
    </row>
    <row r="54" customFormat="false" ht="15" hidden="false" customHeight="false" outlineLevel="0" collapsed="false">
      <c r="D54" s="286" t="n">
        <v>50</v>
      </c>
      <c r="E54" s="287" t="str">
        <f aca="false">IF($C$3,F54,IF($C$4,G54,IF($C$5,H54,IF($C$6,I54,IF($C$7,J54,IF($C$8,K54,IF(L54&lt;&gt;"",L54,F54)))))))</f>
        <v>Paraguay</v>
      </c>
      <c r="F54" s="288" t="s">
        <v>361</v>
      </c>
      <c r="G54" s="289" t="s">
        <v>361</v>
      </c>
      <c r="H54" s="290" t="s">
        <v>361</v>
      </c>
      <c r="I54" s="291" t="s">
        <v>361</v>
      </c>
      <c r="J54" s="290" t="s">
        <v>361</v>
      </c>
      <c r="K54" s="292" t="s">
        <v>361</v>
      </c>
      <c r="L54" s="293"/>
    </row>
    <row r="55" customFormat="false" ht="15" hidden="false" customHeight="false" outlineLevel="0" collapsed="false">
      <c r="D55" s="286" t="n">
        <v>51</v>
      </c>
      <c r="E55" s="287" t="str">
        <f aca="false">IF($C$3,F55,IF($C$4,G55,IF($C$5,H55,IF($C$6,I55,IF($C$7,J55,IF($C$8,K55,IF(L55&lt;&gt;"",L55,F55)))))))</f>
        <v>Qatar</v>
      </c>
      <c r="F55" s="288" t="s">
        <v>362</v>
      </c>
      <c r="G55" s="289" t="s">
        <v>362</v>
      </c>
      <c r="H55" s="290" t="s">
        <v>362</v>
      </c>
      <c r="I55" s="291" t="s">
        <v>362</v>
      </c>
      <c r="J55" s="290" t="s">
        <v>363</v>
      </c>
      <c r="K55" s="292" t="s">
        <v>362</v>
      </c>
      <c r="L55" s="293"/>
    </row>
    <row r="56" customFormat="false" ht="15" hidden="false" customHeight="false" outlineLevel="0" collapsed="false">
      <c r="D56" s="286" t="n">
        <v>52</v>
      </c>
      <c r="E56" s="287" t="str">
        <f aca="false">IF($C$3,F56,IF($C$4,G56,IF($C$5,H56,IF($C$6,I56,IF($C$7,J56,IF($C$8,K56,IF(L56&lt;&gt;"",L56,F56)))))))</f>
        <v>Mali</v>
      </c>
      <c r="F56" s="288" t="s">
        <v>364</v>
      </c>
      <c r="G56" s="289" t="s">
        <v>364</v>
      </c>
      <c r="H56" s="290" t="s">
        <v>364</v>
      </c>
      <c r="I56" s="291" t="s">
        <v>364</v>
      </c>
      <c r="J56" s="290" t="s">
        <v>364</v>
      </c>
      <c r="K56" s="292" t="s">
        <v>364</v>
      </c>
      <c r="L56" s="293"/>
    </row>
    <row r="57" customFormat="false" ht="15" hidden="false" customHeight="false" outlineLevel="0" collapsed="false">
      <c r="D57" s="286" t="n">
        <v>53</v>
      </c>
      <c r="E57" s="287" t="str">
        <f aca="false">IF($C$3,F57,IF($C$4,G57,IF($C$5,H57,IF($C$6,I57,IF($C$7,J57,IF($C$8,K57,IF(L57&lt;&gt;"",L57,F57)))))))</f>
        <v>Ivory Coast</v>
      </c>
      <c r="F57" s="288" t="s">
        <v>365</v>
      </c>
      <c r="G57" s="289" t="s">
        <v>366</v>
      </c>
      <c r="H57" s="290" t="s">
        <v>367</v>
      </c>
      <c r="I57" s="291" t="s">
        <v>368</v>
      </c>
      <c r="J57" s="290" t="s">
        <v>369</v>
      </c>
      <c r="K57" s="292" t="s">
        <v>370</v>
      </c>
      <c r="L57" s="293"/>
    </row>
    <row r="58" customFormat="false" ht="15" hidden="false" customHeight="false" outlineLevel="0" collapsed="false">
      <c r="D58" s="286" t="n">
        <v>54</v>
      </c>
      <c r="E58" s="287" t="str">
        <f aca="false">IF($C$3,F58,IF($C$4,G58,IF($C$5,H58,IF($C$6,I58,IF($C$7,J58,IF($C$8,K58,IF(L58&lt;&gt;"",L58,F58)))))))</f>
        <v>Northern Ireland</v>
      </c>
      <c r="F58" s="288" t="s">
        <v>371</v>
      </c>
      <c r="G58" s="289" t="s">
        <v>372</v>
      </c>
      <c r="H58" s="290" t="s">
        <v>373</v>
      </c>
      <c r="I58" s="291" t="s">
        <v>374</v>
      </c>
      <c r="J58" s="290" t="s">
        <v>375</v>
      </c>
      <c r="K58" s="292" t="s">
        <v>376</v>
      </c>
      <c r="L58" s="293"/>
    </row>
    <row r="59" customFormat="false" ht="15" hidden="false" customHeight="false" outlineLevel="0" collapsed="false">
      <c r="D59" s="286" t="n">
        <v>55</v>
      </c>
      <c r="E59" s="287" t="str">
        <f aca="false">IF($C$3,F59,IF($C$4,G59,IF($C$5,H59,IF($C$6,I59,IF($C$7,J59,IF($C$8,K59,IF(L59&lt;&gt;"",L59,F59)))))))</f>
        <v>Greece</v>
      </c>
      <c r="F59" s="288" t="s">
        <v>377</v>
      </c>
      <c r="G59" s="289" t="s">
        <v>378</v>
      </c>
      <c r="H59" s="290" t="s">
        <v>378</v>
      </c>
      <c r="I59" s="291" t="s">
        <v>379</v>
      </c>
      <c r="J59" s="290" t="s">
        <v>380</v>
      </c>
      <c r="K59" s="292" t="s">
        <v>381</v>
      </c>
      <c r="L59" s="293"/>
    </row>
    <row r="60" customFormat="false" ht="15" hidden="false" customHeight="false" outlineLevel="0" collapsed="false">
      <c r="D60" s="286" t="n">
        <v>56</v>
      </c>
      <c r="E60" s="287" t="str">
        <f aca="false">IF($C$3,F60,IF($C$4,G60,IF($C$5,H60,IF($C$6,I60,IF($C$7,J60,IF($C$8,K60,IF(L60&lt;&gt;"",L60,F60)))))))</f>
        <v>Burkina Faso</v>
      </c>
      <c r="F60" s="288" t="s">
        <v>382</v>
      </c>
      <c r="G60" s="289" t="s">
        <v>382</v>
      </c>
      <c r="H60" s="290" t="s">
        <v>382</v>
      </c>
      <c r="I60" s="291" t="s">
        <v>382</v>
      </c>
      <c r="J60" s="290" t="s">
        <v>382</v>
      </c>
      <c r="K60" s="292" t="s">
        <v>382</v>
      </c>
      <c r="L60" s="293"/>
    </row>
    <row r="61" customFormat="false" ht="15" hidden="false" customHeight="false" outlineLevel="0" collapsed="false">
      <c r="D61" s="286" t="n">
        <v>57</v>
      </c>
      <c r="E61" s="287" t="str">
        <f aca="false">IF($C$3,F61,IF($C$4,G61,IF($C$5,H61,IF($C$6,I61,IF($C$7,J61,IF($C$8,K61,IF(L61&lt;&gt;"",L61,F61)))))))</f>
        <v>Finland</v>
      </c>
      <c r="F61" s="288" t="s">
        <v>383</v>
      </c>
      <c r="G61" s="289" t="s">
        <v>384</v>
      </c>
      <c r="H61" s="290" t="s">
        <v>384</v>
      </c>
      <c r="I61" s="291" t="s">
        <v>385</v>
      </c>
      <c r="J61" s="290" t="s">
        <v>386</v>
      </c>
      <c r="K61" s="292" t="s">
        <v>383</v>
      </c>
      <c r="L61" s="293"/>
    </row>
    <row r="62" customFormat="false" ht="15" hidden="false" customHeight="false" outlineLevel="0" collapsed="false">
      <c r="D62" s="286" t="n">
        <v>58</v>
      </c>
      <c r="E62" s="287" t="str">
        <f aca="false">IF($C$3,F62,IF($C$4,G62,IF($C$5,H62,IF($C$6,I62,IF($C$7,J62,IF($C$8,K62,IF(L62&lt;&gt;"",L62,F62)))))))</f>
        <v>Venezuela</v>
      </c>
      <c r="F62" s="288" t="s">
        <v>387</v>
      </c>
      <c r="G62" s="289" t="s">
        <v>387</v>
      </c>
      <c r="H62" s="290" t="s">
        <v>387</v>
      </c>
      <c r="I62" s="291" t="s">
        <v>387</v>
      </c>
      <c r="J62" s="290" t="s">
        <v>387</v>
      </c>
      <c r="K62" s="292" t="s">
        <v>387</v>
      </c>
      <c r="L62" s="293"/>
    </row>
    <row r="63" customFormat="false" ht="15" hidden="false" customHeight="false" outlineLevel="0" collapsed="false">
      <c r="D63" s="286" t="n">
        <v>59</v>
      </c>
      <c r="E63" s="287" t="str">
        <f aca="false">IF($C$3,F63,IF($C$4,G63,IF($C$5,H63,IF($C$6,I63,IF($C$7,J63,IF($C$8,K63,IF(L63&lt;&gt;"",L63,F63)))))))</f>
        <v>Bosnia a. Herzeg.</v>
      </c>
      <c r="F63" s="288" t="s">
        <v>388</v>
      </c>
      <c r="G63" s="289" t="s">
        <v>389</v>
      </c>
      <c r="H63" s="290" t="s">
        <v>390</v>
      </c>
      <c r="I63" s="291" t="s">
        <v>391</v>
      </c>
      <c r="J63" s="290" t="s">
        <v>392</v>
      </c>
      <c r="K63" s="292" t="s">
        <v>393</v>
      </c>
      <c r="L63" s="293"/>
    </row>
    <row r="64" customFormat="false" ht="15" hidden="false" customHeight="false" outlineLevel="0" collapsed="false">
      <c r="D64" s="286" t="n">
        <v>60</v>
      </c>
      <c r="E64" s="287" t="str">
        <f aca="false">IF($C$3,F64,IF($C$4,G64,IF($C$5,H64,IF($C$6,I64,IF($C$7,J64,IF($C$8,K64,IF(L64&lt;&gt;"",L64,F64)))))))</f>
        <v>Ghana</v>
      </c>
      <c r="F64" s="288" t="s">
        <v>394</v>
      </c>
      <c r="G64" s="289" t="s">
        <v>394</v>
      </c>
      <c r="H64" s="290" t="s">
        <v>394</v>
      </c>
      <c r="I64" s="291" t="s">
        <v>394</v>
      </c>
      <c r="J64" s="290" t="s">
        <v>394</v>
      </c>
      <c r="K64" s="292" t="s">
        <v>394</v>
      </c>
      <c r="L64" s="293"/>
    </row>
    <row r="65" customFormat="false" ht="15" hidden="false" customHeight="false" outlineLevel="0" collapsed="false">
      <c r="D65" s="286" t="n">
        <v>61</v>
      </c>
      <c r="E65" s="287" t="str">
        <f aca="false">IF($C$3,F65,IF($C$4,G65,IF($C$5,H65,IF($C$6,I65,IF($C$7,J65,IF($C$8,K65,IF(L65&lt;&gt;"",L65,F65)))))))</f>
        <v>Panama</v>
      </c>
      <c r="F65" s="288" t="s">
        <v>395</v>
      </c>
      <c r="G65" s="289" t="s">
        <v>396</v>
      </c>
      <c r="H65" s="290" t="s">
        <v>395</v>
      </c>
      <c r="I65" s="291" t="s">
        <v>395</v>
      </c>
      <c r="J65" s="290" t="s">
        <v>395</v>
      </c>
      <c r="K65" s="292" t="s">
        <v>395</v>
      </c>
      <c r="L65" s="293"/>
    </row>
    <row r="66" customFormat="false" ht="15" hidden="false" customHeight="false" outlineLevel="0" collapsed="false">
      <c r="D66" s="286" t="n">
        <v>62</v>
      </c>
      <c r="E66" s="287" t="str">
        <f aca="false">IF($C$3,F66,IF($C$4,G66,IF($C$5,H66,IF($C$6,I66,IF($C$7,J66,IF($C$8,K66,IF(L66&lt;&gt;"",L66,F66)))))))</f>
        <v>North Macedonia</v>
      </c>
      <c r="F66" s="288" t="s">
        <v>397</v>
      </c>
      <c r="G66" s="289" t="s">
        <v>398</v>
      </c>
      <c r="H66" s="290" t="s">
        <v>399</v>
      </c>
      <c r="I66" s="291" t="s">
        <v>400</v>
      </c>
      <c r="J66" s="290" t="s">
        <v>401</v>
      </c>
      <c r="K66" s="292" t="s">
        <v>402</v>
      </c>
      <c r="L66" s="293"/>
    </row>
    <row r="67" customFormat="false" ht="15" hidden="false" customHeight="false" outlineLevel="0" collapsed="false">
      <c r="D67" s="286" t="n">
        <v>63</v>
      </c>
      <c r="E67" s="287" t="str">
        <f aca="false">IF($C$3,F67,IF($C$4,G67,IF($C$5,H67,IF($C$6,I67,IF($C$7,J67,IF($C$8,K67,IF(L67&lt;&gt;"",L67,F67)))))))</f>
        <v>Iceland</v>
      </c>
      <c r="F67" s="288" t="s">
        <v>403</v>
      </c>
      <c r="G67" s="289" t="s">
        <v>404</v>
      </c>
      <c r="H67" s="290" t="s">
        <v>405</v>
      </c>
      <c r="I67" s="291" t="s">
        <v>406</v>
      </c>
      <c r="J67" s="290" t="s">
        <v>407</v>
      </c>
      <c r="K67" s="292" t="s">
        <v>408</v>
      </c>
      <c r="L67" s="293"/>
    </row>
    <row r="68" customFormat="false" ht="15" hidden="false" customHeight="false" outlineLevel="0" collapsed="false">
      <c r="D68" s="286" t="n">
        <v>64</v>
      </c>
      <c r="E68" s="287" t="str">
        <f aca="false">IF($C$3,F68,IF($C$4,G68,IF($C$5,H68,IF($C$6,I68,IF($C$7,J68,IF($C$8,K68,IF(L68&lt;&gt;"",L68,F68)))))))</f>
        <v>Jamaica</v>
      </c>
      <c r="F68" s="288" t="s">
        <v>409</v>
      </c>
      <c r="G68" s="289" t="s">
        <v>409</v>
      </c>
      <c r="H68" s="290" t="s">
        <v>410</v>
      </c>
      <c r="I68" s="291" t="s">
        <v>411</v>
      </c>
      <c r="J68" s="290" t="s">
        <v>412</v>
      </c>
      <c r="K68" s="292" t="s">
        <v>409</v>
      </c>
      <c r="L68" s="293"/>
    </row>
    <row r="69" customFormat="false" ht="15" hidden="false" customHeight="false" outlineLevel="0" collapsed="false">
      <c r="D69" s="286" t="n">
        <v>65</v>
      </c>
      <c r="E69" s="287" t="str">
        <f aca="false">IF($C$3,F69,IF($C$4,G69,IF($C$5,H69,IF($C$6,I69,IF($C$7,J69,IF($C$8,K69,IF(L69&lt;&gt;"",L69,F69)))))))</f>
        <v>Slovenia</v>
      </c>
      <c r="F69" s="288" t="s">
        <v>413</v>
      </c>
      <c r="G69" s="289" t="s">
        <v>414</v>
      </c>
      <c r="H69" s="290" t="s">
        <v>413</v>
      </c>
      <c r="I69" s="291" t="s">
        <v>415</v>
      </c>
      <c r="J69" s="290" t="s">
        <v>416</v>
      </c>
      <c r="K69" s="292" t="s">
        <v>417</v>
      </c>
      <c r="L69" s="293"/>
    </row>
    <row r="70" customFormat="false" ht="15" hidden="false" customHeight="false" outlineLevel="0" collapsed="false">
      <c r="D70" s="286" t="n">
        <v>66</v>
      </c>
      <c r="E70" s="287" t="str">
        <f aca="false">IF($C$3,F70,IF($C$4,G70,IF($C$5,H70,IF($C$6,I70,IF($C$7,J70,IF($C$8,K70,IF(L70&lt;&gt;"",L70,F70)))))))</f>
        <v>Albania</v>
      </c>
      <c r="F70" s="288" t="s">
        <v>418</v>
      </c>
      <c r="G70" s="289" t="s">
        <v>418</v>
      </c>
      <c r="H70" s="290" t="s">
        <v>418</v>
      </c>
      <c r="I70" s="291" t="s">
        <v>419</v>
      </c>
      <c r="J70" s="290" t="s">
        <v>420</v>
      </c>
      <c r="K70" s="292" t="s">
        <v>421</v>
      </c>
      <c r="L70" s="293"/>
    </row>
    <row r="71" customFormat="false" ht="15" hidden="false" customHeight="false" outlineLevel="0" collapsed="false">
      <c r="D71" s="286" t="n">
        <v>67</v>
      </c>
      <c r="E71" s="287" t="str">
        <f aca="false">IF($C$3,F71,IF($C$4,G71,IF($C$5,H71,IF($C$6,I71,IF($C$7,J71,IF($C$8,K71,IF(L71&lt;&gt;"",L71,F71)))))))</f>
        <v>Congo</v>
      </c>
      <c r="F71" s="288" t="s">
        <v>422</v>
      </c>
      <c r="G71" s="289" t="s">
        <v>422</v>
      </c>
      <c r="H71" s="290" t="s">
        <v>422</v>
      </c>
      <c r="I71" s="291" t="s">
        <v>422</v>
      </c>
      <c r="J71" s="290" t="s">
        <v>423</v>
      </c>
      <c r="K71" s="292" t="s">
        <v>422</v>
      </c>
      <c r="L71" s="293"/>
    </row>
    <row r="72" customFormat="false" ht="15" hidden="false" customHeight="false" outlineLevel="0" collapsed="false">
      <c r="D72" s="286" t="n">
        <v>68</v>
      </c>
      <c r="E72" s="287" t="str">
        <f aca="false">IF($C$3,F72,IF($C$4,G72,IF($C$5,H72,IF($C$6,I72,IF($C$7,J72,IF($C$8,K72,IF(L72&lt;&gt;"",L72,F72)))))))</f>
        <v>Un. Ar. Emirates</v>
      </c>
      <c r="F72" s="288" t="s">
        <v>424</v>
      </c>
      <c r="G72" s="289" t="s">
        <v>425</v>
      </c>
      <c r="H72" s="290" t="s">
        <v>426</v>
      </c>
      <c r="I72" s="291" t="s">
        <v>427</v>
      </c>
      <c r="J72" s="290" t="s">
        <v>428</v>
      </c>
      <c r="K72" s="292" t="s">
        <v>429</v>
      </c>
      <c r="L72" s="293"/>
    </row>
    <row r="73" customFormat="false" ht="15" hidden="false" customHeight="false" outlineLevel="0" collapsed="false">
      <c r="D73" s="286" t="n">
        <v>69</v>
      </c>
      <c r="E73" s="287" t="str">
        <f aca="false">IF($C$3,F73,IF($C$4,G73,IF($C$5,H73,IF($C$6,I73,IF($C$7,J73,IF($C$8,K73,IF(L73&lt;&gt;"",L73,F73)))))))</f>
        <v>South Africa</v>
      </c>
      <c r="F73" s="288" t="s">
        <v>430</v>
      </c>
      <c r="G73" s="289" t="s">
        <v>431</v>
      </c>
      <c r="H73" s="290" t="s">
        <v>432</v>
      </c>
      <c r="I73" s="291" t="s">
        <v>433</v>
      </c>
      <c r="J73" s="290" t="s">
        <v>434</v>
      </c>
      <c r="K73" s="292" t="s">
        <v>435</v>
      </c>
      <c r="L73" s="293"/>
    </row>
    <row r="74" customFormat="false" ht="15" hidden="false" customHeight="false" outlineLevel="0" collapsed="false">
      <c r="D74" s="286" t="n">
        <v>70</v>
      </c>
      <c r="E74" s="287" t="str">
        <f aca="false">IF($C$3,F74,IF($C$4,G74,IF($C$5,H74,IF($C$6,I74,IF($C$7,J74,IF($C$8,K74,IF(L74&lt;&gt;"",L74,F74)))))))</f>
        <v>Montenegro</v>
      </c>
      <c r="F74" s="288" t="s">
        <v>436</v>
      </c>
      <c r="G74" s="289" t="s">
        <v>436</v>
      </c>
      <c r="H74" s="290" t="s">
        <v>436</v>
      </c>
      <c r="I74" s="291" t="s">
        <v>437</v>
      </c>
      <c r="J74" s="290" t="s">
        <v>436</v>
      </c>
      <c r="K74" s="292" t="s">
        <v>436</v>
      </c>
      <c r="L74" s="293"/>
    </row>
    <row r="75" customFormat="false" ht="15" hidden="false" customHeight="false" outlineLevel="0" collapsed="false">
      <c r="D75" s="286" t="n">
        <v>72</v>
      </c>
      <c r="E75" s="287" t="str">
        <f aca="false">IF($C$3,F75,IF($C$4,G75,IF($C$5,H75,IF($C$6,I75,IF($C$7,J75,IF($C$8,K75,IF(L75&lt;&gt;"",L75,F75)))))))</f>
        <v>Iraq</v>
      </c>
      <c r="F75" s="288" t="s">
        <v>438</v>
      </c>
      <c r="G75" s="289" t="s">
        <v>438</v>
      </c>
      <c r="H75" s="290" t="s">
        <v>438</v>
      </c>
      <c r="I75" s="291" t="s">
        <v>439</v>
      </c>
      <c r="J75" s="290" t="s">
        <v>439</v>
      </c>
      <c r="K75" s="292" t="s">
        <v>439</v>
      </c>
      <c r="L75" s="293"/>
    </row>
    <row r="76" customFormat="false" ht="15" hidden="false" customHeight="false" outlineLevel="0" collapsed="false">
      <c r="D76" s="286" t="n">
        <v>73</v>
      </c>
      <c r="E76" s="287" t="str">
        <f aca="false">IF($C$3,F76,IF($C$4,G76,IF($C$5,H76,IF($C$6,I76,IF($C$7,J76,IF($C$8,K76,IF(L76&lt;&gt;"",L76,F76)))))))</f>
        <v>Bulgaria</v>
      </c>
      <c r="F76" s="288" t="s">
        <v>440</v>
      </c>
      <c r="G76" s="289" t="s">
        <v>440</v>
      </c>
      <c r="H76" s="290" t="s">
        <v>440</v>
      </c>
      <c r="I76" s="291" t="s">
        <v>441</v>
      </c>
      <c r="J76" s="290" t="s">
        <v>442</v>
      </c>
      <c r="K76" s="292" t="s">
        <v>443</v>
      </c>
      <c r="L76" s="293"/>
    </row>
    <row r="77" customFormat="false" ht="15" hidden="false" customHeight="false" outlineLevel="0" collapsed="false">
      <c r="D77" s="286" t="n">
        <v>76</v>
      </c>
      <c r="E77" s="287" t="str">
        <f aca="false">IF($C$3,F77,IF($C$4,G77,IF($C$5,H77,IF($C$6,I77,IF($C$7,J77,IF($C$8,K77,IF(L77&lt;&gt;"",L77,F77)))))))</f>
        <v>Israel</v>
      </c>
      <c r="F77" s="288" t="s">
        <v>444</v>
      </c>
      <c r="G77" s="289" t="s">
        <v>444</v>
      </c>
      <c r="H77" s="290" t="s">
        <v>445</v>
      </c>
      <c r="I77" s="291" t="s">
        <v>446</v>
      </c>
      <c r="J77" s="290" t="s">
        <v>444</v>
      </c>
      <c r="K77" s="292" t="s">
        <v>446</v>
      </c>
      <c r="L77" s="293"/>
    </row>
    <row r="78" customFormat="false" ht="15" hidden="false" customHeight="false" outlineLevel="0" collapsed="false">
      <c r="D78" s="286" t="n">
        <v>77</v>
      </c>
      <c r="E78" s="287" t="str">
        <f aca="false">IF($C$3,F78,IF($C$4,G78,IF($C$5,H78,IF($C$6,I78,IF($C$7,J78,IF($C$8,K78,IF(L78&lt;&gt;"",L78,F78)))))))</f>
        <v>China</v>
      </c>
      <c r="F78" s="288" t="s">
        <v>447</v>
      </c>
      <c r="G78" s="289" t="s">
        <v>447</v>
      </c>
      <c r="H78" s="290" t="s">
        <v>448</v>
      </c>
      <c r="I78" s="291" t="s">
        <v>449</v>
      </c>
      <c r="J78" s="290" t="s">
        <v>447</v>
      </c>
      <c r="K78" s="292" t="s">
        <v>447</v>
      </c>
      <c r="L78" s="293"/>
    </row>
    <row r="79" customFormat="false" ht="15" hidden="false" customHeight="false" outlineLevel="0" collapsed="false">
      <c r="D79" s="286" t="n">
        <v>78</v>
      </c>
      <c r="E79" s="287" t="str">
        <f aca="false">IF($C$3,F79,IF($C$4,G79,IF($C$5,H79,IF($C$6,I79,IF($C$7,J79,IF($C$8,K79,IF(L79&lt;&gt;"",L79,F79)))))))</f>
        <v>Bolivia</v>
      </c>
      <c r="F79" s="288" t="s">
        <v>450</v>
      </c>
      <c r="G79" s="289" t="s">
        <v>450</v>
      </c>
      <c r="H79" s="290" t="s">
        <v>450</v>
      </c>
      <c r="I79" s="291" t="s">
        <v>451</v>
      </c>
      <c r="J79" s="290" t="s">
        <v>452</v>
      </c>
      <c r="K79" s="292" t="s">
        <v>453</v>
      </c>
      <c r="L79" s="293"/>
    </row>
    <row r="80" customFormat="false" ht="15" hidden="false" customHeight="false" outlineLevel="0" collapsed="false">
      <c r="D80" s="286" t="n">
        <v>82</v>
      </c>
      <c r="E80" s="287" t="str">
        <f aca="false">IF($C$3,F80,IF($C$4,G80,IF($C$5,H80,IF($C$6,I80,IF($C$7,J80,IF($C$8,K80,IF(L80&lt;&gt;"",L80,F80)))))))</f>
        <v>Honduras</v>
      </c>
      <c r="F80" s="288" t="s">
        <v>454</v>
      </c>
      <c r="G80" s="289" t="s">
        <v>454</v>
      </c>
      <c r="H80" s="290" t="s">
        <v>454</v>
      </c>
      <c r="I80" s="291" t="s">
        <v>454</v>
      </c>
      <c r="J80" s="290" t="s">
        <v>454</v>
      </c>
      <c r="K80" s="292" t="s">
        <v>454</v>
      </c>
      <c r="L80" s="293"/>
    </row>
    <row r="81" customFormat="false" ht="15" hidden="false" customHeight="false" outlineLevel="0" collapsed="false">
      <c r="D81" s="286" t="n">
        <v>89</v>
      </c>
      <c r="E81" s="287" t="str">
        <f aca="false">IF($C$3,F81,IF($C$4,G81,IF($C$5,H81,IF($C$6,I81,IF($C$7,J81,IF($C$8,K81,IF(L81&lt;&gt;"",L81,F81)))))))</f>
        <v>Bahrain</v>
      </c>
      <c r="F81" s="288" t="s">
        <v>455</v>
      </c>
      <c r="G81" s="289" t="s">
        <v>456</v>
      </c>
      <c r="H81" s="290" t="s">
        <v>455</v>
      </c>
      <c r="I81" s="291" t="s">
        <v>457</v>
      </c>
      <c r="J81" s="290" t="s">
        <v>455</v>
      </c>
      <c r="K81" s="292" t="s">
        <v>456</v>
      </c>
      <c r="L81" s="293"/>
    </row>
    <row r="82" customFormat="false" ht="15" hidden="false" customHeight="false" outlineLevel="0" collapsed="false">
      <c r="D82" s="286" t="n">
        <v>92</v>
      </c>
      <c r="E82" s="287" t="str">
        <f aca="false">IF($C$3,F82,IF($C$4,G82,IF($C$5,H82,IF($C$6,I82,IF($C$7,J82,IF($C$8,K82,IF(L82&lt;&gt;"",L82,F82)))))))</f>
        <v>Armenia</v>
      </c>
      <c r="F82" s="288" t="s">
        <v>458</v>
      </c>
      <c r="G82" s="289" t="s">
        <v>458</v>
      </c>
      <c r="H82" s="290" t="s">
        <v>458</v>
      </c>
      <c r="I82" s="291" t="s">
        <v>459</v>
      </c>
      <c r="J82" s="290" t="s">
        <v>460</v>
      </c>
      <c r="K82" s="292" t="s">
        <v>461</v>
      </c>
      <c r="L82" s="293"/>
    </row>
    <row r="83" customFormat="false" ht="15" hidden="false" customHeight="false" outlineLevel="0" collapsed="false">
      <c r="D83" s="286" t="n">
        <v>93</v>
      </c>
      <c r="E83" s="287" t="str">
        <f aca="false">IF($C$3,F83,IF($C$4,G83,IF($C$5,H83,IF($C$6,I83,IF($C$7,J83,IF($C$8,K83,IF(L83&lt;&gt;"",L83,F83)))))))</f>
        <v>Belarus</v>
      </c>
      <c r="F83" s="288" t="s">
        <v>462</v>
      </c>
      <c r="G83" s="289" t="s">
        <v>463</v>
      </c>
      <c r="H83" s="290" t="s">
        <v>464</v>
      </c>
      <c r="I83" s="291" t="s">
        <v>465</v>
      </c>
      <c r="J83" s="290" t="s">
        <v>466</v>
      </c>
      <c r="K83" s="292" t="s">
        <v>467</v>
      </c>
      <c r="L83" s="293"/>
    </row>
    <row r="84" customFormat="false" ht="15" hidden="false" customHeight="false" outlineLevel="0" collapsed="false">
      <c r="D84" s="286"/>
      <c r="E84" s="287" t="str">
        <f aca="false">IF($C$3,F84,IF($C$4,G84,IF($C$5,H84,IF($C$6,I84,IF($C$7,J84,IF($C$8,K84,IF(L84&lt;&gt;"",L84,F84)))))))</f>
        <v>Uzbekistan</v>
      </c>
      <c r="F84" s="288" t="s">
        <v>468</v>
      </c>
      <c r="G84" s="289" t="s">
        <v>469</v>
      </c>
      <c r="H84" s="290" t="s">
        <v>468</v>
      </c>
      <c r="I84" s="291" t="s">
        <v>470</v>
      </c>
      <c r="J84" s="290" t="s">
        <v>471</v>
      </c>
      <c r="K84" s="292" t="s">
        <v>472</v>
      </c>
      <c r="L84" s="293"/>
    </row>
    <row r="85" customFormat="false" ht="15" hidden="false" customHeight="false" outlineLevel="0" collapsed="false">
      <c r="D85" s="286"/>
      <c r="E85" s="287" t="str">
        <f aca="false">IF($C$3,F85,IF($C$4,G85,IF($C$5,H85,IF($C$6,I85,IF($C$7,J85,IF($C$8,K85,IF(L85&lt;&gt;"",L85,F85)))))))</f>
        <v>Haiti</v>
      </c>
      <c r="F85" s="288" t="s">
        <v>473</v>
      </c>
      <c r="G85" s="289" t="s">
        <v>474</v>
      </c>
      <c r="H85" s="290" t="s">
        <v>473</v>
      </c>
      <c r="I85" s="291" t="s">
        <v>475</v>
      </c>
      <c r="J85" s="290" t="s">
        <v>473</v>
      </c>
      <c r="K85" s="292" t="s">
        <v>475</v>
      </c>
      <c r="L85" s="293"/>
    </row>
    <row r="86" customFormat="false" ht="15" hidden="false" customHeight="false" outlineLevel="0" collapsed="false">
      <c r="D86" s="286"/>
      <c r="E86" s="287" t="str">
        <f aca="false">IF($C$3,F86,IF($C$4,G86,IF($C$5,H86,IF($C$6,I86,IF($C$7,J86,IF($C$8,K86,IF(L86&lt;&gt;"",L86,F86)))))))</f>
        <v>El Salvador</v>
      </c>
      <c r="F86" s="288" t="s">
        <v>476</v>
      </c>
      <c r="G86" s="289" t="s">
        <v>476</v>
      </c>
      <c r="H86" s="290" t="s">
        <v>476</v>
      </c>
      <c r="I86" s="291" t="s">
        <v>476</v>
      </c>
      <c r="J86" s="290" t="s">
        <v>476</v>
      </c>
      <c r="K86" s="292" t="s">
        <v>476</v>
      </c>
      <c r="L86" s="293"/>
    </row>
    <row r="87" customFormat="false" ht="15" hidden="false" customHeight="false" outlineLevel="0" collapsed="false">
      <c r="D87" s="286"/>
      <c r="E87" s="287" t="str">
        <f aca="false">IF($C$3,F87,IF($C$4,G87,IF($C$5,H87,IF($C$6,I87,IF($C$7,J87,IF($C$8,K87,IF(L87&lt;&gt;"",L87,F87)))))))</f>
        <v>Oman</v>
      </c>
      <c r="F87" s="288" t="s">
        <v>477</v>
      </c>
      <c r="G87" s="289" t="s">
        <v>478</v>
      </c>
      <c r="H87" s="290" t="s">
        <v>477</v>
      </c>
      <c r="I87" s="291" t="s">
        <v>477</v>
      </c>
      <c r="J87" s="290" t="s">
        <v>477</v>
      </c>
      <c r="K87" s="292" t="s">
        <v>477</v>
      </c>
      <c r="L87" s="293"/>
    </row>
    <row r="88" customFormat="false" ht="15" hidden="false" customHeight="false" outlineLevel="0" collapsed="false">
      <c r="D88" s="286"/>
      <c r="E88" s="287" t="str">
        <f aca="false">IF($C$3,F88,IF($C$4,G88,IF($C$5,H88,IF($C$6,I88,IF($C$7,J88,IF($C$8,K88,IF(L88&lt;&gt;"",L88,F88)))))))</f>
        <v>Kosovo</v>
      </c>
      <c r="F88" s="294" t="s">
        <v>479</v>
      </c>
      <c r="G88" s="295" t="s">
        <v>479</v>
      </c>
      <c r="H88" s="296" t="s">
        <v>479</v>
      </c>
      <c r="I88" s="297" t="s">
        <v>479</v>
      </c>
      <c r="J88" s="296" t="s">
        <v>479</v>
      </c>
      <c r="K88" s="292" t="s">
        <v>479</v>
      </c>
      <c r="L88" s="298"/>
    </row>
    <row r="89" customFormat="false" ht="15" hidden="false" customHeight="false" outlineLevel="0" collapsed="false">
      <c r="D89" s="286"/>
      <c r="E89" s="287" t="str">
        <f aca="false">IF($C$3,F89,IF($C$4,G89,IF($C$5,H89,IF($C$6,I89,IF($C$7,J89,IF($C$8,K89,IF(L89&lt;&gt;"",L89,F89)))))))</f>
        <v>Georgia</v>
      </c>
      <c r="F89" s="294" t="s">
        <v>480</v>
      </c>
      <c r="G89" s="295" t="s">
        <v>480</v>
      </c>
      <c r="H89" s="296" t="s">
        <v>480</v>
      </c>
      <c r="I89" s="297" t="s">
        <v>481</v>
      </c>
      <c r="J89" s="296" t="s">
        <v>482</v>
      </c>
      <c r="K89" s="292" t="s">
        <v>483</v>
      </c>
      <c r="L89" s="298"/>
    </row>
    <row r="90" customFormat="false" ht="15" hidden="false" customHeight="false" outlineLevel="0" collapsed="false">
      <c r="D90" s="286" t="n">
        <v>99</v>
      </c>
      <c r="E90" s="287" t="str">
        <f aca="false">IF($C$3,F90,IF($C$4,G90,IF($C$5,H90,IF($C$6,I90,IF($C$7,J90,IF($C$8,K90,IF(L90&lt;&gt;"",L90,F90)))))))</f>
        <v>New Zealand</v>
      </c>
      <c r="F90" s="294" t="s">
        <v>484</v>
      </c>
      <c r="G90" s="295" t="s">
        <v>485</v>
      </c>
      <c r="H90" s="296" t="s">
        <v>486</v>
      </c>
      <c r="I90" s="297" t="s">
        <v>487</v>
      </c>
      <c r="J90" s="296" t="s">
        <v>488</v>
      </c>
      <c r="K90" s="292" t="s">
        <v>489</v>
      </c>
      <c r="L90" s="298"/>
    </row>
    <row r="91" customFormat="false" ht="15" hidden="false" customHeight="false" outlineLevel="0" collapsed="false">
      <c r="D91" s="286" t="n">
        <v>101</v>
      </c>
      <c r="E91" s="287" t="str">
        <f aca="false">IF($C$3,F91,IF($C$4,G91,IF($C$5,H91,IF($C$6,I91,IF($C$7,J91,IF($C$8,K91,IF(L91&lt;&gt;"",L91,F91)))))))</f>
        <v>Playoff UEFA</v>
      </c>
      <c r="F91" s="294" t="s">
        <v>490</v>
      </c>
      <c r="G91" s="295" t="s">
        <v>490</v>
      </c>
      <c r="H91" s="296" t="s">
        <v>490</v>
      </c>
      <c r="I91" s="297" t="s">
        <v>490</v>
      </c>
      <c r="J91" s="296" t="s">
        <v>490</v>
      </c>
      <c r="K91" s="292" t="s">
        <v>490</v>
      </c>
      <c r="L91" s="298"/>
    </row>
    <row r="92" customFormat="false" ht="15" hidden="false" customHeight="false" outlineLevel="0" collapsed="false">
      <c r="D92" s="286" t="n">
        <v>102</v>
      </c>
      <c r="E92" s="287" t="str">
        <f aca="false">IF($C$3,F92,IF($C$4,G92,IF($C$5,H92,IF($C$6,I92,IF($C$7,J92,IF($C$8,K92,IF(L92&lt;&gt;"",L92,F92)))))))</f>
        <v>Playoff Int. 1</v>
      </c>
      <c r="F92" s="294" t="s">
        <v>491</v>
      </c>
      <c r="G92" s="295" t="s">
        <v>491</v>
      </c>
      <c r="H92" s="296" t="s">
        <v>491</v>
      </c>
      <c r="I92" s="297" t="s">
        <v>491</v>
      </c>
      <c r="J92" s="296" t="s">
        <v>491</v>
      </c>
      <c r="K92" s="292" t="s">
        <v>491</v>
      </c>
      <c r="L92" s="298"/>
    </row>
    <row r="93" customFormat="false" ht="15" hidden="false" customHeight="false" outlineLevel="0" collapsed="false">
      <c r="D93" s="286" t="n">
        <v>103</v>
      </c>
      <c r="E93" s="287" t="str">
        <f aca="false">IF($C$3,F93,IF($C$4,G93,IF($C$5,H93,IF($C$6,I93,IF($C$7,J93,IF($C$8,K93,IF(L93&lt;&gt;"",L93,F93)))))))</f>
        <v>Playoff Int. 2</v>
      </c>
      <c r="F93" s="294" t="s">
        <v>492</v>
      </c>
      <c r="G93" s="295" t="s">
        <v>492</v>
      </c>
      <c r="H93" s="296" t="s">
        <v>492</v>
      </c>
      <c r="I93" s="297" t="s">
        <v>492</v>
      </c>
      <c r="J93" s="296" t="s">
        <v>492</v>
      </c>
      <c r="K93" s="292" t="s">
        <v>492</v>
      </c>
      <c r="L93" s="298"/>
    </row>
    <row r="94" customFormat="false" ht="15.75" hidden="false" customHeight="false" outlineLevel="0" collapsed="false">
      <c r="D94" s="299"/>
      <c r="E94" s="287" t="n">
        <f aca="false">IF($C$3,F94,IF($C$4,G94,IF($C$5,H94,IF($C$6,I94,IF($C$7,J94,IF($C$8,K94,IF(L94&lt;&gt;"",L94,F94)))))))</f>
        <v>0</v>
      </c>
      <c r="F94" s="300"/>
      <c r="G94" s="301"/>
      <c r="H94" s="302"/>
      <c r="I94" s="303"/>
      <c r="J94" s="304"/>
      <c r="K94" s="305"/>
      <c r="L94" s="306"/>
    </row>
    <row r="95" customFormat="false" ht="16.5" hidden="false" customHeight="false" outlineLevel="0" collapsed="false">
      <c r="E95" s="287"/>
      <c r="F95" s="307"/>
      <c r="G95" s="307"/>
      <c r="H95" s="307"/>
      <c r="I95" s="307"/>
      <c r="J95" s="307"/>
      <c r="K95" s="308"/>
      <c r="L95" s="307"/>
    </row>
    <row r="96" customFormat="false" ht="30.75" hidden="false" customHeight="false" outlineLevel="0" collapsed="false">
      <c r="D96" s="309" t="s">
        <v>493</v>
      </c>
      <c r="E96" s="310"/>
      <c r="F96" s="311" t="s">
        <v>494</v>
      </c>
      <c r="G96" s="312"/>
      <c r="H96" s="312"/>
      <c r="I96" s="312"/>
      <c r="J96" s="312"/>
      <c r="K96" s="313"/>
      <c r="L96" s="314"/>
    </row>
    <row r="97" customFormat="false" ht="15" hidden="false" customHeight="false" outlineLevel="0" collapsed="false">
      <c r="D97" s="286" t="n">
        <v>1</v>
      </c>
      <c r="E97" s="287" t="str">
        <f aca="false">IF($C$3,F97,IF($C$4,G97,IF($C$5,H97,IF($C$6,I97,IF($C$7,J97,IF($C$8,K97,IF(L97&lt;&gt;"",L97,F97)))))))</f>
        <v>Al Bayt</v>
      </c>
      <c r="F97" s="288" t="s">
        <v>495</v>
      </c>
      <c r="G97" s="289" t="s">
        <v>495</v>
      </c>
      <c r="H97" s="290" t="s">
        <v>495</v>
      </c>
      <c r="I97" s="291" t="s">
        <v>495</v>
      </c>
      <c r="J97" s="290" t="s">
        <v>495</v>
      </c>
      <c r="K97" s="292" t="s">
        <v>495</v>
      </c>
      <c r="L97" s="293"/>
    </row>
    <row r="98" customFormat="false" ht="15" hidden="false" customHeight="false" outlineLevel="0" collapsed="false">
      <c r="D98" s="315" t="n">
        <v>2</v>
      </c>
      <c r="E98" s="287" t="str">
        <f aca="false">IF($C$3,F98,IF($C$4,G98,IF($C$5,H98,IF($C$6,I98,IF($C$7,J98,IF($C$8,K98,IF(L98&lt;&gt;"",L98,F98)))))))</f>
        <v>Khalifa Internat.</v>
      </c>
      <c r="F98" s="288" t="s">
        <v>496</v>
      </c>
      <c r="G98" s="289" t="s">
        <v>496</v>
      </c>
      <c r="H98" s="290" t="s">
        <v>496</v>
      </c>
      <c r="I98" s="291" t="s">
        <v>496</v>
      </c>
      <c r="J98" s="290" t="s">
        <v>496</v>
      </c>
      <c r="K98" s="292" t="s">
        <v>496</v>
      </c>
      <c r="L98" s="293"/>
    </row>
    <row r="99" customFormat="false" ht="15" hidden="false" customHeight="false" outlineLevel="0" collapsed="false">
      <c r="D99" s="315" t="n">
        <v>3</v>
      </c>
      <c r="E99" s="287" t="str">
        <f aca="false">IF($C$3,F99,IF($C$4,G99,IF($C$5,H99,IF($C$6,I99,IF($C$7,J99,IF($C$8,K99,IF(L99&lt;&gt;"",L99,F99)))))))</f>
        <v>Al Thumama</v>
      </c>
      <c r="F99" s="288" t="s">
        <v>497</v>
      </c>
      <c r="G99" s="289" t="s">
        <v>497</v>
      </c>
      <c r="H99" s="290" t="s">
        <v>497</v>
      </c>
      <c r="I99" s="291" t="s">
        <v>497</v>
      </c>
      <c r="J99" s="290" t="s">
        <v>497</v>
      </c>
      <c r="K99" s="292" t="s">
        <v>497</v>
      </c>
      <c r="L99" s="293"/>
    </row>
    <row r="100" customFormat="false" ht="15" hidden="false" customHeight="false" outlineLevel="0" collapsed="false">
      <c r="D100" s="315" t="n">
        <v>4</v>
      </c>
      <c r="E100" s="287" t="str">
        <f aca="false">IF($C$3,F100,IF($C$4,G100,IF($C$5,H100,IF($C$6,I100,IF($C$7,J100,IF($C$8,K100,IF(L100&lt;&gt;"",L100,F100)))))))</f>
        <v>Ahmad Bin Ali</v>
      </c>
      <c r="F100" s="288" t="s">
        <v>498</v>
      </c>
      <c r="G100" s="289" t="s">
        <v>498</v>
      </c>
      <c r="H100" s="290" t="s">
        <v>498</v>
      </c>
      <c r="I100" s="291" t="s">
        <v>498</v>
      </c>
      <c r="J100" s="290" t="s">
        <v>498</v>
      </c>
      <c r="K100" s="292" t="s">
        <v>498</v>
      </c>
      <c r="L100" s="293"/>
    </row>
    <row r="101" customFormat="false" ht="15" hidden="false" customHeight="false" outlineLevel="0" collapsed="false">
      <c r="D101" s="315" t="n">
        <v>5</v>
      </c>
      <c r="E101" s="287" t="str">
        <f aca="false">IF($C$3,F101,IF($C$4,G101,IF($C$5,H101,IF($C$6,I101,IF($C$7,J101,IF($C$8,K101,IF(L101&lt;&gt;"",L101,F101)))))))</f>
        <v>Lusail</v>
      </c>
      <c r="F101" s="288" t="s">
        <v>499</v>
      </c>
      <c r="G101" s="289" t="s">
        <v>499</v>
      </c>
      <c r="H101" s="290" t="s">
        <v>499</v>
      </c>
      <c r="I101" s="291" t="s">
        <v>499</v>
      </c>
      <c r="J101" s="290" t="s">
        <v>499</v>
      </c>
      <c r="K101" s="292" t="s">
        <v>499</v>
      </c>
      <c r="L101" s="293"/>
    </row>
    <row r="102" customFormat="false" ht="15" hidden="false" customHeight="false" outlineLevel="0" collapsed="false">
      <c r="D102" s="315" t="n">
        <v>6</v>
      </c>
      <c r="E102" s="287" t="str">
        <f aca="false">IF($C$3,F102,IF($C$4,G102,IF($C$5,H102,IF($C$6,I102,IF($C$7,J102,IF($C$8,K102,IF(L102&lt;&gt;"",L102,F102)))))))</f>
        <v>Stadium 974</v>
      </c>
      <c r="F102" s="288" t="s">
        <v>500</v>
      </c>
      <c r="G102" s="289" t="s">
        <v>501</v>
      </c>
      <c r="H102" s="290" t="s">
        <v>502</v>
      </c>
      <c r="I102" s="291" t="s">
        <v>503</v>
      </c>
      <c r="J102" s="290" t="s">
        <v>504</v>
      </c>
      <c r="K102" s="292" t="s">
        <v>504</v>
      </c>
      <c r="L102" s="293"/>
    </row>
    <row r="103" customFormat="false" ht="15" hidden="false" customHeight="false" outlineLevel="0" collapsed="false">
      <c r="D103" s="315" t="n">
        <v>7</v>
      </c>
      <c r="E103" s="287" t="str">
        <f aca="false">IF($C$3,F103,IF($C$4,G103,IF($C$5,H103,IF($C$6,I103,IF($C$7,J103,IF($C$8,K103,IF(L103&lt;&gt;"",L103,F103)))))))</f>
        <v>Education City</v>
      </c>
      <c r="F103" s="288" t="s">
        <v>505</v>
      </c>
      <c r="G103" s="289" t="s">
        <v>505</v>
      </c>
      <c r="H103" s="290" t="s">
        <v>505</v>
      </c>
      <c r="I103" s="291" t="s">
        <v>505</v>
      </c>
      <c r="J103" s="290" t="s">
        <v>505</v>
      </c>
      <c r="K103" s="292" t="s">
        <v>505</v>
      </c>
      <c r="L103" s="293"/>
    </row>
    <row r="104" customFormat="false" ht="15" hidden="false" customHeight="false" outlineLevel="0" collapsed="false">
      <c r="D104" s="315" t="n">
        <v>8</v>
      </c>
      <c r="E104" s="287" t="str">
        <f aca="false">IF($C$3,F104,IF($C$4,G104,IF($C$5,H104,IF($C$6,I104,IF($C$7,J104,IF($C$8,K104,IF(L104&lt;&gt;"",L104,F104)))))))</f>
        <v>Al Janoub</v>
      </c>
      <c r="F104" s="288" t="s">
        <v>506</v>
      </c>
      <c r="G104" s="289" t="s">
        <v>506</v>
      </c>
      <c r="H104" s="290" t="s">
        <v>506</v>
      </c>
      <c r="I104" s="291" t="s">
        <v>506</v>
      </c>
      <c r="J104" s="290" t="s">
        <v>506</v>
      </c>
      <c r="K104" s="292" t="s">
        <v>506</v>
      </c>
      <c r="L104" s="293"/>
    </row>
    <row r="105" customFormat="false" ht="15" hidden="false" customHeight="false" outlineLevel="0" collapsed="false">
      <c r="D105" s="315" t="n">
        <v>9</v>
      </c>
      <c r="E105" s="287" t="n">
        <f aca="false">IF($C$3,F105,IF($C$4,G105,IF($C$5,H105,IF($C$6,I105,IF($C$7,J105,IF($C$8,K105,IF(L105&lt;&gt;"",L105,F105)))))))</f>
        <v>0</v>
      </c>
      <c r="F105" s="288"/>
      <c r="G105" s="289"/>
      <c r="H105" s="290"/>
      <c r="I105" s="291"/>
      <c r="J105" s="290"/>
      <c r="K105" s="292"/>
      <c r="L105" s="293"/>
    </row>
    <row r="106" customFormat="false" ht="15" hidden="false" customHeight="false" outlineLevel="0" collapsed="false">
      <c r="D106" s="315" t="n">
        <v>10</v>
      </c>
      <c r="E106" s="287" t="n">
        <f aca="false">IF($C$3,F106,IF($C$4,G106,IF($C$5,H106,IF($C$6,I106,IF($C$7,J106,IF($C$8,K106,IF(L106&lt;&gt;"",L106,F106)))))))</f>
        <v>0</v>
      </c>
      <c r="F106" s="288"/>
      <c r="G106" s="289"/>
      <c r="H106" s="290"/>
      <c r="I106" s="291"/>
      <c r="J106" s="290"/>
      <c r="K106" s="292"/>
      <c r="L106" s="293"/>
    </row>
    <row r="107" customFormat="false" ht="15" hidden="false" customHeight="false" outlineLevel="0" collapsed="false">
      <c r="D107" s="315" t="n">
        <v>11</v>
      </c>
      <c r="E107" s="287" t="n">
        <f aca="false">IF($C$3,F107,IF($C$4,G107,IF($C$5,H107,IF($C$6,I107,IF($C$7,J107,IF($C$8,K107,IF(L107&lt;&gt;"",L107,F107)))))))</f>
        <v>0</v>
      </c>
      <c r="F107" s="288"/>
      <c r="G107" s="289"/>
      <c r="H107" s="290"/>
      <c r="I107" s="291"/>
      <c r="J107" s="290"/>
      <c r="K107" s="292"/>
      <c r="L107" s="293"/>
    </row>
    <row r="108" customFormat="false" ht="15" hidden="false" customHeight="false" outlineLevel="0" collapsed="false">
      <c r="D108" s="315" t="n">
        <v>12</v>
      </c>
      <c r="E108" s="287" t="n">
        <f aca="false">IF($C$3,F108,IF($C$4,G108,IF($C$5,H108,IF($C$6,I108,IF($C$7,J108,IF($C$8,K108,IF(L108&lt;&gt;"",L108,F108)))))))</f>
        <v>0</v>
      </c>
      <c r="F108" s="288"/>
      <c r="G108" s="289"/>
      <c r="H108" s="290"/>
      <c r="I108" s="291"/>
      <c r="J108" s="290"/>
      <c r="K108" s="292"/>
      <c r="L108" s="293"/>
    </row>
    <row r="109" customFormat="false" ht="15" hidden="false" customHeight="false" outlineLevel="0" collapsed="false">
      <c r="D109" s="315" t="n">
        <v>13</v>
      </c>
      <c r="E109" s="287" t="n">
        <f aca="false">IF($C$3,F109,IF($C$4,G109,IF($C$5,H109,IF($C$6,I109,IF($C$7,J109,IF($C$8,K109,IF(L109&lt;&gt;"",L109,F109)))))))</f>
        <v>0</v>
      </c>
      <c r="F109" s="288"/>
      <c r="G109" s="289"/>
      <c r="H109" s="290"/>
      <c r="I109" s="291"/>
      <c r="J109" s="290"/>
      <c r="K109" s="292"/>
      <c r="L109" s="293"/>
    </row>
    <row r="110" customFormat="false" ht="15" hidden="false" customHeight="false" outlineLevel="0" collapsed="false">
      <c r="D110" s="315" t="n">
        <v>14</v>
      </c>
      <c r="E110" s="287" t="n">
        <f aca="false">IF($C$3,F110,IF($C$4,G110,IF($C$5,H110,IF($C$6,I110,IF($C$7,J110,IF($C$8,K110,IF(L110&lt;&gt;"",L110,F110)))))))</f>
        <v>0</v>
      </c>
      <c r="F110" s="288"/>
      <c r="G110" s="289"/>
      <c r="H110" s="290"/>
      <c r="I110" s="291"/>
      <c r="J110" s="290"/>
      <c r="K110" s="292"/>
      <c r="L110" s="293"/>
    </row>
    <row r="111" customFormat="false" ht="15" hidden="false" customHeight="false" outlineLevel="0" collapsed="false">
      <c r="D111" s="315" t="n">
        <v>15</v>
      </c>
      <c r="E111" s="287" t="n">
        <f aca="false">IF($C$3,F111,IF($C$4,G111,IF($C$5,H111,IF($C$6,I111,IF($C$7,J111,IF($C$8,K111,IF(L111&lt;&gt;"",L111,F111)))))))</f>
        <v>0</v>
      </c>
      <c r="F111" s="288"/>
      <c r="G111" s="289"/>
      <c r="H111" s="290"/>
      <c r="I111" s="291"/>
      <c r="J111" s="290"/>
      <c r="K111" s="292"/>
      <c r="L111" s="293"/>
    </row>
    <row r="112" customFormat="false" ht="15.75" hidden="false" customHeight="false" outlineLevel="0" collapsed="false">
      <c r="D112" s="316" t="n">
        <v>16</v>
      </c>
      <c r="E112" s="287" t="n">
        <f aca="false">IF($C$3,F112,IF($C$4,G112,IF($C$5,H112,IF($C$6,I112,IF($C$7,J112,IF($C$8,K112,IF(L112&lt;&gt;"",L112,F112)))))))</f>
        <v>0</v>
      </c>
      <c r="F112" s="300"/>
      <c r="G112" s="301"/>
      <c r="H112" s="302"/>
      <c r="I112" s="303"/>
      <c r="J112" s="304"/>
      <c r="K112" s="305"/>
      <c r="L112" s="306"/>
    </row>
    <row r="113" customFormat="false" ht="16.5" hidden="false" customHeight="false" outlineLevel="0" collapsed="false">
      <c r="D113" s="87"/>
      <c r="E113" s="287"/>
      <c r="F113" s="317"/>
      <c r="G113" s="317"/>
      <c r="H113" s="317"/>
      <c r="I113" s="317"/>
      <c r="J113" s="317"/>
      <c r="K113" s="318"/>
      <c r="L113" s="317"/>
    </row>
    <row r="114" customFormat="false" ht="29.25" hidden="false" customHeight="false" outlineLevel="0" collapsed="false">
      <c r="E114" s="59"/>
      <c r="F114" s="319" t="s">
        <v>507</v>
      </c>
      <c r="G114" s="320"/>
      <c r="H114" s="320"/>
      <c r="I114" s="320"/>
      <c r="J114" s="320"/>
      <c r="K114" s="321"/>
      <c r="L114" s="322"/>
    </row>
    <row r="115" customFormat="false" ht="30" hidden="false" customHeight="false" outlineLevel="0" collapsed="false">
      <c r="E115" s="287" t="str">
        <f aca="false">IF($C$3,F115,IF($C$4,G115,IF($C$5,H115,IF($C$6,I115,IF($C$7,J115,IF($C$8,K115,IF(L115&lt;&gt;"",L115,F115)))))))</f>
        <v>World Cup 2022 in Qatar</v>
      </c>
      <c r="F115" s="323" t="s">
        <v>508</v>
      </c>
      <c r="G115" s="324" t="s">
        <v>509</v>
      </c>
      <c r="H115" s="325" t="s">
        <v>510</v>
      </c>
      <c r="I115" s="326" t="s">
        <v>511</v>
      </c>
      <c r="J115" s="325" t="s">
        <v>512</v>
      </c>
      <c r="K115" s="327" t="s">
        <v>513</v>
      </c>
      <c r="L115" s="328"/>
    </row>
    <row r="116" customFormat="false" ht="30" hidden="false" customHeight="false" outlineLevel="0" collapsed="false">
      <c r="E116" s="287" t="str">
        <f aca="false">IF($C$3,F116,IF($C$4,G116,IF($C$5,H116,IF($C$6,I116,IF($C$7,J116,IF($C$8,K116,IF(L116&lt;&gt;"",L116,F116)))))))</f>
        <v>Direct comparisons</v>
      </c>
      <c r="F116" s="323" t="s">
        <v>514</v>
      </c>
      <c r="G116" s="324" t="s">
        <v>515</v>
      </c>
      <c r="H116" s="325" t="s">
        <v>516</v>
      </c>
      <c r="I116" s="326" t="s">
        <v>517</v>
      </c>
      <c r="J116" s="325" t="s">
        <v>518</v>
      </c>
      <c r="K116" s="327" t="s">
        <v>519</v>
      </c>
      <c r="L116" s="328"/>
    </row>
    <row r="117" customFormat="false" ht="30" hidden="false" customHeight="false" outlineLevel="0" collapsed="false">
      <c r="E117" s="287" t="str">
        <f aca="false">IF($C$3,F117,IF($C$4,G117,IF($C$5,H117,IF($C$6,I117,IF($C$7,J117,IF($C$8,K117,IF(L117&lt;&gt;"",L117,F117)))))))</f>
        <v>Fair play and drawing lots</v>
      </c>
      <c r="F117" s="323" t="s">
        <v>520</v>
      </c>
      <c r="G117" s="324" t="s">
        <v>521</v>
      </c>
      <c r="H117" s="325" t="s">
        <v>522</v>
      </c>
      <c r="I117" s="326" t="s">
        <v>521</v>
      </c>
      <c r="J117" s="325" t="s">
        <v>523</v>
      </c>
      <c r="K117" s="327" t="s">
        <v>524</v>
      </c>
      <c r="L117" s="328"/>
    </row>
    <row r="118" customFormat="false" ht="30" hidden="false" customHeight="false" outlineLevel="0" collapsed="false">
      <c r="E118" s="287" t="str">
        <f aca="false">IF($C$3,F118,IF($C$4,G118,IF($C$5,H118,IF($C$6,I118,IF($C$7,J118,IF($C$8,K118,IF(L118&lt;&gt;"",L118,F118)))))))</f>
        <v>Choose time zone</v>
      </c>
      <c r="F118" s="323" t="s">
        <v>525</v>
      </c>
      <c r="G118" s="324" t="s">
        <v>526</v>
      </c>
      <c r="H118" s="325" t="s">
        <v>527</v>
      </c>
      <c r="I118" s="326" t="s">
        <v>528</v>
      </c>
      <c r="J118" s="325" t="s">
        <v>529</v>
      </c>
      <c r="K118" s="327" t="s">
        <v>530</v>
      </c>
      <c r="L118" s="328"/>
    </row>
    <row r="119" customFormat="false" ht="15" hidden="false" customHeight="false" outlineLevel="0" collapsed="false">
      <c r="E119" s="287" t="str">
        <f aca="false">IF($C$3,F119,IF($C$4,G119,IF($C$5,H119,IF($C$6,I119,IF($C$7,J119,IF($C$8,K119,IF(L119&lt;&gt;"",L119,F119)))))))</f>
        <v>Matches</v>
      </c>
      <c r="F119" s="323" t="s">
        <v>531</v>
      </c>
      <c r="G119" s="324" t="s">
        <v>532</v>
      </c>
      <c r="H119" s="325" t="s">
        <v>533</v>
      </c>
      <c r="I119" s="326" t="s">
        <v>534</v>
      </c>
      <c r="J119" s="325" t="s">
        <v>535</v>
      </c>
      <c r="K119" s="327" t="s">
        <v>536</v>
      </c>
      <c r="L119" s="328"/>
    </row>
    <row r="120" customFormat="false" ht="15" hidden="false" customHeight="false" outlineLevel="0" collapsed="false">
      <c r="E120" s="287" t="str">
        <f aca="false">IF($C$3,F120,IF($C$4,G120,IF($C$5,H120,IF($C$6,I120,IF($C$7,J120,IF($C$8,K120,IF(L120&lt;&gt;"",L120,F120)))))))</f>
        <v>Choose language</v>
      </c>
      <c r="F120" s="323" t="s">
        <v>537</v>
      </c>
      <c r="G120" s="324" t="s">
        <v>538</v>
      </c>
      <c r="H120" s="325" t="s">
        <v>539</v>
      </c>
      <c r="I120" s="326" t="s">
        <v>540</v>
      </c>
      <c r="J120" s="325" t="s">
        <v>541</v>
      </c>
      <c r="K120" s="327" t="s">
        <v>542</v>
      </c>
      <c r="L120" s="328"/>
    </row>
    <row r="121" customFormat="false" ht="30" hidden="false" customHeight="false" outlineLevel="0" collapsed="false">
      <c r="E121" s="287" t="str">
        <f aca="false">IF($C$3,F121,IF($C$4,G121,IF($C$5,H121,IF($C$6,I121,IF($C$7,J121,IF($C$8,K121,IF(L121&lt;&gt;"",L121,F121)))))))</f>
        <v>Predictions Ranking</v>
      </c>
      <c r="F121" s="323" t="s">
        <v>543</v>
      </c>
      <c r="G121" s="324" t="s">
        <v>544</v>
      </c>
      <c r="H121" s="325" t="s">
        <v>545</v>
      </c>
      <c r="I121" s="326" t="s">
        <v>546</v>
      </c>
      <c r="J121" s="325" t="s">
        <v>547</v>
      </c>
      <c r="K121" s="327" t="s">
        <v>548</v>
      </c>
      <c r="L121" s="328"/>
    </row>
    <row r="122" customFormat="false" ht="15" hidden="false" customHeight="false" outlineLevel="0" collapsed="false">
      <c r="E122" s="287" t="n">
        <f aca="false">IF($C$3,F122,IF($C$4,G122,IF($C$5,H122,IF($C$6,I122,IF($C$7,J122,IF($C$8,K122,IF(L122&lt;&gt;"",L122,F122)))))))</f>
        <v>0</v>
      </c>
      <c r="F122" s="323"/>
      <c r="G122" s="324"/>
      <c r="H122" s="325"/>
      <c r="I122" s="326"/>
      <c r="J122" s="325"/>
      <c r="K122" s="327"/>
      <c r="L122" s="328"/>
    </row>
    <row r="123" customFormat="false" ht="28.5" hidden="false" customHeight="false" outlineLevel="0" collapsed="false">
      <c r="E123" s="59"/>
      <c r="F123" s="329" t="s">
        <v>549</v>
      </c>
      <c r="G123" s="330"/>
      <c r="H123" s="330"/>
      <c r="I123" s="330"/>
      <c r="J123" s="330"/>
      <c r="K123" s="331"/>
      <c r="L123" s="332"/>
      <c r="M123" s="333"/>
    </row>
    <row r="124" customFormat="false" ht="15" hidden="false" customHeight="true" outlineLevel="0" collapsed="false">
      <c r="E124" s="287" t="str">
        <f aca="false">IF($C$3,F124,IF($C$4,G124,IF($C$5,H124,IF($C$6,I124,IF($C$7,J124,IF($C$8,K124,IF(L124&lt;&gt;"",L124,F124)))))))</f>
        <v>Group</v>
      </c>
      <c r="F124" s="334" t="s">
        <v>550</v>
      </c>
      <c r="G124" s="335" t="s">
        <v>551</v>
      </c>
      <c r="H124" s="336" t="s">
        <v>552</v>
      </c>
      <c r="I124" s="337" t="s">
        <v>553</v>
      </c>
      <c r="J124" s="336" t="s">
        <v>554</v>
      </c>
      <c r="K124" s="338" t="s">
        <v>555</v>
      </c>
      <c r="L124" s="293"/>
      <c r="M124" s="333"/>
    </row>
    <row r="125" customFormat="false" ht="15" hidden="false" customHeight="true" outlineLevel="0" collapsed="false">
      <c r="E125" s="287" t="str">
        <f aca="false">IF($C$3,F125,IF($C$4,G125,IF($C$5,H125,IF($C$6,I125,IF($C$7,J125,IF($C$8,K125,IF(L125&lt;&gt;"",L125,F125)))))))</f>
        <v>Pts.</v>
      </c>
      <c r="F125" s="334" t="s">
        <v>556</v>
      </c>
      <c r="G125" s="335" t="s">
        <v>557</v>
      </c>
      <c r="H125" s="336" t="s">
        <v>557</v>
      </c>
      <c r="I125" s="337" t="s">
        <v>557</v>
      </c>
      <c r="J125" s="336" t="s">
        <v>558</v>
      </c>
      <c r="K125" s="338" t="s">
        <v>559</v>
      </c>
      <c r="L125" s="293"/>
      <c r="M125" s="333"/>
    </row>
    <row r="126" customFormat="false" ht="15" hidden="false" customHeight="true" outlineLevel="0" collapsed="false">
      <c r="E126" s="287" t="str">
        <f aca="false">IF($C$3,F126,IF($C$4,G126,IF($C$5,H126,IF($C$6,I126,IF($C$7,J126,IF($C$8,K126,IF(L126&lt;&gt;"",L126,F126)))))))</f>
        <v>Diff.</v>
      </c>
      <c r="F126" s="334" t="s">
        <v>560</v>
      </c>
      <c r="G126" s="335" t="s">
        <v>561</v>
      </c>
      <c r="H126" s="336" t="s">
        <v>560</v>
      </c>
      <c r="I126" s="337" t="s">
        <v>560</v>
      </c>
      <c r="J126" s="336" t="s">
        <v>560</v>
      </c>
      <c r="K126" s="338" t="s">
        <v>562</v>
      </c>
      <c r="L126" s="293"/>
      <c r="M126" s="333"/>
    </row>
    <row r="127" customFormat="false" ht="15" hidden="false" customHeight="true" outlineLevel="0" collapsed="false">
      <c r="E127" s="287" t="str">
        <f aca="false">IF($C$3,F127,IF($C$4,G127,IF($C$5,H127,IF($C$6,I127,IF($C$7,J127,IF($C$8,K127,IF(L127&lt;&gt;"",L127,F127)))))))</f>
        <v>Goals</v>
      </c>
      <c r="F127" s="334" t="s">
        <v>563</v>
      </c>
      <c r="G127" s="335" t="s">
        <v>564</v>
      </c>
      <c r="H127" s="336" t="s">
        <v>565</v>
      </c>
      <c r="I127" s="337" t="s">
        <v>566</v>
      </c>
      <c r="J127" s="336" t="s">
        <v>567</v>
      </c>
      <c r="K127" s="338" t="s">
        <v>568</v>
      </c>
      <c r="L127" s="293"/>
      <c r="M127" s="333"/>
    </row>
    <row r="128" customFormat="false" ht="15" hidden="false" customHeight="true" outlineLevel="0" collapsed="false">
      <c r="E128" s="287" t="str">
        <f aca="false">IF($C$3,F128,IF($C$4,G128,IF($C$5,H128,IF($C$6,I128,IF($C$7,J128,IF($C$8,K128,IF(L128&lt;&gt;"",L128,F128)))))))</f>
        <v>  Pts.     Goals</v>
      </c>
      <c r="F128" s="334" t="s">
        <v>569</v>
      </c>
      <c r="G128" s="335" t="s">
        <v>570</v>
      </c>
      <c r="H128" s="336" t="s">
        <v>571</v>
      </c>
      <c r="I128" s="337" t="s">
        <v>572</v>
      </c>
      <c r="J128" s="336" t="s">
        <v>573</v>
      </c>
      <c r="K128" s="338" t="s">
        <v>574</v>
      </c>
      <c r="L128" s="293"/>
      <c r="M128" s="333"/>
    </row>
    <row r="129" customFormat="false" ht="15" hidden="false" customHeight="true" outlineLevel="0" collapsed="false">
      <c r="E129" s="287" t="str">
        <f aca="false">IF($C$3,F129,IF($C$4,G129,IF($C$5,H129,IF($C$6,I129,IF($C$7,J129,IF($C$8,K129,IF(L129&lt;&gt;"",L129,F129)))))))</f>
        <v>Total</v>
      </c>
      <c r="F129" s="334" t="s">
        <v>575</v>
      </c>
      <c r="G129" s="335" t="s">
        <v>575</v>
      </c>
      <c r="H129" s="336" t="s">
        <v>576</v>
      </c>
      <c r="I129" s="337" t="s">
        <v>575</v>
      </c>
      <c r="J129" s="336" t="s">
        <v>575</v>
      </c>
      <c r="K129" s="338" t="s">
        <v>577</v>
      </c>
      <c r="L129" s="293"/>
      <c r="M129" s="333"/>
    </row>
    <row r="130" customFormat="false" ht="15" hidden="false" customHeight="true" outlineLevel="0" collapsed="false">
      <c r="E130" s="287" t="str">
        <f aca="false">IF($C$3,F130,IF($C$4,G130,IF($C$5,H130,IF($C$6,I130,IF($C$7,J130,IF($C$8,K130,IF(L130&lt;&gt;"",L130,F130)))))))</f>
        <v>Fair Play/Lot</v>
      </c>
      <c r="F130" s="334" t="s">
        <v>578</v>
      </c>
      <c r="G130" s="335" t="s">
        <v>579</v>
      </c>
      <c r="H130" s="336" t="s">
        <v>579</v>
      </c>
      <c r="I130" s="337" t="s">
        <v>580</v>
      </c>
      <c r="J130" s="336" t="s">
        <v>581</v>
      </c>
      <c r="K130" s="338" t="s">
        <v>582</v>
      </c>
      <c r="L130" s="293"/>
      <c r="M130" s="333"/>
    </row>
    <row r="131" customFormat="false" ht="15" hidden="false" customHeight="true" outlineLevel="0" collapsed="false">
      <c r="E131" s="287" t="str">
        <f aca="false">IF($C$3,F131,IF($C$4,G131,IF($C$5,H131,IF($C$6,I131,IF($C$7,J131,IF($C$8,K131,IF(L131&lt;&gt;"",L131,F131)))))))</f>
        <v>Not clear</v>
      </c>
      <c r="F131" s="334" t="s">
        <v>583</v>
      </c>
      <c r="G131" s="335" t="s">
        <v>584</v>
      </c>
      <c r="H131" s="336" t="s">
        <v>585</v>
      </c>
      <c r="I131" s="337" t="s">
        <v>586</v>
      </c>
      <c r="J131" s="336" t="s">
        <v>587</v>
      </c>
      <c r="K131" s="338" t="s">
        <v>588</v>
      </c>
      <c r="L131" s="293"/>
      <c r="M131" s="333"/>
    </row>
    <row r="132" customFormat="false" ht="15" hidden="false" customHeight="true" outlineLevel="0" collapsed="false">
      <c r="E132" s="287" t="str">
        <f aca="false">IF($C$3,F132,IF($C$4,G132,IF($C$5,H132,IF($C$6,I132,IF($C$7,J132,IF($C$8,K132,IF(L132&lt;&gt;"",L132,F132)))))))</f>
        <v>Dir. Conp.(2)</v>
      </c>
      <c r="F132" s="334" t="s">
        <v>589</v>
      </c>
      <c r="G132" s="335" t="s">
        <v>590</v>
      </c>
      <c r="H132" s="336" t="s">
        <v>591</v>
      </c>
      <c r="I132" s="337" t="s">
        <v>590</v>
      </c>
      <c r="J132" s="336" t="s">
        <v>592</v>
      </c>
      <c r="K132" s="338" t="s">
        <v>592</v>
      </c>
      <c r="L132" s="293"/>
      <c r="M132" s="333"/>
    </row>
    <row r="133" customFormat="false" ht="15" hidden="false" customHeight="true" outlineLevel="0" collapsed="false">
      <c r="E133" s="287" t="str">
        <f aca="false">IF($C$3,F133,IF($C$4,G133,IF($C$5,H133,IF($C$6,I133,IF($C$7,J133,IF($C$8,K133,IF(L133&lt;&gt;"",L133,F133)))))))</f>
        <v>Dir. Comp.(3)</v>
      </c>
      <c r="F133" s="334" t="s">
        <v>593</v>
      </c>
      <c r="G133" s="335" t="s">
        <v>594</v>
      </c>
      <c r="H133" s="336" t="s">
        <v>595</v>
      </c>
      <c r="I133" s="337" t="s">
        <v>594</v>
      </c>
      <c r="J133" s="336" t="s">
        <v>596</v>
      </c>
      <c r="K133" s="338" t="s">
        <v>596</v>
      </c>
      <c r="L133" s="293"/>
      <c r="M133" s="333"/>
    </row>
    <row r="134" customFormat="false" ht="15" hidden="false" customHeight="false" outlineLevel="0" collapsed="false">
      <c r="E134" s="287" t="str">
        <f aca="false">IF($C$3,F134,IF($C$4,G134,IF($C$5,H134,IF($C$6,I134,IF($C$7,J134,IF($C$8,K134,IF(L134&lt;&gt;"",L134,F134)))))))</f>
        <v>Final table</v>
      </c>
      <c r="F134" s="288" t="s">
        <v>597</v>
      </c>
      <c r="G134" s="289" t="s">
        <v>598</v>
      </c>
      <c r="H134" s="290" t="s">
        <v>599</v>
      </c>
      <c r="I134" s="291" t="s">
        <v>600</v>
      </c>
      <c r="J134" s="290" t="s">
        <v>601</v>
      </c>
      <c r="K134" s="292" t="s">
        <v>602</v>
      </c>
      <c r="L134" s="293"/>
      <c r="M134" s="339"/>
      <c r="N134" s="339"/>
      <c r="O134" s="339"/>
    </row>
    <row r="135" customFormat="false" ht="15.75" hidden="false" customHeight="false" outlineLevel="0" collapsed="false">
      <c r="E135" s="287" t="str">
        <f aca="false">IF($C$3,F135,IF($C$4,G135,IF($C$5,H135,IF($C$6,I135,IF($C$7,J135,IF($C$8,K135,IF(L135&lt;&gt;"",L135,F135)))))))</f>
        <v>World Champion 2022:</v>
      </c>
      <c r="F135" s="288" t="s">
        <v>603</v>
      </c>
      <c r="G135" s="289" t="s">
        <v>604</v>
      </c>
      <c r="H135" s="290" t="s">
        <v>605</v>
      </c>
      <c r="I135" s="291" t="s">
        <v>606</v>
      </c>
      <c r="J135" s="290" t="s">
        <v>607</v>
      </c>
      <c r="K135" s="292" t="s">
        <v>608</v>
      </c>
      <c r="L135" s="293"/>
      <c r="M135" s="339"/>
      <c r="N135" s="339"/>
      <c r="O135" s="339"/>
    </row>
    <row r="136" customFormat="false" ht="15.75" hidden="false" customHeight="false" outlineLevel="0" collapsed="false">
      <c r="D136" s="340" t="n">
        <v>1</v>
      </c>
      <c r="E136" s="287" t="str">
        <f aca="false">IF($C$3,F136,IF($C$4,G136,IF($C$5,H136,IF($C$6,I136,IF($C$7,J136,IF($C$8,K136,IF(L136&lt;&gt;"",L136,F136)))))))</f>
        <v>Round of 16 - 1</v>
      </c>
      <c r="F136" s="288" t="s">
        <v>609</v>
      </c>
      <c r="G136" s="289" t="s">
        <v>610</v>
      </c>
      <c r="H136" s="290" t="s">
        <v>611</v>
      </c>
      <c r="I136" s="291" t="s">
        <v>612</v>
      </c>
      <c r="J136" s="290" t="s">
        <v>613</v>
      </c>
      <c r="K136" s="292" t="s">
        <v>614</v>
      </c>
      <c r="L136" s="293"/>
      <c r="M136" s="339"/>
      <c r="N136" s="339"/>
      <c r="O136" s="339"/>
    </row>
    <row r="137" customFormat="false" ht="15" hidden="false" customHeight="false" outlineLevel="0" collapsed="false">
      <c r="D137" s="315" t="n">
        <v>2</v>
      </c>
      <c r="E137" s="287" t="str">
        <f aca="false">IF($C$3,F137,IF($C$4,G137,IF($C$5,H137,IF($C$6,I137,IF($C$7,J137,IF($C$8,K137,IF(L137&lt;&gt;"",L137,F137)))))))</f>
        <v>Round of 16 - 2</v>
      </c>
      <c r="F137" s="288" t="s">
        <v>615</v>
      </c>
      <c r="G137" s="289" t="s">
        <v>616</v>
      </c>
      <c r="H137" s="290" t="s">
        <v>617</v>
      </c>
      <c r="I137" s="291" t="s">
        <v>618</v>
      </c>
      <c r="J137" s="290" t="s">
        <v>619</v>
      </c>
      <c r="K137" s="292" t="s">
        <v>620</v>
      </c>
      <c r="L137" s="293"/>
      <c r="M137" s="339"/>
      <c r="N137" s="339"/>
      <c r="O137" s="339"/>
    </row>
    <row r="138" customFormat="false" ht="15" hidden="false" customHeight="false" outlineLevel="0" collapsed="false">
      <c r="D138" s="315" t="n">
        <v>3</v>
      </c>
      <c r="E138" s="287" t="str">
        <f aca="false">IF($C$3,F138,IF($C$4,G138,IF($C$5,H138,IF($C$6,I138,IF($C$7,J138,IF($C$8,K138,IF(L138&lt;&gt;"",L138,F138)))))))</f>
        <v>Round of 16 - 3</v>
      </c>
      <c r="F138" s="288" t="s">
        <v>621</v>
      </c>
      <c r="G138" s="289" t="s">
        <v>622</v>
      </c>
      <c r="H138" s="290" t="s">
        <v>623</v>
      </c>
      <c r="I138" s="291" t="s">
        <v>624</v>
      </c>
      <c r="J138" s="290" t="s">
        <v>625</v>
      </c>
      <c r="K138" s="292" t="s">
        <v>626</v>
      </c>
      <c r="L138" s="293"/>
      <c r="M138" s="339"/>
      <c r="N138" s="339"/>
      <c r="O138" s="339"/>
    </row>
    <row r="139" customFormat="false" ht="15" hidden="false" customHeight="false" outlineLevel="0" collapsed="false">
      <c r="D139" s="315" t="n">
        <v>4</v>
      </c>
      <c r="E139" s="287" t="str">
        <f aca="false">IF($C$3,F139,IF($C$4,G139,IF($C$5,H139,IF($C$6,I139,IF($C$7,J139,IF($C$8,K139,IF(L139&lt;&gt;"",L139,F139)))))))</f>
        <v>Round of 16 - 4</v>
      </c>
      <c r="F139" s="288" t="s">
        <v>627</v>
      </c>
      <c r="G139" s="289" t="s">
        <v>628</v>
      </c>
      <c r="H139" s="290" t="s">
        <v>629</v>
      </c>
      <c r="I139" s="291" t="s">
        <v>630</v>
      </c>
      <c r="J139" s="290" t="s">
        <v>631</v>
      </c>
      <c r="K139" s="292" t="s">
        <v>632</v>
      </c>
      <c r="L139" s="293"/>
      <c r="M139" s="339"/>
      <c r="N139" s="339"/>
      <c r="O139" s="339"/>
    </row>
    <row r="140" customFormat="false" ht="15" hidden="false" customHeight="false" outlineLevel="0" collapsed="false">
      <c r="D140" s="315" t="n">
        <v>5</v>
      </c>
      <c r="E140" s="287" t="str">
        <f aca="false">IF($C$3,F140,IF($C$4,G140,IF($C$5,H140,IF($C$6,I140,IF($C$7,J140,IF($C$8,K140,IF(L140&lt;&gt;"",L140,F140)))))))</f>
        <v>Round of 16 - 5</v>
      </c>
      <c r="F140" s="288" t="s">
        <v>633</v>
      </c>
      <c r="G140" s="289" t="s">
        <v>634</v>
      </c>
      <c r="H140" s="290" t="s">
        <v>635</v>
      </c>
      <c r="I140" s="291" t="s">
        <v>636</v>
      </c>
      <c r="J140" s="290" t="s">
        <v>637</v>
      </c>
      <c r="K140" s="292" t="s">
        <v>638</v>
      </c>
      <c r="L140" s="293"/>
      <c r="M140" s="339"/>
      <c r="N140" s="339"/>
      <c r="O140" s="339"/>
    </row>
    <row r="141" customFormat="false" ht="15" hidden="false" customHeight="false" outlineLevel="0" collapsed="false">
      <c r="D141" s="315" t="n">
        <v>6</v>
      </c>
      <c r="E141" s="287" t="str">
        <f aca="false">IF($C$3,F141,IF($C$4,G141,IF($C$5,H141,IF($C$6,I141,IF($C$7,J141,IF($C$8,K141,IF(L141&lt;&gt;"",L141,F141)))))))</f>
        <v>Round of 16 - 6</v>
      </c>
      <c r="F141" s="288" t="s">
        <v>639</v>
      </c>
      <c r="G141" s="289" t="s">
        <v>640</v>
      </c>
      <c r="H141" s="290" t="s">
        <v>641</v>
      </c>
      <c r="I141" s="291" t="s">
        <v>642</v>
      </c>
      <c r="J141" s="290" t="s">
        <v>643</v>
      </c>
      <c r="K141" s="292" t="s">
        <v>644</v>
      </c>
      <c r="L141" s="293"/>
      <c r="M141" s="339"/>
      <c r="N141" s="339"/>
      <c r="O141" s="339"/>
    </row>
    <row r="142" customFormat="false" ht="15" hidden="false" customHeight="false" outlineLevel="0" collapsed="false">
      <c r="D142" s="315" t="n">
        <v>7</v>
      </c>
      <c r="E142" s="287" t="str">
        <f aca="false">IF($C$3,F142,IF($C$4,G142,IF($C$5,H142,IF($C$6,I142,IF($C$7,J142,IF($C$8,K142,IF(L142&lt;&gt;"",L142,F142)))))))</f>
        <v>Round of 16 - 7</v>
      </c>
      <c r="F142" s="288" t="s">
        <v>645</v>
      </c>
      <c r="G142" s="289" t="s">
        <v>646</v>
      </c>
      <c r="H142" s="290" t="s">
        <v>647</v>
      </c>
      <c r="I142" s="291" t="s">
        <v>648</v>
      </c>
      <c r="J142" s="290" t="s">
        <v>649</v>
      </c>
      <c r="K142" s="292" t="s">
        <v>650</v>
      </c>
      <c r="L142" s="293"/>
    </row>
    <row r="143" customFormat="false" ht="15.75" hidden="false" customHeight="false" outlineLevel="0" collapsed="false">
      <c r="D143" s="316" t="n">
        <v>8</v>
      </c>
      <c r="E143" s="287" t="str">
        <f aca="false">IF($C$3,F143,IF($C$4,G143,IF($C$5,H143,IF($C$6,I143,IF($C$7,J143,IF($C$8,K143,IF(L143&lt;&gt;"",L143,F143)))))))</f>
        <v>Round of 16 - 8</v>
      </c>
      <c r="F143" s="288" t="s">
        <v>651</v>
      </c>
      <c r="G143" s="289" t="s">
        <v>652</v>
      </c>
      <c r="H143" s="290" t="s">
        <v>653</v>
      </c>
      <c r="I143" s="291" t="s">
        <v>654</v>
      </c>
      <c r="J143" s="290" t="s">
        <v>655</v>
      </c>
      <c r="K143" s="292" t="s">
        <v>656</v>
      </c>
      <c r="L143" s="293"/>
    </row>
    <row r="144" customFormat="false" ht="15.75" hidden="false" customHeight="false" outlineLevel="0" collapsed="false">
      <c r="D144" s="340" t="n">
        <v>1</v>
      </c>
      <c r="E144" s="287" t="str">
        <f aca="false">IF($C$3,F144,IF($C$4,G144,IF($C$5,H144,IF($C$6,I144,IF($C$7,J144,IF($C$8,K144,IF(L144&lt;&gt;"",L144,F144)))))))</f>
        <v>Quarter final 1</v>
      </c>
      <c r="F144" s="341" t="s">
        <v>657</v>
      </c>
      <c r="G144" s="289" t="s">
        <v>658</v>
      </c>
      <c r="H144" s="290" t="s">
        <v>659</v>
      </c>
      <c r="I144" s="291" t="s">
        <v>660</v>
      </c>
      <c r="J144" s="290" t="s">
        <v>661</v>
      </c>
      <c r="K144" s="292" t="s">
        <v>662</v>
      </c>
      <c r="L144" s="293"/>
    </row>
    <row r="145" customFormat="false" ht="15" hidden="false" customHeight="false" outlineLevel="0" collapsed="false">
      <c r="D145" s="315" t="n">
        <v>2</v>
      </c>
      <c r="E145" s="287" t="str">
        <f aca="false">IF($C$3,F145,IF($C$4,G145,IF($C$5,H145,IF($C$6,I145,IF($C$7,J145,IF($C$8,K145,IF(L145&lt;&gt;"",L145,F145)))))))</f>
        <v>Quarter final 2</v>
      </c>
      <c r="F145" s="341" t="s">
        <v>663</v>
      </c>
      <c r="G145" s="289" t="s">
        <v>664</v>
      </c>
      <c r="H145" s="290" t="s">
        <v>665</v>
      </c>
      <c r="I145" s="291" t="s">
        <v>666</v>
      </c>
      <c r="J145" s="290" t="s">
        <v>667</v>
      </c>
      <c r="K145" s="292" t="s">
        <v>668</v>
      </c>
      <c r="L145" s="293"/>
    </row>
    <row r="146" customFormat="false" ht="15" hidden="false" customHeight="false" outlineLevel="0" collapsed="false">
      <c r="D146" s="315" t="n">
        <v>3</v>
      </c>
      <c r="E146" s="287" t="str">
        <f aca="false">IF($C$3,F146,IF($C$4,G146,IF($C$5,H146,IF($C$6,I146,IF($C$7,J146,IF($C$8,K146,IF(L146&lt;&gt;"",L146,F146)))))))</f>
        <v>Quarter final 3</v>
      </c>
      <c r="F146" s="341" t="s">
        <v>669</v>
      </c>
      <c r="G146" s="289" t="s">
        <v>670</v>
      </c>
      <c r="H146" s="290" t="s">
        <v>671</v>
      </c>
      <c r="I146" s="291" t="s">
        <v>672</v>
      </c>
      <c r="J146" s="290" t="s">
        <v>673</v>
      </c>
      <c r="K146" s="292" t="s">
        <v>674</v>
      </c>
      <c r="L146" s="293"/>
    </row>
    <row r="147" customFormat="false" ht="15.75" hidden="false" customHeight="false" outlineLevel="0" collapsed="false">
      <c r="D147" s="316" t="n">
        <v>4</v>
      </c>
      <c r="E147" s="287" t="str">
        <f aca="false">IF($C$3,F147,IF($C$4,G147,IF($C$5,H147,IF($C$6,I147,IF($C$7,J147,IF($C$8,K147,IF(L147&lt;&gt;"",L147,F147)))))))</f>
        <v>Quarter final 4</v>
      </c>
      <c r="F147" s="341" t="s">
        <v>675</v>
      </c>
      <c r="G147" s="289" t="s">
        <v>676</v>
      </c>
      <c r="H147" s="290" t="s">
        <v>677</v>
      </c>
      <c r="I147" s="291" t="s">
        <v>678</v>
      </c>
      <c r="J147" s="290" t="s">
        <v>679</v>
      </c>
      <c r="K147" s="292" t="s">
        <v>680</v>
      </c>
      <c r="L147" s="293"/>
    </row>
    <row r="148" customFormat="false" ht="15.75" hidden="false" customHeight="false" outlineLevel="0" collapsed="false">
      <c r="E148" s="287" t="str">
        <f aca="false">IF($C$3,F148,IF($C$4,G148,IF($C$5,H148,IF($C$6,I148,IF($C$7,J148,IF($C$8,K148,IF(L148&lt;&gt;"",L148,F148)))))))</f>
        <v>Semi-Final 1</v>
      </c>
      <c r="F148" s="288" t="s">
        <v>681</v>
      </c>
      <c r="G148" s="289" t="s">
        <v>682</v>
      </c>
      <c r="H148" s="290" t="s">
        <v>683</v>
      </c>
      <c r="I148" s="291" t="s">
        <v>684</v>
      </c>
      <c r="J148" s="290" t="s">
        <v>685</v>
      </c>
      <c r="K148" s="292" t="s">
        <v>686</v>
      </c>
      <c r="L148" s="293"/>
    </row>
    <row r="149" customFormat="false" ht="15" hidden="false" customHeight="false" outlineLevel="0" collapsed="false">
      <c r="E149" s="287" t="str">
        <f aca="false">IF($C$3,F149,IF($C$4,G149,IF($C$5,H149,IF($C$6,I149,IF($C$7,J149,IF($C$8,K149,IF(L149&lt;&gt;"",L149,F149)))))))</f>
        <v>Semi-Final 2</v>
      </c>
      <c r="F149" s="288" t="s">
        <v>687</v>
      </c>
      <c r="G149" s="289" t="s">
        <v>688</v>
      </c>
      <c r="H149" s="290" t="s">
        <v>689</v>
      </c>
      <c r="I149" s="291" t="s">
        <v>690</v>
      </c>
      <c r="J149" s="290" t="s">
        <v>691</v>
      </c>
      <c r="K149" s="292" t="s">
        <v>692</v>
      </c>
      <c r="L149" s="293"/>
    </row>
    <row r="150" customFormat="false" ht="15" hidden="false" customHeight="false" outlineLevel="0" collapsed="false">
      <c r="E150" s="287" t="str">
        <f aca="false">IF($C$3,F150,IF($C$4,G150,IF($C$5,H150,IF($C$6,I150,IF($C$7,J150,IF($C$8,K150,IF(L150&lt;&gt;"",L150,F150)))))))</f>
        <v>Third place</v>
      </c>
      <c r="F150" s="288" t="s">
        <v>693</v>
      </c>
      <c r="G150" s="289" t="s">
        <v>694</v>
      </c>
      <c r="H150" s="290" t="s">
        <v>695</v>
      </c>
      <c r="I150" s="291" t="s">
        <v>696</v>
      </c>
      <c r="J150" s="290" t="s">
        <v>697</v>
      </c>
      <c r="K150" s="292" t="s">
        <v>698</v>
      </c>
      <c r="L150" s="293"/>
    </row>
    <row r="151" customFormat="false" ht="15" hidden="false" customHeight="false" outlineLevel="0" collapsed="false">
      <c r="E151" s="287" t="str">
        <f aca="false">IF($C$3,F151,IF($C$4,G151,IF($C$5,H151,IF($C$6,I151,IF($C$7,J151,IF($C$8,K151,IF(L151&lt;&gt;"",L151,F151)))))))</f>
        <v>Final</v>
      </c>
      <c r="F151" s="288" t="s">
        <v>699</v>
      </c>
      <c r="G151" s="289" t="s">
        <v>699</v>
      </c>
      <c r="H151" s="290" t="s">
        <v>700</v>
      </c>
      <c r="I151" s="291" t="s">
        <v>699</v>
      </c>
      <c r="J151" s="290" t="s">
        <v>700</v>
      </c>
      <c r="K151" s="292" t="s">
        <v>700</v>
      </c>
      <c r="L151" s="293"/>
    </row>
    <row r="152" customFormat="false" ht="15" hidden="false" customHeight="false" outlineLevel="0" collapsed="false">
      <c r="E152" s="287" t="str">
        <f aca="false">IF($C$3,F152,IF($C$4,G152,IF($C$5,H152,IF($C$6,I152,IF($C$7,J152,IF($C$8,K152,IF(L152&lt;&gt;"",L152,F152)))))))</f>
        <v>Bonus</v>
      </c>
      <c r="F152" s="288" t="s">
        <v>701</v>
      </c>
      <c r="G152" s="289" t="s">
        <v>702</v>
      </c>
      <c r="H152" s="290" t="s">
        <v>701</v>
      </c>
      <c r="I152" s="291" t="s">
        <v>703</v>
      </c>
      <c r="J152" s="290" t="s">
        <v>701</v>
      </c>
      <c r="K152" s="292" t="s">
        <v>701</v>
      </c>
      <c r="L152" s="293"/>
    </row>
    <row r="153" customFormat="false" ht="15" hidden="false" customHeight="false" outlineLevel="0" collapsed="false">
      <c r="E153" s="287" t="str">
        <f aca="false">IF($C$3,F153,IF($C$4,G153,IF($C$5,H153,IF($C$6,I153,IF($C$7,J153,IF($C$8,K153,IF(L153&lt;&gt;"",L153,F153)))))))</f>
        <v>Penalty shoot-out:</v>
      </c>
      <c r="F153" s="288" t="s">
        <v>704</v>
      </c>
      <c r="G153" s="289" t="s">
        <v>705</v>
      </c>
      <c r="H153" s="290" t="s">
        <v>706</v>
      </c>
      <c r="I153" s="291" t="s">
        <v>707</v>
      </c>
      <c r="J153" s="290" t="s">
        <v>708</v>
      </c>
      <c r="K153" s="292" t="s">
        <v>709</v>
      </c>
      <c r="L153" s="293"/>
    </row>
    <row r="154" customFormat="false" ht="15" hidden="false" customHeight="false" outlineLevel="0" collapsed="false">
      <c r="E154" s="287" t="str">
        <f aca="false">IF($C$3,F154,IF($C$4,G154,IF($C$5,H154,IF($C$6,I154,IF($C$7,J154,IF($C$8,K154,IF(L154&lt;&gt;"",L154,F154)))))))</f>
        <v>Name</v>
      </c>
      <c r="F154" s="288" t="s">
        <v>3</v>
      </c>
      <c r="G154" s="289" t="s">
        <v>710</v>
      </c>
      <c r="H154" s="290" t="s">
        <v>711</v>
      </c>
      <c r="I154" s="291" t="s">
        <v>712</v>
      </c>
      <c r="J154" s="290" t="s">
        <v>3</v>
      </c>
      <c r="K154" s="292" t="s">
        <v>713</v>
      </c>
      <c r="L154" s="293"/>
    </row>
    <row r="155" customFormat="false" ht="28.5" hidden="false" customHeight="false" outlineLevel="0" collapsed="false">
      <c r="E155" s="287"/>
      <c r="F155" s="329" t="s">
        <v>714</v>
      </c>
      <c r="G155" s="330"/>
      <c r="H155" s="330"/>
      <c r="I155" s="330"/>
      <c r="J155" s="330"/>
      <c r="K155" s="331"/>
      <c r="L155" s="332"/>
    </row>
    <row r="156" customFormat="false" ht="54.75" hidden="false" customHeight="true" outlineLevel="0" collapsed="false">
      <c r="E156" s="287" t="str">
        <f aca="false">IF($C$3,F156,IF($C$4,G156,IF($C$5,H156,IF($C$6,I156,IF($C$7,J156,IF($C$8,K156,IF(L156&lt;&gt;"",L156,F156)))))))</f>
        <v>Groups with fair play valuation or drawing lots:</v>
      </c>
      <c r="F156" s="342" t="s">
        <v>715</v>
      </c>
      <c r="G156" s="343" t="s">
        <v>716</v>
      </c>
      <c r="H156" s="344" t="s">
        <v>717</v>
      </c>
      <c r="I156" s="345" t="s">
        <v>718</v>
      </c>
      <c r="J156" s="344" t="s">
        <v>719</v>
      </c>
      <c r="K156" s="346" t="s">
        <v>720</v>
      </c>
      <c r="L156" s="347"/>
    </row>
    <row r="157" customFormat="false" ht="51.75" hidden="false" customHeight="true" outlineLevel="0" collapsed="false">
      <c r="E157" s="287" t="str">
        <f aca="false">IF($C$3,F157,IF($C$4,G157,IF($C$5,H157,IF($C$6,I157,IF($C$7,J157,IF($C$8,K157,IF(L157&lt;&gt;"",L157,F157)))))))</f>
        <v>The placement has been clarified in all groups.</v>
      </c>
      <c r="F157" s="342" t="s">
        <v>721</v>
      </c>
      <c r="G157" s="343" t="s">
        <v>722</v>
      </c>
      <c r="H157" s="344" t="s">
        <v>723</v>
      </c>
      <c r="I157" s="345" t="s">
        <v>724</v>
      </c>
      <c r="J157" s="344" t="s">
        <v>725</v>
      </c>
      <c r="K157" s="346" t="s">
        <v>726</v>
      </c>
      <c r="L157" s="347"/>
    </row>
    <row r="158" customFormat="false" ht="16.5" hidden="false" customHeight="true" outlineLevel="0" collapsed="false">
      <c r="E158" s="287" t="str">
        <f aca="false">IF($C$3,F158,IF($C$4,G158,IF($C$5,H158,IF($C$6,I158,IF($C$7,J158,IF($C$8,K158,IF(L158&lt;&gt;"",L158,F158)))))))</f>
        <v> and </v>
      </c>
      <c r="F158" s="334" t="s">
        <v>727</v>
      </c>
      <c r="G158" s="335" t="s">
        <v>728</v>
      </c>
      <c r="H158" s="336" t="s">
        <v>729</v>
      </c>
      <c r="I158" s="337" t="s">
        <v>730</v>
      </c>
      <c r="J158" s="336" t="s">
        <v>731</v>
      </c>
      <c r="K158" s="346" t="s">
        <v>732</v>
      </c>
      <c r="L158" s="347"/>
    </row>
    <row r="159" customFormat="false" ht="20.25" hidden="false" customHeight="true" outlineLevel="0" collapsed="false">
      <c r="E159" s="287" t="str">
        <f aca="false">IF($C$3,F159,IF($C$4,G159,IF($C$5,H159,IF($C$6,I159,IF($C$7,J159,IF($C$8,K159,IF(L159&lt;&gt;"",L159,F159)))))))</f>
        <v>Invalid result!</v>
      </c>
      <c r="F159" s="348" t="s">
        <v>733</v>
      </c>
      <c r="G159" s="349" t="s">
        <v>734</v>
      </c>
      <c r="H159" s="350" t="s">
        <v>735</v>
      </c>
      <c r="I159" s="351" t="s">
        <v>736</v>
      </c>
      <c r="J159" s="350" t="s">
        <v>737</v>
      </c>
      <c r="K159" s="346" t="s">
        <v>738</v>
      </c>
      <c r="L159" s="352"/>
    </row>
    <row r="160" customFormat="false" ht="141.75" hidden="false" customHeight="true" outlineLevel="0" collapsed="false">
      <c r="E160" s="287" t="str">
        <f aca="false">IF($C$3,F160,IF($C$4,G160,IF($C$5,H160,IF($C$6,I160,IF($C$7,J160,IF($C$8,K160,IF(L160&lt;&gt;"",L160,F160)))))))</f>
        <v>In the case of two teams, if the fair play evaluation or the lottery decides on the better placement in the group, a "1" is entered here for the better team.</v>
      </c>
      <c r="F160" s="353" t="s">
        <v>739</v>
      </c>
      <c r="G160" s="354" t="s">
        <v>740</v>
      </c>
      <c r="H160" s="355" t="s">
        <v>741</v>
      </c>
      <c r="I160" s="356" t="s">
        <v>742</v>
      </c>
      <c r="J160" s="355" t="s">
        <v>743</v>
      </c>
      <c r="K160" s="346" t="s">
        <v>744</v>
      </c>
      <c r="L160" s="357"/>
    </row>
    <row r="161" customFormat="false" ht="35.25" hidden="false" customHeight="true" outlineLevel="0" collapsed="false">
      <c r="E161" s="358" t="str">
        <f aca="false">IF($C$3,F161,IF($C$4,G161,IF($C$5,H161,IF($C$6,I161,IF($C$7,J161,IF($C$8,K161,IF(L161&lt;&gt;"",L161,F161)))))))</f>
        <v>Click here and
choose time zone:</v>
      </c>
      <c r="F161" s="353" t="s">
        <v>745</v>
      </c>
      <c r="G161" s="354" t="s">
        <v>746</v>
      </c>
      <c r="H161" s="355" t="s">
        <v>747</v>
      </c>
      <c r="I161" s="356" t="s">
        <v>748</v>
      </c>
      <c r="J161" s="359" t="s">
        <v>749</v>
      </c>
      <c r="K161" s="346" t="s">
        <v>750</v>
      </c>
      <c r="L161" s="357"/>
    </row>
    <row r="162" customFormat="false" ht="36.75" hidden="false" customHeight="true" outlineLevel="0" collapsed="false">
      <c r="E162" s="358" t="str">
        <f aca="false">IF($C$3,F162,IF($C$4,G162,IF($C$5,H162,IF($C$6,I162,IF($C$7,J162,IF($C$8,K162,IF(L162&lt;&gt;"",L162,F162)))))))</f>
        <v>Time zone of
the host country:</v>
      </c>
      <c r="F162" s="353" t="s">
        <v>751</v>
      </c>
      <c r="G162" s="354" t="s">
        <v>752</v>
      </c>
      <c r="H162" s="355" t="s">
        <v>753</v>
      </c>
      <c r="I162" s="356" t="s">
        <v>754</v>
      </c>
      <c r="J162" s="359" t="s">
        <v>755</v>
      </c>
      <c r="K162" s="346" t="s">
        <v>756</v>
      </c>
      <c r="L162" s="357"/>
    </row>
    <row r="163" customFormat="false" ht="38.25" hidden="false" customHeight="true" outlineLevel="0" collapsed="false">
      <c r="E163" s="287" t="str">
        <f aca="false">IF($C$3,F163,IF($C$4,G163,IF($C$5,H163,IF($C$6,I163,IF($C$7,J163,IF($C$8,K163,IF(L163&lt;&gt;"",L163,F163)))))))</f>
        <v>Click here and choose language:</v>
      </c>
      <c r="F163" s="353" t="s">
        <v>757</v>
      </c>
      <c r="G163" s="354" t="s">
        <v>758</v>
      </c>
      <c r="H163" s="355" t="s">
        <v>759</v>
      </c>
      <c r="I163" s="356" t="s">
        <v>760</v>
      </c>
      <c r="J163" s="359" t="s">
        <v>761</v>
      </c>
      <c r="K163" s="346" t="s">
        <v>762</v>
      </c>
      <c r="L163" s="357"/>
    </row>
    <row r="164" customFormat="false" ht="16.5" hidden="false" customHeight="true" outlineLevel="0" collapsed="false">
      <c r="E164" s="287" t="str">
        <f aca="false">IF($C$3,F164,IF($C$4,G164,IF($C$5,H164,IF($C$6,I164,IF($C$7,J164,IF($C$8,K164,IF(L164&lt;&gt;"",L164,F164)))))))</f>
        <v> - </v>
      </c>
      <c r="F164" s="334" t="s">
        <v>763</v>
      </c>
      <c r="G164" s="335" t="s">
        <v>763</v>
      </c>
      <c r="H164" s="336" t="s">
        <v>763</v>
      </c>
      <c r="I164" s="337" t="s">
        <v>763</v>
      </c>
      <c r="J164" s="336" t="s">
        <v>764</v>
      </c>
      <c r="K164" s="346" t="s">
        <v>764</v>
      </c>
      <c r="L164" s="347"/>
    </row>
    <row r="165" customFormat="false" ht="96" hidden="false" customHeight="true" outlineLevel="0" collapsed="false">
      <c r="E165" s="287" t="str">
        <f aca="false">IF($C$3,F165,IF($C$4,G165,IF($C$5,H165,IF($C$6,I165,IF($C$7,J165,IF($C$8,K165,IF(L165&lt;&gt;"",L165,F165)))))))</f>
        <v>For summer time, the time zone must be increased by 1 (e.g. UTC+2 instead of UTC+1)</v>
      </c>
      <c r="F165" s="353" t="s">
        <v>765</v>
      </c>
      <c r="G165" s="354" t="s">
        <v>766</v>
      </c>
      <c r="H165" s="355" t="s">
        <v>767</v>
      </c>
      <c r="I165" s="356" t="s">
        <v>768</v>
      </c>
      <c r="J165" s="359" t="s">
        <v>769</v>
      </c>
      <c r="K165" s="346" t="s">
        <v>770</v>
      </c>
      <c r="L165" s="357"/>
    </row>
    <row r="166" customFormat="false" ht="15.75" hidden="false" customHeight="false" outlineLevel="0" collapsed="false">
      <c r="E166" s="287" t="n">
        <f aca="false">IF($C$3,F166,IF($C$4,G166,IF($C$5,H166,IF($C$6,I166,IF($C$7,J166,IF($C$8,K166,IF(L166&lt;&gt;"",L166,F166)))))))</f>
        <v>0</v>
      </c>
      <c r="F166" s="360"/>
      <c r="G166" s="361"/>
      <c r="H166" s="362"/>
      <c r="I166" s="363"/>
      <c r="J166" s="362"/>
      <c r="K166" s="305"/>
      <c r="L166" s="364"/>
    </row>
    <row r="167" customFormat="false" ht="16.5" hidden="false" customHeight="false" outlineLevel="0" collapsed="false">
      <c r="E167" s="287"/>
      <c r="K167" s="365"/>
    </row>
    <row r="168" customFormat="false" ht="29.25" hidden="false" customHeight="false" outlineLevel="0" collapsed="false">
      <c r="E168" s="287"/>
      <c r="F168" s="319" t="s">
        <v>771</v>
      </c>
      <c r="G168" s="366"/>
      <c r="H168" s="366"/>
      <c r="I168" s="366"/>
      <c r="J168" s="366"/>
      <c r="K168" s="367"/>
      <c r="L168" s="368"/>
    </row>
    <row r="169" customFormat="false" ht="15" hidden="false" customHeight="false" outlineLevel="0" collapsed="false">
      <c r="E169" s="287" t="str">
        <f aca="false">IF($C$3,F169,IF($C$4,G169,IF($C$5,H169,IF($C$6,I169,IF($C$7,J169,IF($C$8,K169,IF(L169&lt;&gt;"",L169,F169)))))))</f>
        <v>Predictions</v>
      </c>
      <c r="F169" s="288" t="s">
        <v>771</v>
      </c>
      <c r="G169" s="289" t="s">
        <v>772</v>
      </c>
      <c r="H169" s="290" t="s">
        <v>773</v>
      </c>
      <c r="I169" s="291" t="s">
        <v>774</v>
      </c>
      <c r="J169" s="290" t="s">
        <v>775</v>
      </c>
      <c r="K169" s="346" t="s">
        <v>776</v>
      </c>
      <c r="L169" s="347"/>
    </row>
    <row r="170" customFormat="false" ht="15" hidden="false" customHeight="false" outlineLevel="0" collapsed="false">
      <c r="E170" s="287" t="str">
        <f aca="false">IF($C$3,F170,IF($C$4,G170,IF($C$5,H170,IF($C$6,I170,IF($C$7,J170,IF($C$8,K170,IF(L170&lt;&gt;"",L170,F170)))))))</f>
        <v>Correct Results</v>
      </c>
      <c r="F170" s="288" t="s">
        <v>777</v>
      </c>
      <c r="G170" s="289" t="s">
        <v>778</v>
      </c>
      <c r="H170" s="290" t="s">
        <v>779</v>
      </c>
      <c r="I170" s="291" t="s">
        <v>780</v>
      </c>
      <c r="J170" s="290" t="s">
        <v>781</v>
      </c>
      <c r="K170" s="346" t="s">
        <v>782</v>
      </c>
      <c r="L170" s="347"/>
    </row>
    <row r="171" customFormat="false" ht="15" hidden="false" customHeight="false" outlineLevel="0" collapsed="false">
      <c r="E171" s="287" t="str">
        <f aca="false">IF($C$3,F171,IF($C$4,G171,IF($C$5,H171,IF($C$6,I171,IF($C$7,J171,IF($C$8,K171,IF(L171&lt;&gt;"",L171,F171)))))))</f>
        <v>Result</v>
      </c>
      <c r="F171" s="288" t="s">
        <v>783</v>
      </c>
      <c r="G171" s="289" t="s">
        <v>784</v>
      </c>
      <c r="H171" s="290" t="s">
        <v>785</v>
      </c>
      <c r="I171" s="291" t="s">
        <v>786</v>
      </c>
      <c r="J171" s="290" t="s">
        <v>787</v>
      </c>
      <c r="K171" s="346" t="s">
        <v>788</v>
      </c>
      <c r="L171" s="347"/>
    </row>
    <row r="172" customFormat="false" ht="15" hidden="false" customHeight="false" outlineLevel="0" collapsed="false">
      <c r="E172" s="287" t="str">
        <f aca="false">IF($C$3,F172,IF($C$4,G172,IF($C$5,H172,IF($C$6,I172,IF($C$7,J172,IF($C$8,K172,IF(L172&lt;&gt;"",L172,F172)))))))</f>
        <v>With factor:</v>
      </c>
      <c r="F172" s="288" t="s">
        <v>789</v>
      </c>
      <c r="G172" s="289" t="s">
        <v>790</v>
      </c>
      <c r="H172" s="290" t="s">
        <v>791</v>
      </c>
      <c r="I172" s="291" t="s">
        <v>792</v>
      </c>
      <c r="J172" s="290" t="s">
        <v>793</v>
      </c>
      <c r="K172" s="346" t="s">
        <v>794</v>
      </c>
      <c r="L172" s="347"/>
    </row>
    <row r="173" customFormat="false" ht="15" hidden="false" customHeight="false" outlineLevel="0" collapsed="false">
      <c r="E173" s="287" t="str">
        <f aca="false">IF($C$3,F173,IF($C$4,G173,IF($C$5,H173,IF($C$6,I173,IF($C$7,J173,IF($C$8,K173,IF(L173&lt;&gt;"",L173,F173)))))))</f>
        <v>Sum:</v>
      </c>
      <c r="F173" s="288" t="s">
        <v>795</v>
      </c>
      <c r="G173" s="289" t="s">
        <v>796</v>
      </c>
      <c r="H173" s="290" t="s">
        <v>797</v>
      </c>
      <c r="I173" s="291" t="s">
        <v>796</v>
      </c>
      <c r="J173" s="290" t="s">
        <v>798</v>
      </c>
      <c r="K173" s="346" t="s">
        <v>799</v>
      </c>
      <c r="L173" s="347"/>
    </row>
    <row r="174" customFormat="false" ht="15" hidden="false" customHeight="false" outlineLevel="0" collapsed="false">
      <c r="E174" s="287" t="str">
        <f aca="false">IF($C$3,F174,IF($C$4,G174,IF($C$5,H174,IF($C$6,I174,IF($C$7,J174,IF($C$8,K174,IF(L174&lt;&gt;"",L174,F174)))))))</f>
        <v>result</v>
      </c>
      <c r="F174" s="288" t="s">
        <v>800</v>
      </c>
      <c r="G174" s="289" t="s">
        <v>801</v>
      </c>
      <c r="H174" s="290" t="s">
        <v>802</v>
      </c>
      <c r="I174" s="291" t="s">
        <v>803</v>
      </c>
      <c r="J174" s="290" t="s">
        <v>787</v>
      </c>
      <c r="K174" s="346" t="s">
        <v>804</v>
      </c>
      <c r="L174" s="347"/>
    </row>
    <row r="175" customFormat="false" ht="15" hidden="false" customHeight="false" outlineLevel="0" collapsed="false">
      <c r="E175" s="287" t="str">
        <f aca="false">IF($C$3,F175,IF($C$4,G175,IF($C$5,H175,IF($C$6,I175,IF($C$7,J175,IF($C$8,K175,IF(L175&lt;&gt;"",L175,F175)))))))</f>
        <v>W/D/L</v>
      </c>
      <c r="F175" s="288" t="s">
        <v>805</v>
      </c>
      <c r="G175" s="289" t="s">
        <v>806</v>
      </c>
      <c r="H175" s="290" t="s">
        <v>807</v>
      </c>
      <c r="I175" s="291" t="s">
        <v>808</v>
      </c>
      <c r="J175" s="290" t="s">
        <v>809</v>
      </c>
      <c r="K175" s="346" t="s">
        <v>810</v>
      </c>
      <c r="L175" s="347"/>
    </row>
    <row r="176" customFormat="false" ht="15" hidden="false" customHeight="false" outlineLevel="0" collapsed="false">
      <c r="E176" s="287" t="str">
        <f aca="false">IF($C$3,F176,IF($C$4,G176,IF($C$5,H176,IF($C$6,I176,IF($C$7,J176,IF($C$8,K176,IF(L176&lt;&gt;"",L176,F176)))))))</f>
        <v>GD</v>
      </c>
      <c r="F176" s="288" t="s">
        <v>69</v>
      </c>
      <c r="G176" s="289" t="s">
        <v>811</v>
      </c>
      <c r="H176" s="290" t="s">
        <v>812</v>
      </c>
      <c r="I176" s="291" t="s">
        <v>813</v>
      </c>
      <c r="J176" s="290" t="s">
        <v>814</v>
      </c>
      <c r="K176" s="346" t="s">
        <v>815</v>
      </c>
      <c r="L176" s="347"/>
    </row>
    <row r="177" customFormat="false" ht="15" hidden="false" customHeight="false" outlineLevel="0" collapsed="false">
      <c r="E177" s="287" t="str">
        <f aca="false">IF($C$3,F177,IF($C$4,G177,IF($C$5,H177,IF($C$6,I177,IF($C$7,J177,IF($C$8,K177,IF(L177&lt;&gt;"",L177,F177)))))))</f>
        <v>exact</v>
      </c>
      <c r="F177" s="288" t="s">
        <v>816</v>
      </c>
      <c r="G177" s="289" t="s">
        <v>817</v>
      </c>
      <c r="H177" s="290" t="s">
        <v>818</v>
      </c>
      <c r="I177" s="291" t="s">
        <v>817</v>
      </c>
      <c r="J177" s="290" t="s">
        <v>819</v>
      </c>
      <c r="K177" s="346" t="s">
        <v>816</v>
      </c>
      <c r="L177" s="347"/>
    </row>
    <row r="178" customFormat="false" ht="15" hidden="false" customHeight="false" outlineLevel="0" collapsed="false">
      <c r="E178" s="287" t="str">
        <f aca="false">IF($C$3,F178,IF($C$4,G178,IF($C$5,H178,IF($C$6,I178,IF($C$7,J178,IF($C$8,K178,IF(L178&lt;&gt;"",L178,F178)))))))</f>
        <v>teams</v>
      </c>
      <c r="F178" s="288" t="s">
        <v>820</v>
      </c>
      <c r="G178" s="289" t="s">
        <v>821</v>
      </c>
      <c r="H178" s="290" t="s">
        <v>822</v>
      </c>
      <c r="I178" s="291" t="s">
        <v>823</v>
      </c>
      <c r="J178" s="290" t="s">
        <v>824</v>
      </c>
      <c r="K178" s="346" t="s">
        <v>820</v>
      </c>
      <c r="L178" s="347"/>
    </row>
    <row r="179" customFormat="false" ht="15" hidden="false" customHeight="false" outlineLevel="0" collapsed="false">
      <c r="E179" s="287" t="str">
        <f aca="false">IF($C$3,F179,IF($C$4,G179,IF($C$5,H179,IF($C$6,I179,IF($C$7,J179,IF($C$8,K179,IF(L179&lt;&gt;"",L179,F179)))))))</f>
        <v>Round of 16</v>
      </c>
      <c r="F179" s="288" t="s">
        <v>825</v>
      </c>
      <c r="G179" s="289" t="s">
        <v>826</v>
      </c>
      <c r="H179" s="290" t="s">
        <v>827</v>
      </c>
      <c r="I179" s="291" t="s">
        <v>828</v>
      </c>
      <c r="J179" s="290" t="s">
        <v>829</v>
      </c>
      <c r="K179" s="346" t="s">
        <v>830</v>
      </c>
      <c r="L179" s="347"/>
    </row>
    <row r="180" customFormat="false" ht="15" hidden="false" customHeight="false" outlineLevel="0" collapsed="false">
      <c r="E180" s="287" t="str">
        <f aca="false">IF($C$3,F180,IF($C$4,G180,IF($C$5,H180,IF($C$6,I180,IF($C$7,J180,IF($C$8,K180,IF(L180&lt;&gt;"",L180,F180)))))))</f>
        <v>Quarter final</v>
      </c>
      <c r="F180" s="341" t="s">
        <v>831</v>
      </c>
      <c r="G180" s="289" t="s">
        <v>832</v>
      </c>
      <c r="H180" s="290" t="s">
        <v>833</v>
      </c>
      <c r="I180" s="291" t="s">
        <v>834</v>
      </c>
      <c r="J180" s="290" t="s">
        <v>835</v>
      </c>
      <c r="K180" s="346" t="s">
        <v>836</v>
      </c>
      <c r="L180" s="347"/>
    </row>
    <row r="181" customFormat="false" ht="15" hidden="false" customHeight="false" outlineLevel="0" collapsed="false">
      <c r="E181" s="287" t="str">
        <f aca="false">IF($C$3,F181,IF($C$4,G181,IF($C$5,H181,IF($C$6,I181,IF($C$7,J181,IF($C$8,K181,IF(L181&lt;&gt;"",L181,F181)))))))</f>
        <v>Semi-Final</v>
      </c>
      <c r="F181" s="288" t="s">
        <v>837</v>
      </c>
      <c r="G181" s="289" t="s">
        <v>838</v>
      </c>
      <c r="H181" s="290" t="s">
        <v>839</v>
      </c>
      <c r="I181" s="291" t="s">
        <v>840</v>
      </c>
      <c r="J181" s="290" t="s">
        <v>841</v>
      </c>
      <c r="K181" s="346" t="s">
        <v>842</v>
      </c>
      <c r="L181" s="347"/>
    </row>
    <row r="182" customFormat="false" ht="15" hidden="false" customHeight="false" outlineLevel="0" collapsed="false">
      <c r="E182" s="287" t="str">
        <f aca="false">IF($C$3,F182,IF($C$4,G182,IF($C$5,H182,IF($C$6,I182,IF($C$7,J182,IF($C$8,K182,IF(L182&lt;&gt;"",L182,F182)))))))</f>
        <v>Third place</v>
      </c>
      <c r="F182" s="288" t="s">
        <v>693</v>
      </c>
      <c r="G182" s="289" t="s">
        <v>694</v>
      </c>
      <c r="H182" s="290" t="s">
        <v>695</v>
      </c>
      <c r="I182" s="291" t="s">
        <v>696</v>
      </c>
      <c r="J182" s="290" t="s">
        <v>697</v>
      </c>
      <c r="K182" s="346" t="s">
        <v>698</v>
      </c>
      <c r="L182" s="347"/>
    </row>
    <row r="183" customFormat="false" ht="15" hidden="false" customHeight="false" outlineLevel="0" collapsed="false">
      <c r="E183" s="287" t="str">
        <f aca="false">IF($C$3,F183,IF($C$4,G183,IF($C$5,H183,IF($C$6,I183,IF($C$7,J183,IF($C$8,K183,IF(L183&lt;&gt;"",L183,F183)))))))</f>
        <v>Final</v>
      </c>
      <c r="F183" s="288" t="s">
        <v>699</v>
      </c>
      <c r="G183" s="289" t="s">
        <v>699</v>
      </c>
      <c r="H183" s="290" t="s">
        <v>700</v>
      </c>
      <c r="I183" s="291" t="s">
        <v>699</v>
      </c>
      <c r="J183" s="290" t="s">
        <v>700</v>
      </c>
      <c r="K183" s="346" t="s">
        <v>700</v>
      </c>
      <c r="L183" s="347"/>
    </row>
    <row r="184" customFormat="false" ht="15" hidden="false" customHeight="false" outlineLevel="0" collapsed="false">
      <c r="E184" s="287" t="str">
        <f aca="false">IF($C$3,F184,IF($C$4,G184,IF($C$5,H184,IF($C$6,I184,IF($C$7,J184,IF($C$8,K184,IF(L184&lt;&gt;"",L184,F184)))))))</f>
        <v>Hint</v>
      </c>
      <c r="F184" s="294" t="s">
        <v>843</v>
      </c>
      <c r="G184" s="295" t="s">
        <v>844</v>
      </c>
      <c r="H184" s="296" t="s">
        <v>845</v>
      </c>
      <c r="I184" s="297" t="s">
        <v>846</v>
      </c>
      <c r="J184" s="296" t="s">
        <v>847</v>
      </c>
      <c r="K184" s="346" t="s">
        <v>848</v>
      </c>
      <c r="L184" s="369"/>
    </row>
    <row r="185" customFormat="false" ht="15" hidden="false" customHeight="false" outlineLevel="0" collapsed="false">
      <c r="E185" s="287" t="str">
        <f aca="false">IF($C$3,F185,IF($C$4,G185,IF($C$5,H185,IF($C$6,I185,IF($C$7,J185,IF($C$8,K185,IF(L185&lt;&gt;"",L185,F185)))))))</f>
        <v>Factors</v>
      </c>
      <c r="F185" s="294" t="s">
        <v>849</v>
      </c>
      <c r="G185" s="295" t="s">
        <v>850</v>
      </c>
      <c r="H185" s="296" t="s">
        <v>851</v>
      </c>
      <c r="I185" s="297" t="s">
        <v>852</v>
      </c>
      <c r="J185" s="296" t="s">
        <v>853</v>
      </c>
      <c r="K185" s="346" t="s">
        <v>854</v>
      </c>
      <c r="L185" s="369"/>
    </row>
    <row r="186" customFormat="false" ht="15" hidden="false" customHeight="false" outlineLevel="0" collapsed="false">
      <c r="E186" s="287" t="str">
        <f aca="false">IF($C$3,F186,IF($C$4,G186,IF($C$5,H186,IF($C$6,I186,IF($C$7,J186,IF($C$8,K186,IF(L186&lt;&gt;"",L186,F186)))))))</f>
        <v>Settings</v>
      </c>
      <c r="F186" s="294" t="s">
        <v>855</v>
      </c>
      <c r="G186" s="295" t="s">
        <v>856</v>
      </c>
      <c r="H186" s="296" t="s">
        <v>857</v>
      </c>
      <c r="I186" s="297" t="s">
        <v>858</v>
      </c>
      <c r="J186" s="296" t="s">
        <v>859</v>
      </c>
      <c r="K186" s="346" t="s">
        <v>860</v>
      </c>
      <c r="L186" s="369"/>
    </row>
    <row r="187" customFormat="false" ht="15" hidden="false" customHeight="false" outlineLevel="0" collapsed="false">
      <c r="E187" s="287" t="str">
        <f aca="false">IF($C$3,F187,IF($C$4,G187,IF($C$5,H187,IF($C$6,I187,IF($C$7,J187,IF($C$8,K187,IF(L187&lt;&gt;"",L187,F187)))))))</f>
        <v>many g.</v>
      </c>
      <c r="F187" s="288" t="s">
        <v>861</v>
      </c>
      <c r="G187" s="289" t="s">
        <v>862</v>
      </c>
      <c r="H187" s="290" t="s">
        <v>863</v>
      </c>
      <c r="I187" s="291" t="s">
        <v>864</v>
      </c>
      <c r="J187" s="290" t="s">
        <v>865</v>
      </c>
      <c r="K187" s="346" t="s">
        <v>866</v>
      </c>
      <c r="L187" s="369"/>
    </row>
    <row r="188" customFormat="false" ht="31.5" hidden="false" customHeight="true" outlineLevel="0" collapsed="false">
      <c r="E188" s="287" t="str">
        <f aca="false">IF($C$3,F188,IF($C$4,G188,IF($C$5,H188,IF($C$6,I188,IF($C$7,J188,IF($C$8,K188,IF(L188&lt;&gt;"",L188,F188)))))))</f>
        <v>Won/Draw/Loss:</v>
      </c>
      <c r="F188" s="353" t="s">
        <v>867</v>
      </c>
      <c r="G188" s="354" t="s">
        <v>868</v>
      </c>
      <c r="H188" s="355" t="s">
        <v>869</v>
      </c>
      <c r="I188" s="356" t="s">
        <v>870</v>
      </c>
      <c r="J188" s="355" t="s">
        <v>871</v>
      </c>
      <c r="K188" s="346" t="s">
        <v>872</v>
      </c>
      <c r="L188" s="357"/>
    </row>
    <row r="189" customFormat="false" ht="15" hidden="false" customHeight="true" outlineLevel="0" collapsed="false">
      <c r="E189" s="287" t="str">
        <f aca="false">IF($C$3,F189,IF($C$4,G189,IF($C$5,H189,IF($C$6,I189,IF($C$7,J189,IF($C$8,K189,IF(L189&lt;&gt;"",L189,F189)))))))</f>
        <v>goal difference:</v>
      </c>
      <c r="F189" s="353" t="s">
        <v>873</v>
      </c>
      <c r="G189" s="354" t="s">
        <v>874</v>
      </c>
      <c r="H189" s="355" t="s">
        <v>875</v>
      </c>
      <c r="I189" s="356" t="s">
        <v>876</v>
      </c>
      <c r="J189" s="355" t="s">
        <v>877</v>
      </c>
      <c r="K189" s="346" t="s">
        <v>878</v>
      </c>
      <c r="L189" s="357"/>
    </row>
    <row r="190" customFormat="false" ht="46.5" hidden="false" customHeight="true" outlineLevel="0" collapsed="false">
      <c r="E190" s="287" t="str">
        <f aca="false">IF($C$3,F190,IF($C$4,G190,IF($C$5,H190,IF($C$6,I190,IF($C$7,J190,IF($C$8,K190,IF(L190&lt;&gt;"",L190,F190)))))))</f>
        <v>Many goals - good approximation</v>
      </c>
      <c r="F190" s="353" t="s">
        <v>879</v>
      </c>
      <c r="G190" s="354" t="s">
        <v>880</v>
      </c>
      <c r="H190" s="355" t="s">
        <v>881</v>
      </c>
      <c r="I190" s="356" t="s">
        <v>882</v>
      </c>
      <c r="J190" s="355" t="s">
        <v>883</v>
      </c>
      <c r="K190" s="346" t="s">
        <v>884</v>
      </c>
      <c r="L190" s="357"/>
    </row>
    <row r="191" customFormat="false" ht="15" hidden="false" customHeight="true" outlineLevel="0" collapsed="false">
      <c r="E191" s="287" t="str">
        <f aca="false">IF($C$3,F191,IF($C$4,G191,IF($C$5,H191,IF($C$6,I191,IF($C$7,J191,IF($C$8,K191,IF(L191&lt;&gt;"",L191,F191)))))))</f>
        <v>goals exact:</v>
      </c>
      <c r="F191" s="353" t="s">
        <v>885</v>
      </c>
      <c r="G191" s="354" t="s">
        <v>886</v>
      </c>
      <c r="H191" s="355" t="s">
        <v>887</v>
      </c>
      <c r="I191" s="356" t="s">
        <v>888</v>
      </c>
      <c r="J191" s="355" t="s">
        <v>889</v>
      </c>
      <c r="K191" s="346" t="s">
        <v>890</v>
      </c>
      <c r="L191" s="357"/>
    </row>
    <row r="192" customFormat="false" ht="35.25" hidden="false" customHeight="true" outlineLevel="0" collapsed="false">
      <c r="E192" s="287" t="str">
        <f aca="false">IF($C$3,F192,IF($C$4,G192,IF($C$5,H192,IF($C$6,I192,IF($C$7,J192,IF($C$8,K192,IF(L192&lt;&gt;"",L192,F192)))))))</f>
        <v>correct team (knockout phase):</v>
      </c>
      <c r="F192" s="353" t="s">
        <v>891</v>
      </c>
      <c r="G192" s="354" t="s">
        <v>892</v>
      </c>
      <c r="H192" s="355" t="s">
        <v>893</v>
      </c>
      <c r="I192" s="356" t="s">
        <v>894</v>
      </c>
      <c r="J192" s="355" t="s">
        <v>895</v>
      </c>
      <c r="K192" s="346" t="s">
        <v>896</v>
      </c>
      <c r="L192" s="357"/>
    </row>
    <row r="193" customFormat="false" ht="135" hidden="false" customHeight="true" outlineLevel="0" collapsed="false">
      <c r="E193" s="358" t="str">
        <f aca="false">IF($C$3,F193,IF($C$4,G193,IF($C$5,H193,IF($C$6,I193,IF($C$7,J193,IF($C$8,K193,IF(L193&lt;&gt;"",L193,F193)))))))</f>
        <v>For example, to add ten more people, select columns HI through MG and copy them to the right. Finished.
(Remove sheet protection!)</v>
      </c>
      <c r="F193" s="353" t="s">
        <v>897</v>
      </c>
      <c r="G193" s="354" t="s">
        <v>898</v>
      </c>
      <c r="H193" s="355" t="s">
        <v>899</v>
      </c>
      <c r="I193" s="356" t="s">
        <v>900</v>
      </c>
      <c r="J193" s="355" t="s">
        <v>901</v>
      </c>
      <c r="K193" s="346" t="s">
        <v>902</v>
      </c>
      <c r="L193" s="357"/>
    </row>
    <row r="194" customFormat="false" ht="94.5" hidden="false" customHeight="true" outlineLevel="0" collapsed="false">
      <c r="E194" s="287" t="str">
        <f aca="false">IF($C$3,F194,IF($C$4,G194,IF($C$5,H194,IF($C$6,I194,IF($C$7,J194,IF($C$8,K194,IF(L194&lt;&gt;"",L194,F194)))))))</f>
        <v>To predict the teams in the KO round, enter the team numbers in the yellow fields.</v>
      </c>
      <c r="F194" s="353" t="s">
        <v>903</v>
      </c>
      <c r="G194" s="354" t="s">
        <v>904</v>
      </c>
      <c r="H194" s="355" t="s">
        <v>905</v>
      </c>
      <c r="I194" s="356" t="s">
        <v>906</v>
      </c>
      <c r="J194" s="355" t="s">
        <v>907</v>
      </c>
      <c r="K194" s="346" t="s">
        <v>908</v>
      </c>
      <c r="L194" s="357"/>
    </row>
    <row r="195" customFormat="false" ht="109.5" hidden="false" customHeight="true" outlineLevel="0" collapsed="false">
      <c r="E195" s="287" t="str">
        <f aca="false">IF($C$3,F195,IF($C$4,G195,IF($C$5,H195,IF($C$6,I195,IF($C$7,J195,IF($C$8,K195,IF(L195&lt;&gt;"",L195,F195)))))))</f>
        <v>The factors for the individual categories and other presettings can be selected on the 'PrSettings' worksheet.</v>
      </c>
      <c r="F195" s="353" t="s">
        <v>909</v>
      </c>
      <c r="G195" s="354" t="s">
        <v>910</v>
      </c>
      <c r="H195" s="355" t="s">
        <v>911</v>
      </c>
      <c r="I195" s="356" t="s">
        <v>912</v>
      </c>
      <c r="J195" s="355" t="s">
        <v>913</v>
      </c>
      <c r="K195" s="346" t="s">
        <v>914</v>
      </c>
      <c r="L195" s="357"/>
    </row>
    <row r="196" customFormat="false" ht="15" hidden="false" customHeight="false" outlineLevel="0" collapsed="false">
      <c r="E196" s="287" t="str">
        <f aca="false">IF($C$3,F196,IF($C$4,G196,IF($C$5,H196,IF($C$6,I196,IF($C$7,J196,IF($C$8,K196,IF(L196&lt;&gt;"",L196,F196)))))))</f>
        <v>Access to file</v>
      </c>
      <c r="F196" s="323" t="s">
        <v>915</v>
      </c>
      <c r="G196" s="324" t="s">
        <v>916</v>
      </c>
      <c r="H196" s="325" t="s">
        <v>917</v>
      </c>
      <c r="I196" s="326" t="s">
        <v>918</v>
      </c>
      <c r="J196" s="325" t="s">
        <v>919</v>
      </c>
      <c r="K196" s="346" t="s">
        <v>920</v>
      </c>
      <c r="L196" s="328"/>
    </row>
    <row r="197" customFormat="false" ht="15" hidden="false" customHeight="false" outlineLevel="0" collapsed="false">
      <c r="E197" s="287" t="str">
        <f aca="false">IF($C$3,F197,IF($C$4,G197,IF($C$5,H197,IF($C$6,I197,IF($C$7,J197,IF($C$8,K197,IF(L197&lt;&gt;"",L197,F197)))))))</f>
        <v>Worksheet</v>
      </c>
      <c r="F197" s="353" t="s">
        <v>921</v>
      </c>
      <c r="G197" s="354" t="s">
        <v>922</v>
      </c>
      <c r="H197" s="355" t="s">
        <v>923</v>
      </c>
      <c r="I197" s="356" t="s">
        <v>924</v>
      </c>
      <c r="J197" s="355" t="s">
        <v>925</v>
      </c>
      <c r="K197" s="346" t="s">
        <v>926</v>
      </c>
      <c r="L197" s="357"/>
    </row>
    <row r="198" customFormat="false" ht="38.25" hidden="false" customHeight="true" outlineLevel="0" collapsed="false">
      <c r="E198" s="287" t="str">
        <f aca="false">IF($C$3,F198,IF($C$4,G198,IF($C$5,H198,IF($C$6,I198,IF($C$7,J198,IF($C$8,K198,IF(L198&lt;&gt;"",L198,F198)))))))</f>
        <v>Final/Third-Place Winner:</v>
      </c>
      <c r="F198" s="370" t="s">
        <v>927</v>
      </c>
      <c r="G198" s="371" t="s">
        <v>928</v>
      </c>
      <c r="H198" s="372" t="s">
        <v>929</v>
      </c>
      <c r="I198" s="373" t="s">
        <v>930</v>
      </c>
      <c r="J198" s="372" t="s">
        <v>931</v>
      </c>
      <c r="K198" s="346" t="s">
        <v>932</v>
      </c>
      <c r="L198" s="374"/>
    </row>
    <row r="199" customFormat="false" ht="45" hidden="false" customHeight="false" outlineLevel="0" collapsed="false">
      <c r="E199" s="287" t="str">
        <f aca="false">IF($C$3,F199,IF($C$4,G199,IF($C$5,H199,IF($C$6,I199,IF($C$7,J199,IF($C$8,K199,IF(L199&lt;&gt;"",L199,F199)))))))</f>
        <v>Points for goal difference in the event of a tie:</v>
      </c>
      <c r="F199" s="323" t="s">
        <v>933</v>
      </c>
      <c r="G199" s="324" t="s">
        <v>934</v>
      </c>
      <c r="H199" s="325" t="s">
        <v>935</v>
      </c>
      <c r="I199" s="326" t="s">
        <v>936</v>
      </c>
      <c r="J199" s="325" t="s">
        <v>937</v>
      </c>
      <c r="K199" s="346" t="s">
        <v>938</v>
      </c>
      <c r="L199" s="328"/>
    </row>
    <row r="200" customFormat="false" ht="15" hidden="false" customHeight="false" outlineLevel="0" collapsed="false">
      <c r="E200" s="287" t="str">
        <f aca="false">IF($C$3,F200,IF($C$4,G200,IF($C$5,H200,IF($C$6,I200,IF($C$7,J200,IF($C$8,K200,IF(L200&lt;&gt;"",L200,F200)))))))</f>
        <v>yes</v>
      </c>
      <c r="F200" s="323" t="s">
        <v>939</v>
      </c>
      <c r="G200" s="324" t="s">
        <v>940</v>
      </c>
      <c r="H200" s="325" t="s">
        <v>941</v>
      </c>
      <c r="I200" s="326" t="s">
        <v>942</v>
      </c>
      <c r="J200" s="325" t="s">
        <v>943</v>
      </c>
      <c r="K200" s="346" t="s">
        <v>943</v>
      </c>
      <c r="L200" s="328"/>
    </row>
    <row r="201" customFormat="false" ht="15" hidden="false" customHeight="false" outlineLevel="0" collapsed="false">
      <c r="E201" s="287" t="str">
        <f aca="false">IF($C$3,F201,IF($C$4,G201,IF($C$5,H201,IF($C$6,I201,IF($C$7,J201,IF($C$8,K201,IF(L201&lt;&gt;"",L201,F201)))))))</f>
        <v>no</v>
      </c>
      <c r="F201" s="323" t="s">
        <v>944</v>
      </c>
      <c r="G201" s="324" t="s">
        <v>944</v>
      </c>
      <c r="H201" s="325" t="s">
        <v>944</v>
      </c>
      <c r="I201" s="326" t="s">
        <v>945</v>
      </c>
      <c r="J201" s="325" t="s">
        <v>946</v>
      </c>
      <c r="K201" s="346" t="s">
        <v>947</v>
      </c>
      <c r="L201" s="328"/>
    </row>
    <row r="202" customFormat="false" ht="51" hidden="false" customHeight="true" outlineLevel="0" collapsed="false">
      <c r="E202" s="287" t="str">
        <f aca="false">IF($C$3,F202,IF($C$4,G202,IF($C$5,H202,IF($C$6,I202,IF($C$7,J202,IF($C$8,K202,IF(L202&lt;&gt;"",L202,F202)))))))</f>
        <v>Minimum number for 'Many Goals' in the event of a tie:</v>
      </c>
      <c r="F202" s="353" t="s">
        <v>948</v>
      </c>
      <c r="G202" s="354" t="s">
        <v>949</v>
      </c>
      <c r="H202" s="355" t="s">
        <v>950</v>
      </c>
      <c r="I202" s="356" t="s">
        <v>951</v>
      </c>
      <c r="J202" s="355" t="s">
        <v>952</v>
      </c>
      <c r="K202" s="346" t="s">
        <v>953</v>
      </c>
      <c r="L202" s="357"/>
    </row>
    <row r="203" customFormat="false" ht="45" hidden="false" customHeight="false" outlineLevel="0" collapsed="false">
      <c r="E203" s="287" t="str">
        <f aca="false">IF($C$3,F203,IF($C$4,G203,IF($C$5,H203,IF($C$6,I203,IF($C$7,J203,IF($C$8,K203,IF(L203&lt;&gt;"",L203,F203)))))))</f>
        <v>Minimum number for a large goal difference:</v>
      </c>
      <c r="F203" s="353" t="s">
        <v>954</v>
      </c>
      <c r="G203" s="354" t="s">
        <v>955</v>
      </c>
      <c r="H203" s="355" t="s">
        <v>956</v>
      </c>
      <c r="I203" s="356" t="s">
        <v>957</v>
      </c>
      <c r="J203" s="355" t="s">
        <v>958</v>
      </c>
      <c r="K203" s="346" t="s">
        <v>959</v>
      </c>
      <c r="L203" s="357"/>
    </row>
    <row r="204" customFormat="false" ht="409.5" hidden="false" customHeight="false" outlineLevel="0" collapsed="false">
      <c r="E204" s="358" t="str">
        <f aca="false">IF($C$3,F204,IF($C$4,G204,IF($C$5,H204,IF($C$6,I204,IF($C$7,J204,IF($C$8,K204,IF(L204&lt;&gt;"",L204,F204)))))))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353" t="s">
        <v>960</v>
      </c>
      <c r="G204" s="354" t="s">
        <v>961</v>
      </c>
      <c r="H204" s="355" t="s">
        <v>962</v>
      </c>
      <c r="I204" s="356" t="s">
        <v>963</v>
      </c>
      <c r="J204" s="355" t="s">
        <v>964</v>
      </c>
      <c r="K204" s="346" t="s">
        <v>965</v>
      </c>
      <c r="L204" s="357"/>
    </row>
    <row r="205" customFormat="false" ht="258.75" hidden="false" customHeight="true" outlineLevel="0" collapsed="false">
      <c r="E205" s="358" t="str">
        <f aca="false">IF($C$3,F205,IF($C$4,G205,IF($C$5,H205,IF($C$6,I205,IF($C$7,J205,IF($C$8,K205,IF(L205&lt;&gt;"",L205,F205)))))))</f>
        <v>In the event of a tie, should points be awarded for goal difference?
Many are used to it. But for logical reasons these are free points because in this case the goal difference is automatically correct. In the settings above you can therefore choose 'yes' or 'no'.</v>
      </c>
      <c r="F205" s="353" t="s">
        <v>966</v>
      </c>
      <c r="G205" s="354" t="s">
        <v>967</v>
      </c>
      <c r="H205" s="355" t="s">
        <v>968</v>
      </c>
      <c r="I205" s="356" t="s">
        <v>969</v>
      </c>
      <c r="J205" s="355" t="s">
        <v>970</v>
      </c>
      <c r="K205" s="346" t="s">
        <v>971</v>
      </c>
      <c r="L205" s="357"/>
    </row>
    <row r="206" customFormat="false" ht="47.25" hidden="false" customHeight="true" outlineLevel="0" collapsed="false">
      <c r="E206" s="287" t="str">
        <f aca="false">IF($C$3,F206,IF($C$4,G206,IF($C$5,H206,IF($C$6,I206,IF($C$7,J206,IF($C$8,K206,IF(L206&lt;&gt;"",L206,F206)))))))</f>
        <v>Minimum number for a large sum of goals:</v>
      </c>
      <c r="F206" s="353" t="s">
        <v>972</v>
      </c>
      <c r="G206" s="354" t="s">
        <v>973</v>
      </c>
      <c r="H206" s="355" t="s">
        <v>974</v>
      </c>
      <c r="I206" s="356" t="s">
        <v>975</v>
      </c>
      <c r="J206" s="355" t="s">
        <v>976</v>
      </c>
      <c r="K206" s="346" t="s">
        <v>977</v>
      </c>
      <c r="L206" s="357"/>
    </row>
    <row r="207" customFormat="false" ht="242.25" hidden="false" customHeight="true" outlineLevel="0" collapsed="false">
      <c r="E207" s="287" t="str">
        <f aca="false">IF($C$3,F207,IF($C$4,G207,IF($C$5,H207,IF($C$6,I207,IF($C$7,J207,IF($C$8,K207,IF(L207&lt;&gt;"",L207,F207)))))))</f>
        <v>In the round of 16, quarter-finals and semi-finals, the result is predicted without a penalty shoot-out. A tie can also be entered. In the final and third-place match, the total score (including penalty shoot-outs) must be entered.</v>
      </c>
      <c r="F207" s="353" t="s">
        <v>978</v>
      </c>
      <c r="G207" s="354" t="s">
        <v>979</v>
      </c>
      <c r="H207" s="355" t="s">
        <v>980</v>
      </c>
      <c r="I207" s="356" t="s">
        <v>981</v>
      </c>
      <c r="J207" s="355" t="s">
        <v>982</v>
      </c>
      <c r="K207" s="346" t="s">
        <v>983</v>
      </c>
      <c r="L207" s="357"/>
    </row>
    <row r="208" customFormat="false" ht="47.25" hidden="false" customHeight="true" outlineLevel="0" collapsed="false">
      <c r="E208" s="287" t="n">
        <f aca="false">IF($C$3,F208,IF($C$4,G208,IF($C$5,H208,IF($C$6,I208,IF($C$7,J208,IF($C$8,K208,IF(L208&lt;&gt;"",L208,F208)))))))</f>
        <v>0</v>
      </c>
      <c r="F208" s="353"/>
      <c r="G208" s="354"/>
      <c r="H208" s="355"/>
      <c r="I208" s="356"/>
      <c r="J208" s="355"/>
      <c r="K208" s="292"/>
      <c r="L208" s="357"/>
    </row>
    <row r="209" customFormat="false" ht="47.25" hidden="false" customHeight="true" outlineLevel="0" collapsed="false">
      <c r="E209" s="287" t="n">
        <f aca="false">IF($C$3,F209,IF($C$4,G209,IF($C$5,H209,IF($C$6,I209,IF($C$7,J209,IF($C$8,K209,IF(L209&lt;&gt;"",L209,F209)))))))</f>
        <v>0</v>
      </c>
      <c r="F209" s="353"/>
      <c r="G209" s="354"/>
      <c r="H209" s="355"/>
      <c r="I209" s="356"/>
      <c r="J209" s="355"/>
      <c r="K209" s="292"/>
      <c r="L209" s="357"/>
    </row>
    <row r="210" customFormat="false" ht="15.75" hidden="false" customHeight="false" outlineLevel="0" collapsed="false">
      <c r="E210" s="287" t="n">
        <f aca="false">IF($C$3,F210,IF($C$4,G210,IF($C$5,H210,IF($C$6,I210,IF($C$7,J210,IF($C$8,K210,IF(L210&lt;&gt;"",L210,F210)))))))</f>
        <v>0</v>
      </c>
      <c r="F210" s="375"/>
      <c r="G210" s="376"/>
      <c r="H210" s="377"/>
      <c r="I210" s="378"/>
      <c r="J210" s="377"/>
      <c r="K210" s="379"/>
      <c r="L210" s="380"/>
    </row>
    <row r="211" customFormat="false" ht="15.75" hidden="false" customHeight="false" outlineLevel="0" collapsed="false"/>
    <row r="212" customFormat="false" ht="15" hidden="false" customHeight="false" outlineLevel="0" collapsed="false"/>
  </sheetData>
  <sheetProtection sheet="true" selectLockedCells="true"/>
  <mergeCells count="12">
    <mergeCell ref="F1:J1"/>
    <mergeCell ref="L1:M1"/>
    <mergeCell ref="F2:J2"/>
    <mergeCell ref="D3:D4"/>
    <mergeCell ref="E3:E4"/>
    <mergeCell ref="F3:F4"/>
    <mergeCell ref="G3:G4"/>
    <mergeCell ref="H3:H4"/>
    <mergeCell ref="I3:I4"/>
    <mergeCell ref="J3:J4"/>
    <mergeCell ref="K3:K4"/>
    <mergeCell ref="L3:L4"/>
  </mergeCells>
  <conditionalFormatting sqref="F3:F4">
    <cfRule type="expression" priority="2" aboveAverage="0" equalAverage="0" bottom="0" percent="0" rank="0" text="" dxfId="208">
      <formula>$C$3</formula>
    </cfRule>
  </conditionalFormatting>
  <conditionalFormatting sqref="G3:G4">
    <cfRule type="expression" priority="3" aboveAverage="0" equalAverage="0" bottom="0" percent="0" rank="0" text="" dxfId="209">
      <formula>$C$4</formula>
    </cfRule>
  </conditionalFormatting>
  <conditionalFormatting sqref="D3:D4">
    <cfRule type="expression" priority="4" aboveAverage="0" equalAverage="0" bottom="0" percent="0" rank="0" text="" dxfId="210">
      <formula>#ref!</formula>
    </cfRule>
  </conditionalFormatting>
  <conditionalFormatting sqref="H3:H4">
    <cfRule type="expression" priority="5" aboveAverage="0" equalAverage="0" bottom="0" percent="0" rank="0" text="" dxfId="211">
      <formula>$C$5</formula>
    </cfRule>
  </conditionalFormatting>
  <conditionalFormatting sqref="I3:I4">
    <cfRule type="expression" priority="6" aboveAverage="0" equalAverage="0" bottom="0" percent="0" rank="0" text="" dxfId="212">
      <formula>$C$6</formula>
    </cfRule>
  </conditionalFormatting>
  <conditionalFormatting sqref="J3:J4">
    <cfRule type="expression" priority="7" aboveAverage="0" equalAverage="0" bottom="0" percent="0" rank="0" text="" dxfId="213">
      <formula>$C$7</formula>
    </cfRule>
  </conditionalFormatting>
  <conditionalFormatting sqref="L3:L4">
    <cfRule type="expression" priority="8" aboveAverage="0" equalAverage="0" bottom="0" percent="0" rank="0" text="" dxfId="214">
      <formula>$C$9</formula>
    </cfRule>
  </conditionalFormatting>
  <conditionalFormatting sqref="K3:K4">
    <cfRule type="expression" priority="9" aboveAverage="0" equalAverage="0" bottom="0" percent="0" rank="0" text="" dxfId="215">
      <formula>$C$8</formula>
    </cfRule>
  </conditionalFormatting>
  <dataValidations count="3">
    <dataValidation allowBlank="true" errorStyle="stop" operator="between" showDropDown="false" showErrorMessage="true" showInputMessage="true" sqref="N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M3" type="none">
      <formula1>0</formula1>
      <formula2>0</formula2>
    </dataValidation>
    <dataValidation allowBlank="true" error="Invalid language" errorStyle="stop" errorTitle="Language" operator="between" showDropDown="false" showErrorMessage="true" showInputMessage="false" sqref="N1" type="list">
      <formula1>$B$3:$B$9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4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C7" activeCellId="0" sqref="C7"/>
    </sheetView>
  </sheetViews>
  <sheetFormatPr defaultColWidth="10.7421875" defaultRowHeight="15" zeroHeight="false" outlineLevelRow="0" outlineLevelCol="0"/>
  <cols>
    <col collapsed="false" customWidth="true" hidden="false" outlineLevel="0" max="2" min="2" style="0" width="7.87"/>
    <col collapsed="false" customWidth="true" hidden="false" outlineLevel="0" max="3" min="3" style="0" width="6.42"/>
    <col collapsed="false" customWidth="true" hidden="false" outlineLevel="0" max="4" min="4" style="0" width="25.71"/>
  </cols>
  <sheetData>
    <row r="2" customFormat="false" ht="28.5" hidden="false" customHeight="false" outlineLevel="0" collapsed="false">
      <c r="B2" s="271" t="s">
        <v>984</v>
      </c>
      <c r="C2" s="271"/>
      <c r="D2" s="271"/>
    </row>
    <row r="3" customFormat="false" ht="15.75" hidden="false" customHeight="false" outlineLevel="0" collapsed="false"/>
    <row r="4" customFormat="false" ht="15.75" hidden="false" customHeight="true" outlineLevel="0" collapsed="false">
      <c r="B4" s="381" t="s">
        <v>985</v>
      </c>
      <c r="C4" s="382" t="s">
        <v>986</v>
      </c>
      <c r="D4" s="383" t="s">
        <v>3</v>
      </c>
    </row>
    <row r="5" customFormat="false" ht="15" hidden="false" customHeight="false" outlineLevel="0" collapsed="false">
      <c r="B5" s="381"/>
      <c r="C5" s="382"/>
      <c r="D5" s="383"/>
    </row>
    <row r="6" customFormat="false" ht="15.75" hidden="false" customHeight="false" outlineLevel="0" collapsed="false">
      <c r="B6" s="384"/>
      <c r="C6" s="385"/>
      <c r="D6" s="386" t="s">
        <v>56</v>
      </c>
    </row>
    <row r="7" customFormat="false" ht="15" hidden="false" customHeight="false" outlineLevel="0" collapsed="false">
      <c r="B7" s="315" t="s">
        <v>987</v>
      </c>
      <c r="C7" s="295" t="n">
        <v>51</v>
      </c>
      <c r="D7" s="387" t="str">
        <f aca="false">VLOOKUP($C7,Language!$D$5:$E$94,2,0)</f>
        <v>Qatar</v>
      </c>
    </row>
    <row r="8" customFormat="false" ht="15" hidden="false" customHeight="false" outlineLevel="0" collapsed="false">
      <c r="B8" s="315" t="s">
        <v>988</v>
      </c>
      <c r="C8" s="289" t="n">
        <v>46</v>
      </c>
      <c r="D8" s="387" t="str">
        <f aca="false">VLOOKUP($C8,Language!$D$5:$E$94,2,0)</f>
        <v>Ecuador</v>
      </c>
    </row>
    <row r="9" customFormat="false" ht="15" hidden="false" customHeight="false" outlineLevel="0" collapsed="false">
      <c r="B9" s="315" t="s">
        <v>989</v>
      </c>
      <c r="C9" s="289" t="n">
        <v>20</v>
      </c>
      <c r="D9" s="387" t="str">
        <f aca="false">VLOOKUP($C9,Language!$D$5:$E$94,2,0)</f>
        <v>Senegal</v>
      </c>
    </row>
    <row r="10" customFormat="false" ht="15" hidden="false" customHeight="false" outlineLevel="0" collapsed="false">
      <c r="B10" s="388" t="s">
        <v>990</v>
      </c>
      <c r="C10" s="295" t="n">
        <v>10</v>
      </c>
      <c r="D10" s="387" t="str">
        <f aca="false">VLOOKUP($C10,Language!$D$5:$E$94,2,0)</f>
        <v>Netherlands</v>
      </c>
    </row>
    <row r="11" customFormat="false" ht="15.75" hidden="false" customHeight="false" outlineLevel="0" collapsed="false">
      <c r="B11" s="389"/>
      <c r="C11" s="385"/>
      <c r="D11" s="386" t="s">
        <v>58</v>
      </c>
    </row>
    <row r="12" customFormat="false" ht="15" hidden="false" customHeight="false" outlineLevel="0" collapsed="false">
      <c r="B12" s="315" t="s">
        <v>991</v>
      </c>
      <c r="C12" s="289" t="n">
        <v>5</v>
      </c>
      <c r="D12" s="387" t="str">
        <f aca="false">VLOOKUP($C12,Language!$D$5:$E$94,2,0)</f>
        <v>England</v>
      </c>
    </row>
    <row r="13" customFormat="false" ht="15" hidden="false" customHeight="false" outlineLevel="0" collapsed="false">
      <c r="B13" s="315" t="s">
        <v>992</v>
      </c>
      <c r="C13" s="295" t="n">
        <v>21</v>
      </c>
      <c r="D13" s="387" t="str">
        <f aca="false">VLOOKUP($C13,Language!$D$5:$E$94,2,0)</f>
        <v>IR Iran</v>
      </c>
    </row>
    <row r="14" customFormat="false" ht="15" hidden="false" customHeight="false" outlineLevel="0" collapsed="false">
      <c r="B14" s="315" t="s">
        <v>993</v>
      </c>
      <c r="C14" s="289" t="n">
        <v>15</v>
      </c>
      <c r="D14" s="387" t="str">
        <f aca="false">VLOOKUP($C14,Language!$D$5:$E$94,2,0)</f>
        <v>USA</v>
      </c>
    </row>
    <row r="15" customFormat="false" ht="15" hidden="false" customHeight="false" outlineLevel="0" collapsed="false">
      <c r="B15" s="388" t="s">
        <v>994</v>
      </c>
      <c r="C15" s="289" t="n">
        <v>18</v>
      </c>
      <c r="D15" s="387" t="str">
        <f aca="false">VLOOKUP($C15,Language!$D$5:$E$94,2,0)</f>
        <v>Wales</v>
      </c>
    </row>
    <row r="16" customFormat="false" ht="15.75" hidden="false" customHeight="false" outlineLevel="0" collapsed="false">
      <c r="B16" s="389"/>
      <c r="C16" s="385"/>
      <c r="D16" s="386" t="s">
        <v>60</v>
      </c>
    </row>
    <row r="17" customFormat="false" ht="15" hidden="false" customHeight="false" outlineLevel="0" collapsed="false">
      <c r="B17" s="315" t="s">
        <v>995</v>
      </c>
      <c r="C17" s="289" t="n">
        <v>4</v>
      </c>
      <c r="D17" s="387" t="str">
        <f aca="false">VLOOKUP($C17,Language!$D$5:$E$94,2,0)</f>
        <v>Argentina</v>
      </c>
    </row>
    <row r="18" customFormat="false" ht="15" hidden="false" customHeight="false" outlineLevel="0" collapsed="false">
      <c r="B18" s="315" t="s">
        <v>996</v>
      </c>
      <c r="C18" s="289" t="n">
        <v>49</v>
      </c>
      <c r="D18" s="387" t="str">
        <f aca="false">VLOOKUP($C18,Language!$D$5:$E$94,2,0)</f>
        <v>Saudi Arabia</v>
      </c>
    </row>
    <row r="19" customFormat="false" ht="15" hidden="false" customHeight="false" outlineLevel="0" collapsed="false">
      <c r="B19" s="315" t="s">
        <v>997</v>
      </c>
      <c r="C19" s="289" t="n">
        <v>9</v>
      </c>
      <c r="D19" s="387" t="str">
        <f aca="false">VLOOKUP($C19,Language!$D$5:$E$94,2,0)</f>
        <v>Mexico</v>
      </c>
    </row>
    <row r="20" customFormat="false" ht="15" hidden="false" customHeight="false" outlineLevel="0" collapsed="false">
      <c r="B20" s="388" t="s">
        <v>998</v>
      </c>
      <c r="C20" s="289" t="n">
        <v>26</v>
      </c>
      <c r="D20" s="387" t="str">
        <f aca="false">VLOOKUP($C20,Language!$D$5:$E$94,2,0)</f>
        <v>Poland</v>
      </c>
    </row>
    <row r="21" customFormat="false" ht="15.75" hidden="false" customHeight="false" outlineLevel="0" collapsed="false">
      <c r="B21" s="389"/>
      <c r="C21" s="385"/>
      <c r="D21" s="386" t="s">
        <v>62</v>
      </c>
    </row>
    <row r="22" customFormat="false" ht="15" hidden="false" customHeight="false" outlineLevel="0" collapsed="false">
      <c r="B22" s="315" t="s">
        <v>999</v>
      </c>
      <c r="C22" s="289" t="n">
        <v>3</v>
      </c>
      <c r="D22" s="387" t="str">
        <f aca="false">VLOOKUP($C22,Language!$D$5:$E$94,2,0)</f>
        <v>France</v>
      </c>
    </row>
    <row r="23" customFormat="false" ht="15" hidden="false" customHeight="false" outlineLevel="0" collapsed="false">
      <c r="B23" s="315" t="s">
        <v>1000</v>
      </c>
      <c r="C23" s="289" t="n">
        <v>42</v>
      </c>
      <c r="D23" s="387" t="str">
        <f aca="false">VLOOKUP($C23,Language!$D$5:$E$94,2,0)</f>
        <v>Australia</v>
      </c>
    </row>
    <row r="24" customFormat="false" ht="15" hidden="false" customHeight="false" outlineLevel="0" collapsed="false">
      <c r="B24" s="315" t="s">
        <v>1001</v>
      </c>
      <c r="C24" s="289" t="n">
        <v>11</v>
      </c>
      <c r="D24" s="387" t="str">
        <f aca="false">VLOOKUP($C24,Language!$D$5:$E$94,2,0)</f>
        <v>Denmark</v>
      </c>
    </row>
    <row r="25" customFormat="false" ht="15" hidden="false" customHeight="false" outlineLevel="0" collapsed="false">
      <c r="B25" s="388" t="s">
        <v>1002</v>
      </c>
      <c r="C25" s="295" t="n">
        <v>35</v>
      </c>
      <c r="D25" s="387" t="str">
        <f aca="false">VLOOKUP($C25,Language!$D$5:$E$94,2,0)</f>
        <v>Tunisia</v>
      </c>
    </row>
    <row r="26" customFormat="false" ht="15.75" hidden="false" customHeight="false" outlineLevel="0" collapsed="false">
      <c r="B26" s="389"/>
      <c r="C26" s="385"/>
      <c r="D26" s="386" t="s">
        <v>57</v>
      </c>
    </row>
    <row r="27" customFormat="false" ht="15" hidden="false" customHeight="false" outlineLevel="0" collapsed="false">
      <c r="B27" s="315" t="s">
        <v>1003</v>
      </c>
      <c r="C27" s="289" t="n">
        <v>7</v>
      </c>
      <c r="D27" s="387" t="str">
        <f aca="false">VLOOKUP($C27,Language!$D$5:$E$94,2,0)</f>
        <v>Spain</v>
      </c>
    </row>
    <row r="28" customFormat="false" ht="15" hidden="false" customHeight="false" outlineLevel="0" collapsed="false">
      <c r="B28" s="315" t="s">
        <v>1004</v>
      </c>
      <c r="C28" s="295" t="n">
        <v>31</v>
      </c>
      <c r="D28" s="387" t="str">
        <f aca="false">VLOOKUP($C28,Language!$D$5:$E$94,2,0)</f>
        <v>Costa Rica</v>
      </c>
    </row>
    <row r="29" customFormat="false" ht="15" hidden="false" customHeight="false" outlineLevel="0" collapsed="false">
      <c r="B29" s="315" t="s">
        <v>1005</v>
      </c>
      <c r="C29" s="289" t="n">
        <v>12</v>
      </c>
      <c r="D29" s="387" t="str">
        <f aca="false">VLOOKUP($C29,Language!$D$5:$E$94,2,0)</f>
        <v>Germany</v>
      </c>
    </row>
    <row r="30" customFormat="false" ht="15" hidden="false" customHeight="false" outlineLevel="0" collapsed="false">
      <c r="B30" s="388" t="s">
        <v>1006</v>
      </c>
      <c r="C30" s="295" t="n">
        <v>23</v>
      </c>
      <c r="D30" s="387" t="str">
        <f aca="false">VLOOKUP($C30,Language!$D$5:$E$94,2,0)</f>
        <v>Japan</v>
      </c>
    </row>
    <row r="31" customFormat="false" ht="15.75" hidden="false" customHeight="false" outlineLevel="0" collapsed="false">
      <c r="B31" s="389"/>
      <c r="C31" s="385"/>
      <c r="D31" s="386" t="s">
        <v>59</v>
      </c>
    </row>
    <row r="32" customFormat="false" ht="15" hidden="false" customHeight="false" outlineLevel="0" collapsed="false">
      <c r="B32" s="315" t="s">
        <v>1007</v>
      </c>
      <c r="C32" s="295" t="n">
        <v>2</v>
      </c>
      <c r="D32" s="387" t="str">
        <f aca="false">VLOOKUP($C32,Language!$D$5:$E$94,2,0)</f>
        <v>Belgium</v>
      </c>
    </row>
    <row r="33" customFormat="false" ht="15" hidden="false" customHeight="false" outlineLevel="0" collapsed="false">
      <c r="B33" s="315" t="s">
        <v>1008</v>
      </c>
      <c r="C33" s="289" t="n">
        <v>38</v>
      </c>
      <c r="D33" s="387" t="str">
        <f aca="false">VLOOKUP($C33,Language!$D$5:$E$94,2,0)</f>
        <v>Canada</v>
      </c>
    </row>
    <row r="34" customFormat="false" ht="15" hidden="false" customHeight="false" outlineLevel="0" collapsed="false">
      <c r="B34" s="315" t="s">
        <v>1009</v>
      </c>
      <c r="C34" s="295" t="n">
        <v>24</v>
      </c>
      <c r="D34" s="387" t="str">
        <f aca="false">VLOOKUP($C34,Language!$D$5:$E$94,2,0)</f>
        <v>Morocco</v>
      </c>
    </row>
    <row r="35" customFormat="false" ht="15" hidden="false" customHeight="false" outlineLevel="0" collapsed="false">
      <c r="B35" s="388" t="s">
        <v>1010</v>
      </c>
      <c r="C35" s="295" t="n">
        <v>16</v>
      </c>
      <c r="D35" s="387" t="str">
        <f aca="false">VLOOKUP($C35,Language!$D$5:$E$94,2,0)</f>
        <v>Croatia</v>
      </c>
    </row>
    <row r="36" customFormat="false" ht="15.75" hidden="false" customHeight="false" outlineLevel="0" collapsed="false">
      <c r="B36" s="389"/>
      <c r="C36" s="385"/>
      <c r="D36" s="386" t="s">
        <v>61</v>
      </c>
    </row>
    <row r="37" customFormat="false" ht="15" hidden="false" customHeight="false" outlineLevel="0" collapsed="false">
      <c r="B37" s="315" t="s">
        <v>1011</v>
      </c>
      <c r="C37" s="289" t="n">
        <v>1</v>
      </c>
      <c r="D37" s="387" t="str">
        <f aca="false">VLOOKUP($C37,Language!$D$5:$E$94,2,0)</f>
        <v>Brazil</v>
      </c>
    </row>
    <row r="38" customFormat="false" ht="15" hidden="false" customHeight="false" outlineLevel="0" collapsed="false">
      <c r="B38" s="315" t="s">
        <v>1012</v>
      </c>
      <c r="C38" s="289" t="n">
        <v>25</v>
      </c>
      <c r="D38" s="387" t="str">
        <f aca="false">VLOOKUP($C38,Language!$D$5:$E$94,2,0)</f>
        <v>Serbia</v>
      </c>
    </row>
    <row r="39" customFormat="false" ht="15" hidden="false" customHeight="false" outlineLevel="0" collapsed="false">
      <c r="B39" s="315" t="s">
        <v>1013</v>
      </c>
      <c r="C39" s="289" t="n">
        <v>14</v>
      </c>
      <c r="D39" s="387" t="str">
        <f aca="false">VLOOKUP($C39,Language!$D$5:$E$94,2,0)</f>
        <v>Switzerland</v>
      </c>
    </row>
    <row r="40" customFormat="false" ht="15" hidden="false" customHeight="false" outlineLevel="0" collapsed="false">
      <c r="B40" s="388" t="s">
        <v>1014</v>
      </c>
      <c r="C40" s="289" t="n">
        <v>37</v>
      </c>
      <c r="D40" s="387" t="str">
        <f aca="false">VLOOKUP($C40,Language!$D$5:$E$94,2,0)</f>
        <v>Cameroon</v>
      </c>
    </row>
    <row r="41" customFormat="false" ht="15.75" hidden="false" customHeight="false" outlineLevel="0" collapsed="false">
      <c r="B41" s="389"/>
      <c r="C41" s="385"/>
      <c r="D41" s="386" t="s">
        <v>63</v>
      </c>
    </row>
    <row r="42" customFormat="false" ht="15" hidden="false" customHeight="false" outlineLevel="0" collapsed="false">
      <c r="B42" s="315" t="s">
        <v>1015</v>
      </c>
      <c r="C42" s="289" t="n">
        <v>8</v>
      </c>
      <c r="D42" s="387" t="str">
        <f aca="false">VLOOKUP($C42,Language!$D$5:$E$94,2,0)</f>
        <v>Portugal</v>
      </c>
    </row>
    <row r="43" customFormat="false" ht="15" hidden="false" customHeight="false" outlineLevel="0" collapsed="false">
      <c r="B43" s="315" t="s">
        <v>1016</v>
      </c>
      <c r="C43" s="289" t="n">
        <v>60</v>
      </c>
      <c r="D43" s="387" t="str">
        <f aca="false">VLOOKUP($C43,Language!$D$5:$E$94,2,0)</f>
        <v>Ghana</v>
      </c>
    </row>
    <row r="44" customFormat="false" ht="15" hidden="false" customHeight="false" outlineLevel="0" collapsed="false">
      <c r="B44" s="315" t="s">
        <v>1017</v>
      </c>
      <c r="C44" s="289" t="n">
        <v>13</v>
      </c>
      <c r="D44" s="387" t="str">
        <f aca="false">VLOOKUP($C44,Language!$D$5:$E$94,2,0)</f>
        <v>Uruguay</v>
      </c>
    </row>
    <row r="45" customFormat="false" ht="15.75" hidden="false" customHeight="false" outlineLevel="0" collapsed="false">
      <c r="B45" s="316" t="s">
        <v>1018</v>
      </c>
      <c r="C45" s="301" t="n">
        <v>29</v>
      </c>
      <c r="D45" s="390" t="str">
        <f aca="false">VLOOKUP($C45,Language!$D$5:$E$94,2,0)</f>
        <v>South Korea</v>
      </c>
    </row>
    <row r="46" customFormat="false" ht="15.75" hidden="false" customHeight="false" outlineLevel="0" collapsed="false"/>
  </sheetData>
  <sheetProtection sheet="true" selectLockedCells="true"/>
  <mergeCells count="4">
    <mergeCell ref="B2:D2"/>
    <mergeCell ref="B4:B5"/>
    <mergeCell ref="C4:C5"/>
    <mergeCell ref="D4:D5"/>
  </mergeCells>
  <conditionalFormatting sqref="B4:B5">
    <cfRule type="expression" priority="2" aboveAverage="0" equalAverage="0" bottom="0" percent="0" rank="0" text="" dxfId="216">
      <formula>xey8</formula>
    </cfRule>
  </conditionalFormatting>
  <conditionalFormatting sqref="C4:C5">
    <cfRule type="expression" priority="3" aboveAverage="0" equalAverage="0" bottom="0" percent="0" rank="0" text="" dxfId="217">
      <formula>xez8</formula>
    </cfRule>
  </conditionalFormatting>
  <conditionalFormatting sqref="D4:D5">
    <cfRule type="expression" priority="4" aboveAverage="0" equalAverage="0" bottom="0" percent="0" rank="0" text="" dxfId="218">
      <formula>xfa8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5"/>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4" activeCellId="0" sqref="E4"/>
    </sheetView>
  </sheetViews>
  <sheetFormatPr defaultColWidth="11.43359375" defaultRowHeight="15" zeroHeight="true" outlineLevelRow="0" outlineLevelCol="0"/>
  <cols>
    <col collapsed="false" customWidth="true" hidden="false" outlineLevel="0" max="2" min="2" style="0" width="9.29"/>
    <col collapsed="false" customWidth="true" hidden="false" outlineLevel="0" max="4" min="3" style="174" width="5.7"/>
    <col collapsed="false" customWidth="true" hidden="false" outlineLevel="0" max="5" min="5" style="0" width="27.31"/>
    <col collapsed="false" customWidth="true" hidden="false" outlineLevel="0" max="6" min="6" style="0" width="26.71"/>
    <col collapsed="false" customWidth="true" hidden="false" outlineLevel="0" max="7" min="7" style="0" width="8.29"/>
    <col collapsed="false" customWidth="true" hidden="false" outlineLevel="0" max="8" min="8" style="0" width="21.57"/>
    <col collapsed="false" customWidth="true" hidden="false" outlineLevel="0" max="9" min="9" style="0" width="18"/>
    <col collapsed="false" customWidth="true" hidden="false" outlineLevel="0" max="10" min="10" style="0" width="19"/>
    <col collapsed="false" customWidth="true" hidden="false" outlineLevel="0" max="11" min="11" style="0" width="18.12"/>
    <col collapsed="false" customWidth="true" hidden="false" outlineLevel="0" max="12" min="12" style="0" width="10.29"/>
    <col collapsed="false" customWidth="true" hidden="false" outlineLevel="0" max="13" min="13" style="174" width="4.71"/>
    <col collapsed="false" customWidth="true" hidden="false" outlineLevel="0" max="14" min="14" style="174" width="23.01"/>
    <col collapsed="false" customWidth="true" hidden="false" outlineLevel="0" max="15" min="15" style="174" width="4.71"/>
    <col collapsed="false" customWidth="false" hidden="true" outlineLevel="0" max="1024" min="16" style="0" width="11.42"/>
  </cols>
  <sheetData>
    <row r="1" customFormat="false" ht="28.5" hidden="false" customHeight="false" outlineLevel="0" collapsed="false">
      <c r="A1" s="391"/>
      <c r="B1" s="392" t="str">
        <f aca="false">Language!$E$119</f>
        <v>Matches</v>
      </c>
      <c r="C1" s="392"/>
      <c r="D1" s="392"/>
      <c r="E1" s="392"/>
      <c r="F1" s="392"/>
      <c r="G1" s="392"/>
      <c r="H1" s="392"/>
      <c r="I1" s="392"/>
      <c r="J1" s="392"/>
    </row>
    <row r="2" customFormat="false" ht="18.75" hidden="false" customHeight="true" outlineLevel="0" collapsed="false">
      <c r="A2" s="393"/>
      <c r="B2" s="394"/>
      <c r="C2" s="394"/>
      <c r="D2" s="394"/>
      <c r="E2" s="394"/>
      <c r="F2" s="394"/>
      <c r="G2" s="394"/>
      <c r="H2" s="394"/>
      <c r="I2" s="394"/>
      <c r="J2" s="394"/>
    </row>
    <row r="3" customFormat="false" ht="30" hidden="false" customHeight="true" outlineLevel="0" collapsed="false">
      <c r="A3" s="393"/>
      <c r="B3" s="395" t="s">
        <v>1019</v>
      </c>
      <c r="C3" s="396" t="s">
        <v>824</v>
      </c>
      <c r="D3" s="396"/>
      <c r="E3" s="397" t="s">
        <v>1020</v>
      </c>
      <c r="F3" s="397" t="s">
        <v>1021</v>
      </c>
      <c r="G3" s="398" t="s">
        <v>493</v>
      </c>
      <c r="H3" s="397" t="s">
        <v>1022</v>
      </c>
      <c r="I3" s="397" t="s">
        <v>1023</v>
      </c>
      <c r="J3" s="397" t="s">
        <v>1024</v>
      </c>
      <c r="K3" s="399" t="s">
        <v>1025</v>
      </c>
    </row>
    <row r="4" customFormat="false" ht="15" hidden="false" customHeight="false" outlineLevel="0" collapsed="false">
      <c r="B4" s="400" t="n">
        <v>1</v>
      </c>
      <c r="C4" s="401" t="s">
        <v>987</v>
      </c>
      <c r="D4" s="402" t="s">
        <v>988</v>
      </c>
      <c r="E4" s="403" t="n">
        <v>44885.7916666667</v>
      </c>
      <c r="F4" s="404" t="n">
        <f aca="false">E4-VLOOKUP(TimeZone!$L$5,TimeZone!$C$4:$E$39,3,0)+VLOOKUP(TimeZone!$H$1,TimeZone!$C$4:$E$39,3,0)</f>
        <v>44885.7083333334</v>
      </c>
      <c r="G4" s="405" t="n">
        <v>1</v>
      </c>
      <c r="H4" s="406" t="str">
        <f aca="false">VLOOKUP($G4,Language!$D$97:$E$112,2,0)</f>
        <v>Al Bayt</v>
      </c>
      <c r="I4" s="407" t="str">
        <f aca="false">VLOOKUP(C4,Groups!$B$7:$D$45,3,0)</f>
        <v>Qatar</v>
      </c>
      <c r="J4" s="407" t="str">
        <f aca="false">VLOOKUP(D4,Groups!$B$7:$D$45,3,0)</f>
        <v>Ecuador</v>
      </c>
      <c r="K4" s="408"/>
    </row>
    <row r="5" customFormat="false" ht="15" hidden="false" customHeight="false" outlineLevel="0" collapsed="false">
      <c r="B5" s="400" t="n">
        <v>2</v>
      </c>
      <c r="C5" s="401" t="s">
        <v>989</v>
      </c>
      <c r="D5" s="402" t="s">
        <v>990</v>
      </c>
      <c r="E5" s="403" t="n">
        <v>44886.7916666667</v>
      </c>
      <c r="F5" s="404" t="n">
        <f aca="false">E5-VLOOKUP(TimeZone!$L$5,TimeZone!$C$4:$E$39,3,0)+VLOOKUP(TimeZone!$H$1,TimeZone!$C$4:$E$39,3,0)</f>
        <v>44886.7083333334</v>
      </c>
      <c r="G5" s="409" t="n">
        <v>3</v>
      </c>
      <c r="H5" s="406" t="str">
        <f aca="false">VLOOKUP($G5,Language!$D$97:$E$112,2,0)</f>
        <v>Al Thumama</v>
      </c>
      <c r="I5" s="407" t="str">
        <f aca="false">VLOOKUP(C5,Groups!$B$7:$D$45,3,0)</f>
        <v>Senegal</v>
      </c>
      <c r="J5" s="407" t="str">
        <f aca="false">VLOOKUP(D5,Groups!$B$7:$D$45,3,0)</f>
        <v>Netherlands</v>
      </c>
      <c r="K5" s="408"/>
    </row>
    <row r="6" customFormat="false" ht="15" hidden="false" customHeight="false" outlineLevel="0" collapsed="false">
      <c r="B6" s="400" t="n">
        <v>3</v>
      </c>
      <c r="C6" s="401" t="s">
        <v>991</v>
      </c>
      <c r="D6" s="402" t="s">
        <v>992</v>
      </c>
      <c r="E6" s="403" t="n">
        <v>44886.6666666667</v>
      </c>
      <c r="F6" s="404" t="n">
        <f aca="false">E6-VLOOKUP(TimeZone!$L$5,TimeZone!$C$4:$E$39,3,0)+VLOOKUP(TimeZone!$H$1,TimeZone!$C$4:$E$39,3,0)</f>
        <v>44886.5833333334</v>
      </c>
      <c r="G6" s="409" t="n">
        <v>2</v>
      </c>
      <c r="H6" s="406" t="str">
        <f aca="false">VLOOKUP($G6,Language!$D$97:$E$112,2,0)</f>
        <v>Khalifa Internat.</v>
      </c>
      <c r="I6" s="407" t="str">
        <f aca="false">VLOOKUP(C6,Groups!$B$7:$D$45,3,0)</f>
        <v>England</v>
      </c>
      <c r="J6" s="407" t="str">
        <f aca="false">VLOOKUP(D6,Groups!$B$7:$D$45,3,0)</f>
        <v>IR Iran</v>
      </c>
      <c r="K6" s="408"/>
    </row>
    <row r="7" customFormat="false" ht="15" hidden="false" customHeight="false" outlineLevel="0" collapsed="false">
      <c r="B7" s="400" t="n">
        <v>4</v>
      </c>
      <c r="C7" s="401" t="s">
        <v>993</v>
      </c>
      <c r="D7" s="402" t="s">
        <v>994</v>
      </c>
      <c r="E7" s="403" t="n">
        <v>44886.9166666667</v>
      </c>
      <c r="F7" s="404" t="n">
        <f aca="false">E7-VLOOKUP(TimeZone!$L$5,TimeZone!$C$4:$E$39,3,0)+VLOOKUP(TimeZone!$H$1,TimeZone!$C$4:$E$39,3,0)</f>
        <v>44886.8333333334</v>
      </c>
      <c r="G7" s="409" t="n">
        <v>4</v>
      </c>
      <c r="H7" s="406" t="str">
        <f aca="false">VLOOKUP($G7,Language!$D$97:$E$112,2,0)</f>
        <v>Ahmad Bin Ali</v>
      </c>
      <c r="I7" s="407" t="str">
        <f aca="false">VLOOKUP(C7,Groups!$B$7:$D$45,3,0)</f>
        <v>USA</v>
      </c>
      <c r="J7" s="407" t="str">
        <f aca="false">VLOOKUP(D7,Groups!$B$7:$D$45,3,0)</f>
        <v>Wales</v>
      </c>
      <c r="K7" s="408"/>
    </row>
    <row r="8" customFormat="false" ht="15" hidden="false" customHeight="false" outlineLevel="0" collapsed="false">
      <c r="B8" s="400" t="n">
        <v>5</v>
      </c>
      <c r="C8" s="401" t="s">
        <v>999</v>
      </c>
      <c r="D8" s="402" t="s">
        <v>1000</v>
      </c>
      <c r="E8" s="403" t="n">
        <v>44887.9166666667</v>
      </c>
      <c r="F8" s="404" t="n">
        <f aca="false">E8-VLOOKUP(TimeZone!$L$5,TimeZone!$C$4:$E$39,3,0)+VLOOKUP(TimeZone!$H$1,TimeZone!$C$4:$E$39,3,0)</f>
        <v>44887.8333333334</v>
      </c>
      <c r="G8" s="409" t="n">
        <v>8</v>
      </c>
      <c r="H8" s="406" t="str">
        <f aca="false">VLOOKUP($G8,Language!$D$97:$E$112,2,0)</f>
        <v>Al Janoub</v>
      </c>
      <c r="I8" s="407" t="str">
        <f aca="false">VLOOKUP(C8,Groups!$B$7:$D$45,3,0)</f>
        <v>France</v>
      </c>
      <c r="J8" s="407" t="str">
        <f aca="false">VLOOKUP(D8,Groups!$B$7:$D$45,3,0)</f>
        <v>Australia</v>
      </c>
      <c r="K8" s="408"/>
    </row>
    <row r="9" customFormat="false" ht="15" hidden="false" customHeight="false" outlineLevel="0" collapsed="false">
      <c r="B9" s="400" t="n">
        <v>6</v>
      </c>
      <c r="C9" s="401" t="s">
        <v>1001</v>
      </c>
      <c r="D9" s="402" t="s">
        <v>1002</v>
      </c>
      <c r="E9" s="403" t="n">
        <v>44887.6666666667</v>
      </c>
      <c r="F9" s="404" t="n">
        <f aca="false">E9-VLOOKUP(TimeZone!$L$5,TimeZone!$C$4:$E$39,3,0)+VLOOKUP(TimeZone!$H$1,TimeZone!$C$4:$E$39,3,0)</f>
        <v>44887.5833333334</v>
      </c>
      <c r="G9" s="409" t="n">
        <v>7</v>
      </c>
      <c r="H9" s="406" t="str">
        <f aca="false">VLOOKUP($G9,Language!$D$97:$E$112,2,0)</f>
        <v>Education City</v>
      </c>
      <c r="I9" s="407" t="str">
        <f aca="false">VLOOKUP(C9,Groups!$B$7:$D$45,3,0)</f>
        <v>Denmark</v>
      </c>
      <c r="J9" s="407" t="str">
        <f aca="false">VLOOKUP(D9,Groups!$B$7:$D$45,3,0)</f>
        <v>Tunisia</v>
      </c>
      <c r="K9" s="408"/>
    </row>
    <row r="10" customFormat="false" ht="15" hidden="false" customHeight="false" outlineLevel="0" collapsed="false">
      <c r="B10" s="400" t="n">
        <v>7</v>
      </c>
      <c r="C10" s="401" t="s">
        <v>997</v>
      </c>
      <c r="D10" s="402" t="s">
        <v>998</v>
      </c>
      <c r="E10" s="403" t="n">
        <v>44887.7916666667</v>
      </c>
      <c r="F10" s="404" t="n">
        <f aca="false">E10-VLOOKUP(TimeZone!$L$5,TimeZone!$C$4:$E$39,3,0)+VLOOKUP(TimeZone!$H$1,TimeZone!$C$4:$E$39,3,0)</f>
        <v>44887.7083333334</v>
      </c>
      <c r="G10" s="409" t="n">
        <v>6</v>
      </c>
      <c r="H10" s="406" t="str">
        <f aca="false">VLOOKUP($G10,Language!$D$97:$E$112,2,0)</f>
        <v>Stadium 974</v>
      </c>
      <c r="I10" s="407" t="str">
        <f aca="false">VLOOKUP(C10,Groups!$B$7:$D$45,3,0)</f>
        <v>Mexico</v>
      </c>
      <c r="J10" s="407" t="str">
        <f aca="false">VLOOKUP(D10,Groups!$B$7:$D$45,3,0)</f>
        <v>Poland</v>
      </c>
      <c r="K10" s="408"/>
    </row>
    <row r="11" customFormat="false" ht="15" hidden="false" customHeight="false" outlineLevel="0" collapsed="false">
      <c r="B11" s="400" t="n">
        <v>8</v>
      </c>
      <c r="C11" s="401" t="s">
        <v>995</v>
      </c>
      <c r="D11" s="402" t="s">
        <v>996</v>
      </c>
      <c r="E11" s="403" t="n">
        <v>44887.5416666667</v>
      </c>
      <c r="F11" s="404" t="n">
        <f aca="false">E11-VLOOKUP(TimeZone!$L$5,TimeZone!$C$4:$E$39,3,0)+VLOOKUP(TimeZone!$H$1,TimeZone!$C$4:$E$39,3,0)</f>
        <v>44887.4583333334</v>
      </c>
      <c r="G11" s="409" t="n">
        <v>5</v>
      </c>
      <c r="H11" s="406" t="str">
        <f aca="false">VLOOKUP($G11,Language!$D$97:$E$112,2,0)</f>
        <v>Lusail</v>
      </c>
      <c r="I11" s="407" t="str">
        <f aca="false">VLOOKUP(C11,Groups!$B$7:$D$45,3,0)</f>
        <v>Argentina</v>
      </c>
      <c r="J11" s="407" t="str">
        <f aca="false">VLOOKUP(D11,Groups!$B$7:$D$45,3,0)</f>
        <v>Saudi Arabia</v>
      </c>
      <c r="K11" s="408"/>
    </row>
    <row r="12" customFormat="false" ht="15" hidden="false" customHeight="false" outlineLevel="0" collapsed="false">
      <c r="B12" s="400" t="n">
        <v>9</v>
      </c>
      <c r="C12" s="401" t="s">
        <v>1007</v>
      </c>
      <c r="D12" s="402" t="s">
        <v>1008</v>
      </c>
      <c r="E12" s="403" t="n">
        <v>44888.9166666667</v>
      </c>
      <c r="F12" s="404" t="n">
        <f aca="false">E12-VLOOKUP(TimeZone!$L$5,TimeZone!$C$4:$E$39,3,0)+VLOOKUP(TimeZone!$H$1,TimeZone!$C$4:$E$39,3,0)</f>
        <v>44888.8333333334</v>
      </c>
      <c r="G12" s="409" t="n">
        <v>4</v>
      </c>
      <c r="H12" s="406" t="str">
        <f aca="false">VLOOKUP($G12,Language!$D$97:$E$112,2,0)</f>
        <v>Ahmad Bin Ali</v>
      </c>
      <c r="I12" s="407" t="str">
        <f aca="false">VLOOKUP(C12,Groups!$B$7:$D$45,3,0)</f>
        <v>Belgium</v>
      </c>
      <c r="J12" s="407" t="str">
        <f aca="false">VLOOKUP(D12,Groups!$B$7:$D$45,3,0)</f>
        <v>Canada</v>
      </c>
      <c r="K12" s="408"/>
    </row>
    <row r="13" customFormat="false" ht="15" hidden="false" customHeight="false" outlineLevel="0" collapsed="false">
      <c r="B13" s="400" t="n">
        <v>10</v>
      </c>
      <c r="C13" s="401" t="s">
        <v>1003</v>
      </c>
      <c r="D13" s="402" t="s">
        <v>1004</v>
      </c>
      <c r="E13" s="403" t="n">
        <v>44888.7916666667</v>
      </c>
      <c r="F13" s="404" t="n">
        <f aca="false">E13-VLOOKUP(TimeZone!$L$5,TimeZone!$C$4:$E$39,3,0)+VLOOKUP(TimeZone!$H$1,TimeZone!$C$4:$E$39,3,0)</f>
        <v>44888.7083333334</v>
      </c>
      <c r="G13" s="409" t="n">
        <v>3</v>
      </c>
      <c r="H13" s="406" t="str">
        <f aca="false">VLOOKUP($G13,Language!$D$97:$E$112,2,0)</f>
        <v>Al Thumama</v>
      </c>
      <c r="I13" s="407" t="str">
        <f aca="false">VLOOKUP(C13,Groups!$B$7:$D$45,3,0)</f>
        <v>Spain</v>
      </c>
      <c r="J13" s="407" t="str">
        <f aca="false">VLOOKUP(D13,Groups!$B$7:$D$45,3,0)</f>
        <v>Costa Rica</v>
      </c>
      <c r="K13" s="408"/>
    </row>
    <row r="14" customFormat="false" ht="15" hidden="false" customHeight="false" outlineLevel="0" collapsed="false">
      <c r="B14" s="400" t="n">
        <v>11</v>
      </c>
      <c r="C14" s="401" t="s">
        <v>1005</v>
      </c>
      <c r="D14" s="402" t="s">
        <v>1006</v>
      </c>
      <c r="E14" s="403" t="n">
        <v>44888.6666666667</v>
      </c>
      <c r="F14" s="404" t="n">
        <f aca="false">E14-VLOOKUP(TimeZone!$L$5,TimeZone!$C$4:$E$39,3,0)+VLOOKUP(TimeZone!$H$1,TimeZone!$C$4:$E$39,3,0)</f>
        <v>44888.5833333334</v>
      </c>
      <c r="G14" s="409" t="n">
        <v>2</v>
      </c>
      <c r="H14" s="406" t="str">
        <f aca="false">VLOOKUP($G14,Language!$D$97:$E$112,2,0)</f>
        <v>Khalifa Internat.</v>
      </c>
      <c r="I14" s="407" t="str">
        <f aca="false">VLOOKUP(C14,Groups!$B$7:$D$45,3,0)</f>
        <v>Germany</v>
      </c>
      <c r="J14" s="407" t="str">
        <f aca="false">VLOOKUP(D14,Groups!$B$7:$D$45,3,0)</f>
        <v>Japan</v>
      </c>
      <c r="K14" s="408"/>
    </row>
    <row r="15" customFormat="false" ht="15" hidden="false" customHeight="false" outlineLevel="0" collapsed="false">
      <c r="B15" s="400" t="n">
        <v>12</v>
      </c>
      <c r="C15" s="401" t="s">
        <v>1009</v>
      </c>
      <c r="D15" s="402" t="s">
        <v>1010</v>
      </c>
      <c r="E15" s="403" t="n">
        <v>44888.5416666667</v>
      </c>
      <c r="F15" s="404" t="n">
        <f aca="false">E15-VLOOKUP(TimeZone!$L$5,TimeZone!$C$4:$E$39,3,0)+VLOOKUP(TimeZone!$H$1,TimeZone!$C$4:$E$39,3,0)</f>
        <v>44888.4583333334</v>
      </c>
      <c r="G15" s="409" t="n">
        <v>1</v>
      </c>
      <c r="H15" s="406" t="str">
        <f aca="false">VLOOKUP($G15,Language!$D$97:$E$112,2,0)</f>
        <v>Al Bayt</v>
      </c>
      <c r="I15" s="407" t="str">
        <f aca="false">VLOOKUP(C15,Groups!$B$7:$D$45,3,0)</f>
        <v>Morocco</v>
      </c>
      <c r="J15" s="407" t="str">
        <f aca="false">VLOOKUP(D15,Groups!$B$7:$D$45,3,0)</f>
        <v>Croatia</v>
      </c>
      <c r="K15" s="408"/>
    </row>
    <row r="16" customFormat="false" ht="15" hidden="false" customHeight="false" outlineLevel="0" collapsed="false">
      <c r="B16" s="400" t="n">
        <v>13</v>
      </c>
      <c r="C16" s="401" t="s">
        <v>1013</v>
      </c>
      <c r="D16" s="402" t="s">
        <v>1014</v>
      </c>
      <c r="E16" s="403" t="n">
        <v>44889.5416666667</v>
      </c>
      <c r="F16" s="404" t="n">
        <f aca="false">E16-VLOOKUP(TimeZone!$L$5,TimeZone!$C$4:$E$39,3,0)+VLOOKUP(TimeZone!$H$1,TimeZone!$C$4:$E$39,3,0)</f>
        <v>44889.4583333334</v>
      </c>
      <c r="G16" s="409" t="n">
        <v>8</v>
      </c>
      <c r="H16" s="406" t="str">
        <f aca="false">VLOOKUP($G16,Language!$D$97:$E$112,2,0)</f>
        <v>Al Janoub</v>
      </c>
      <c r="I16" s="407" t="str">
        <f aca="false">VLOOKUP(C16,Groups!$B$7:$D$45,3,0)</f>
        <v>Switzerland</v>
      </c>
      <c r="J16" s="407" t="str">
        <f aca="false">VLOOKUP(D16,Groups!$B$7:$D$45,3,0)</f>
        <v>Cameroon</v>
      </c>
      <c r="K16" s="408"/>
    </row>
    <row r="17" customFormat="false" ht="15" hidden="false" customHeight="false" outlineLevel="0" collapsed="false">
      <c r="B17" s="400" t="n">
        <v>14</v>
      </c>
      <c r="C17" s="401" t="s">
        <v>1017</v>
      </c>
      <c r="D17" s="402" t="s">
        <v>1018</v>
      </c>
      <c r="E17" s="403" t="n">
        <v>44889.6666666667</v>
      </c>
      <c r="F17" s="404" t="n">
        <f aca="false">E17-VLOOKUP(TimeZone!$L$5,TimeZone!$C$4:$E$39,3,0)+VLOOKUP(TimeZone!$H$1,TimeZone!$C$4:$E$39,3,0)</f>
        <v>44889.5833333334</v>
      </c>
      <c r="G17" s="409" t="n">
        <v>7</v>
      </c>
      <c r="H17" s="406" t="str">
        <f aca="false">VLOOKUP($G17,Language!$D$97:$E$112,2,0)</f>
        <v>Education City</v>
      </c>
      <c r="I17" s="407" t="str">
        <f aca="false">VLOOKUP(C17,Groups!$B$7:$D$45,3,0)</f>
        <v>Uruguay</v>
      </c>
      <c r="J17" s="407" t="str">
        <f aca="false">VLOOKUP(D17,Groups!$B$7:$D$45,3,0)</f>
        <v>South Korea</v>
      </c>
      <c r="K17" s="408"/>
    </row>
    <row r="18" customFormat="false" ht="15" hidden="false" customHeight="false" outlineLevel="0" collapsed="false">
      <c r="B18" s="400" t="n">
        <v>15</v>
      </c>
      <c r="C18" s="401" t="s">
        <v>1015</v>
      </c>
      <c r="D18" s="402" t="s">
        <v>1016</v>
      </c>
      <c r="E18" s="403" t="n">
        <v>44889.7916666667</v>
      </c>
      <c r="F18" s="404" t="n">
        <f aca="false">E18-VLOOKUP(TimeZone!$L$5,TimeZone!$C$4:$E$39,3,0)+VLOOKUP(TimeZone!$H$1,TimeZone!$C$4:$E$39,3,0)</f>
        <v>44889.7083333334</v>
      </c>
      <c r="G18" s="409" t="n">
        <v>6</v>
      </c>
      <c r="H18" s="406" t="str">
        <f aca="false">VLOOKUP($G18,Language!$D$97:$E$112,2,0)</f>
        <v>Stadium 974</v>
      </c>
      <c r="I18" s="407" t="str">
        <f aca="false">VLOOKUP(C18,Groups!$B$7:$D$45,3,0)</f>
        <v>Portugal</v>
      </c>
      <c r="J18" s="407" t="str">
        <f aca="false">VLOOKUP(D18,Groups!$B$7:$D$45,3,0)</f>
        <v>Ghana</v>
      </c>
      <c r="K18" s="408"/>
    </row>
    <row r="19" customFormat="false" ht="15" hidden="false" customHeight="false" outlineLevel="0" collapsed="false">
      <c r="B19" s="400" t="n">
        <v>16</v>
      </c>
      <c r="C19" s="401" t="s">
        <v>1011</v>
      </c>
      <c r="D19" s="402" t="s">
        <v>1012</v>
      </c>
      <c r="E19" s="403" t="n">
        <v>44889.9166666667</v>
      </c>
      <c r="F19" s="404" t="n">
        <f aca="false">E19-VLOOKUP(TimeZone!$L$5,TimeZone!$C$4:$E$39,3,0)+VLOOKUP(TimeZone!$H$1,TimeZone!$C$4:$E$39,3,0)</f>
        <v>44889.8333333334</v>
      </c>
      <c r="G19" s="409" t="n">
        <v>5</v>
      </c>
      <c r="H19" s="406" t="str">
        <f aca="false">VLOOKUP($G19,Language!$D$97:$E$112,2,0)</f>
        <v>Lusail</v>
      </c>
      <c r="I19" s="407" t="str">
        <f aca="false">VLOOKUP(C19,Groups!$B$7:$D$45,3,0)</f>
        <v>Brazil</v>
      </c>
      <c r="J19" s="407" t="str">
        <f aca="false">VLOOKUP(D19,Groups!$B$7:$D$45,3,0)</f>
        <v>Serbia</v>
      </c>
      <c r="K19" s="408"/>
    </row>
    <row r="20" customFormat="false" ht="15" hidden="false" customHeight="false" outlineLevel="0" collapsed="false">
      <c r="B20" s="400" t="n">
        <v>17</v>
      </c>
      <c r="C20" s="401" t="s">
        <v>994</v>
      </c>
      <c r="D20" s="402" t="s">
        <v>992</v>
      </c>
      <c r="E20" s="403" t="n">
        <v>44890.5416666667</v>
      </c>
      <c r="F20" s="404" t="n">
        <f aca="false">E20-VLOOKUP(TimeZone!$L$5,TimeZone!$C$4:$E$39,3,0)+VLOOKUP(TimeZone!$H$1,TimeZone!$C$4:$E$39,3,0)</f>
        <v>44890.4583333334</v>
      </c>
      <c r="G20" s="409" t="n">
        <v>4</v>
      </c>
      <c r="H20" s="406" t="str">
        <f aca="false">VLOOKUP($G20,Language!$D$97:$E$112,2,0)</f>
        <v>Ahmad Bin Ali</v>
      </c>
      <c r="I20" s="407" t="str">
        <f aca="false">VLOOKUP(C20,Groups!$B$7:$D$45,3,0)</f>
        <v>Wales</v>
      </c>
      <c r="J20" s="407" t="str">
        <f aca="false">VLOOKUP(D20,Groups!$B$7:$D$45,3,0)</f>
        <v>IR Iran</v>
      </c>
      <c r="K20" s="408"/>
    </row>
    <row r="21" customFormat="false" ht="15" hidden="false" customHeight="false" outlineLevel="0" collapsed="false">
      <c r="B21" s="400" t="n">
        <v>18</v>
      </c>
      <c r="C21" s="401" t="s">
        <v>987</v>
      </c>
      <c r="D21" s="402" t="s">
        <v>989</v>
      </c>
      <c r="E21" s="403" t="n">
        <v>44890.6666666667</v>
      </c>
      <c r="F21" s="404" t="n">
        <f aca="false">E21-VLOOKUP(TimeZone!$L$5,TimeZone!$C$4:$E$39,3,0)+VLOOKUP(TimeZone!$H$1,TimeZone!$C$4:$E$39,3,0)</f>
        <v>44890.5833333334</v>
      </c>
      <c r="G21" s="409" t="n">
        <v>3</v>
      </c>
      <c r="H21" s="406" t="str">
        <f aca="false">VLOOKUP($G21,Language!$D$97:$E$112,2,0)</f>
        <v>Al Thumama</v>
      </c>
      <c r="I21" s="407" t="str">
        <f aca="false">VLOOKUP(C21,Groups!$B$7:$D$45,3,0)</f>
        <v>Qatar</v>
      </c>
      <c r="J21" s="407" t="str">
        <f aca="false">VLOOKUP(D21,Groups!$B$7:$D$45,3,0)</f>
        <v>Senegal</v>
      </c>
      <c r="K21" s="408"/>
    </row>
    <row r="22" customFormat="false" ht="15" hidden="false" customHeight="false" outlineLevel="0" collapsed="false">
      <c r="B22" s="400" t="n">
        <v>19</v>
      </c>
      <c r="C22" s="401" t="s">
        <v>990</v>
      </c>
      <c r="D22" s="402" t="s">
        <v>988</v>
      </c>
      <c r="E22" s="403" t="n">
        <v>44890.7916666667</v>
      </c>
      <c r="F22" s="404" t="n">
        <f aca="false">E22-VLOOKUP(TimeZone!$L$5,TimeZone!$C$4:$E$39,3,0)+VLOOKUP(TimeZone!$H$1,TimeZone!$C$4:$E$39,3,0)</f>
        <v>44890.7083333334</v>
      </c>
      <c r="G22" s="409" t="n">
        <v>2</v>
      </c>
      <c r="H22" s="406" t="str">
        <f aca="false">VLOOKUP($G22,Language!$D$97:$E$112,2,0)</f>
        <v>Khalifa Internat.</v>
      </c>
      <c r="I22" s="407" t="str">
        <f aca="false">VLOOKUP(C22,Groups!$B$7:$D$45,3,0)</f>
        <v>Netherlands</v>
      </c>
      <c r="J22" s="407" t="str">
        <f aca="false">VLOOKUP(D22,Groups!$B$7:$D$45,3,0)</f>
        <v>Ecuador</v>
      </c>
      <c r="K22" s="408"/>
    </row>
    <row r="23" customFormat="false" ht="15" hidden="false" customHeight="false" outlineLevel="0" collapsed="false">
      <c r="B23" s="400" t="n">
        <v>20</v>
      </c>
      <c r="C23" s="401" t="s">
        <v>991</v>
      </c>
      <c r="D23" s="402" t="s">
        <v>993</v>
      </c>
      <c r="E23" s="403" t="n">
        <v>44890.9166666667</v>
      </c>
      <c r="F23" s="404" t="n">
        <f aca="false">E23-VLOOKUP(TimeZone!$L$5,TimeZone!$C$4:$E$39,3,0)+VLOOKUP(TimeZone!$H$1,TimeZone!$C$4:$E$39,3,0)</f>
        <v>44890.8333333334</v>
      </c>
      <c r="G23" s="409" t="n">
        <v>1</v>
      </c>
      <c r="H23" s="406" t="str">
        <f aca="false">VLOOKUP($G23,Language!$D$97:$E$112,2,0)</f>
        <v>Al Bayt</v>
      </c>
      <c r="I23" s="407" t="str">
        <f aca="false">VLOOKUP(C23,Groups!$B$7:$D$45,3,0)</f>
        <v>England</v>
      </c>
      <c r="J23" s="407" t="str">
        <f aca="false">VLOOKUP(D23,Groups!$B$7:$D$45,3,0)</f>
        <v>USA</v>
      </c>
      <c r="K23" s="408"/>
    </row>
    <row r="24" customFormat="false" ht="15" hidden="false" customHeight="false" outlineLevel="0" collapsed="false">
      <c r="B24" s="400" t="n">
        <v>21</v>
      </c>
      <c r="C24" s="401" t="s">
        <v>1002</v>
      </c>
      <c r="D24" s="402" t="s">
        <v>1000</v>
      </c>
      <c r="E24" s="403" t="n">
        <v>44891.5416666667</v>
      </c>
      <c r="F24" s="404" t="n">
        <f aca="false">E24-VLOOKUP(TimeZone!$L$5,TimeZone!$C$4:$E$39,3,0)+VLOOKUP(TimeZone!$H$1,TimeZone!$C$4:$E$39,3,0)</f>
        <v>44891.4583333334</v>
      </c>
      <c r="G24" s="409" t="n">
        <v>8</v>
      </c>
      <c r="H24" s="406" t="str">
        <f aca="false">VLOOKUP($G24,Language!$D$97:$E$112,2,0)</f>
        <v>Al Janoub</v>
      </c>
      <c r="I24" s="407" t="str">
        <f aca="false">VLOOKUP(C24,Groups!$B$7:$D$45,3,0)</f>
        <v>Tunisia</v>
      </c>
      <c r="J24" s="407" t="str">
        <f aca="false">VLOOKUP(D24,Groups!$B$7:$D$45,3,0)</f>
        <v>Australia</v>
      </c>
      <c r="K24" s="408"/>
    </row>
    <row r="25" customFormat="false" ht="15" hidden="false" customHeight="false" outlineLevel="0" collapsed="false">
      <c r="B25" s="400" t="n">
        <v>22</v>
      </c>
      <c r="C25" s="401" t="s">
        <v>998</v>
      </c>
      <c r="D25" s="402" t="s">
        <v>996</v>
      </c>
      <c r="E25" s="403" t="n">
        <v>44891.6666666667</v>
      </c>
      <c r="F25" s="404" t="n">
        <f aca="false">E25-VLOOKUP(TimeZone!$L$5,TimeZone!$C$4:$E$39,3,0)+VLOOKUP(TimeZone!$H$1,TimeZone!$C$4:$E$39,3,0)</f>
        <v>44891.5833333334</v>
      </c>
      <c r="G25" s="409" t="n">
        <v>7</v>
      </c>
      <c r="H25" s="406" t="str">
        <f aca="false">VLOOKUP($G25,Language!$D$97:$E$112,2,0)</f>
        <v>Education City</v>
      </c>
      <c r="I25" s="407" t="str">
        <f aca="false">VLOOKUP(C25,Groups!$B$7:$D$45,3,0)</f>
        <v>Poland</v>
      </c>
      <c r="J25" s="407" t="str">
        <f aca="false">VLOOKUP(D25,Groups!$B$7:$D$45,3,0)</f>
        <v>Saudi Arabia</v>
      </c>
      <c r="K25" s="408"/>
    </row>
    <row r="26" customFormat="false" ht="15" hidden="false" customHeight="false" outlineLevel="0" collapsed="false">
      <c r="B26" s="400" t="n">
        <v>23</v>
      </c>
      <c r="C26" s="401" t="s">
        <v>999</v>
      </c>
      <c r="D26" s="402" t="s">
        <v>1001</v>
      </c>
      <c r="E26" s="403" t="n">
        <v>44891.7916666667</v>
      </c>
      <c r="F26" s="404" t="n">
        <f aca="false">E26-VLOOKUP(TimeZone!$L$5,TimeZone!$C$4:$E$39,3,0)+VLOOKUP(TimeZone!$H$1,TimeZone!$C$4:$E$39,3,0)</f>
        <v>44891.7083333334</v>
      </c>
      <c r="G26" s="409" t="n">
        <v>6</v>
      </c>
      <c r="H26" s="406" t="str">
        <f aca="false">VLOOKUP($G26,Language!$D$97:$E$112,2,0)</f>
        <v>Stadium 974</v>
      </c>
      <c r="I26" s="407" t="str">
        <f aca="false">VLOOKUP(C26,Groups!$B$7:$D$45,3,0)</f>
        <v>France</v>
      </c>
      <c r="J26" s="407" t="str">
        <f aca="false">VLOOKUP(D26,Groups!$B$7:$D$45,3,0)</f>
        <v>Denmark</v>
      </c>
      <c r="K26" s="408"/>
    </row>
    <row r="27" customFormat="false" ht="15" hidden="false" customHeight="false" outlineLevel="0" collapsed="false">
      <c r="B27" s="400" t="n">
        <v>24</v>
      </c>
      <c r="C27" s="401" t="s">
        <v>995</v>
      </c>
      <c r="D27" s="402" t="s">
        <v>997</v>
      </c>
      <c r="E27" s="403" t="n">
        <v>44891.9166666667</v>
      </c>
      <c r="F27" s="404" t="n">
        <f aca="false">E27-VLOOKUP(TimeZone!$L$5,TimeZone!$C$4:$E$39,3,0)+VLOOKUP(TimeZone!$H$1,TimeZone!$C$4:$E$39,3,0)</f>
        <v>44891.8333333334</v>
      </c>
      <c r="G27" s="409" t="n">
        <v>5</v>
      </c>
      <c r="H27" s="406" t="str">
        <f aca="false">VLOOKUP($G27,Language!$D$97:$E$112,2,0)</f>
        <v>Lusail</v>
      </c>
      <c r="I27" s="407" t="str">
        <f aca="false">VLOOKUP(C27,Groups!$B$7:$D$45,3,0)</f>
        <v>Argentina</v>
      </c>
      <c r="J27" s="407" t="str">
        <f aca="false">VLOOKUP(D27,Groups!$B$7:$D$45,3,0)</f>
        <v>Mexico</v>
      </c>
      <c r="K27" s="408"/>
    </row>
    <row r="28" customFormat="false" ht="15" hidden="false" customHeight="false" outlineLevel="0" collapsed="false">
      <c r="B28" s="400" t="n">
        <v>25</v>
      </c>
      <c r="C28" s="401" t="s">
        <v>1006</v>
      </c>
      <c r="D28" s="402" t="s">
        <v>1004</v>
      </c>
      <c r="E28" s="403" t="n">
        <v>44892.5416666667</v>
      </c>
      <c r="F28" s="404" t="n">
        <f aca="false">E28-VLOOKUP(TimeZone!$L$5,TimeZone!$C$4:$E$39,3,0)+VLOOKUP(TimeZone!$H$1,TimeZone!$C$4:$E$39,3,0)</f>
        <v>44892.4583333334</v>
      </c>
      <c r="G28" s="409" t="n">
        <v>4</v>
      </c>
      <c r="H28" s="406" t="str">
        <f aca="false">VLOOKUP($G28,Language!$D$97:$E$112,2,0)</f>
        <v>Ahmad Bin Ali</v>
      </c>
      <c r="I28" s="407" t="str">
        <f aca="false">VLOOKUP(C28,Groups!$B$7:$D$45,3,0)</f>
        <v>Japan</v>
      </c>
      <c r="J28" s="407" t="str">
        <f aca="false">VLOOKUP(D28,Groups!$B$7:$D$45,3,0)</f>
        <v>Costa Rica</v>
      </c>
      <c r="K28" s="408"/>
    </row>
    <row r="29" customFormat="false" ht="15" hidden="false" customHeight="false" outlineLevel="0" collapsed="false">
      <c r="B29" s="400" t="n">
        <v>26</v>
      </c>
      <c r="C29" s="401" t="s">
        <v>1007</v>
      </c>
      <c r="D29" s="402" t="s">
        <v>1009</v>
      </c>
      <c r="E29" s="403" t="n">
        <v>44892.6666666667</v>
      </c>
      <c r="F29" s="404" t="n">
        <f aca="false">E29-VLOOKUP(TimeZone!$L$5,TimeZone!$C$4:$E$39,3,0)+VLOOKUP(TimeZone!$H$1,TimeZone!$C$4:$E$39,3,0)</f>
        <v>44892.5833333334</v>
      </c>
      <c r="G29" s="409" t="n">
        <v>3</v>
      </c>
      <c r="H29" s="406" t="str">
        <f aca="false">VLOOKUP($G29,Language!$D$97:$E$112,2,0)</f>
        <v>Al Thumama</v>
      </c>
      <c r="I29" s="407" t="str">
        <f aca="false">VLOOKUP(C29,Groups!$B$7:$D$45,3,0)</f>
        <v>Belgium</v>
      </c>
      <c r="J29" s="407" t="str">
        <f aca="false">VLOOKUP(D29,Groups!$B$7:$D$45,3,0)</f>
        <v>Morocco</v>
      </c>
      <c r="K29" s="408"/>
    </row>
    <row r="30" customFormat="false" ht="15" hidden="false" customHeight="false" outlineLevel="0" collapsed="false">
      <c r="B30" s="400" t="n">
        <v>27</v>
      </c>
      <c r="C30" s="401" t="s">
        <v>1010</v>
      </c>
      <c r="D30" s="402" t="s">
        <v>1008</v>
      </c>
      <c r="E30" s="403" t="n">
        <v>44892.7916666667</v>
      </c>
      <c r="F30" s="404" t="n">
        <f aca="false">E30-VLOOKUP(TimeZone!$L$5,TimeZone!$C$4:$E$39,3,0)+VLOOKUP(TimeZone!$H$1,TimeZone!$C$4:$E$39,3,0)</f>
        <v>44892.7083333334</v>
      </c>
      <c r="G30" s="409" t="n">
        <v>2</v>
      </c>
      <c r="H30" s="406" t="str">
        <f aca="false">VLOOKUP($G30,Language!$D$97:$E$112,2,0)</f>
        <v>Khalifa Internat.</v>
      </c>
      <c r="I30" s="407" t="str">
        <f aca="false">VLOOKUP(C30,Groups!$B$7:$D$45,3,0)</f>
        <v>Croatia</v>
      </c>
      <c r="J30" s="407" t="str">
        <f aca="false">VLOOKUP(D30,Groups!$B$7:$D$45,3,0)</f>
        <v>Canada</v>
      </c>
      <c r="K30" s="408"/>
    </row>
    <row r="31" customFormat="false" ht="15" hidden="false" customHeight="false" outlineLevel="0" collapsed="false">
      <c r="B31" s="400" t="n">
        <v>28</v>
      </c>
      <c r="C31" s="401" t="s">
        <v>1003</v>
      </c>
      <c r="D31" s="402" t="s">
        <v>1005</v>
      </c>
      <c r="E31" s="403" t="n">
        <v>44892.9166666667</v>
      </c>
      <c r="F31" s="404" t="n">
        <f aca="false">E31-VLOOKUP(TimeZone!$L$5,TimeZone!$C$4:$E$39,3,0)+VLOOKUP(TimeZone!$H$1,TimeZone!$C$4:$E$39,3,0)</f>
        <v>44892.8333333334</v>
      </c>
      <c r="G31" s="409" t="n">
        <v>1</v>
      </c>
      <c r="H31" s="406" t="str">
        <f aca="false">VLOOKUP($G31,Language!$D$97:$E$112,2,0)</f>
        <v>Al Bayt</v>
      </c>
      <c r="I31" s="407" t="str">
        <f aca="false">VLOOKUP(C31,Groups!$B$7:$D$45,3,0)</f>
        <v>Spain</v>
      </c>
      <c r="J31" s="407" t="str">
        <f aca="false">VLOOKUP(D31,Groups!$B$7:$D$45,3,0)</f>
        <v>Germany</v>
      </c>
      <c r="K31" s="408"/>
    </row>
    <row r="32" customFormat="false" ht="15" hidden="false" customHeight="false" outlineLevel="0" collapsed="false">
      <c r="B32" s="400" t="n">
        <v>29</v>
      </c>
      <c r="C32" s="401" t="s">
        <v>1014</v>
      </c>
      <c r="D32" s="402" t="s">
        <v>1012</v>
      </c>
      <c r="E32" s="403" t="n">
        <v>44893.5416666667</v>
      </c>
      <c r="F32" s="404" t="n">
        <f aca="false">E32-VLOOKUP(TimeZone!$L$5,TimeZone!$C$4:$E$39,3,0)+VLOOKUP(TimeZone!$H$1,TimeZone!$C$4:$E$39,3,0)</f>
        <v>44893.4583333334</v>
      </c>
      <c r="G32" s="409" t="n">
        <v>8</v>
      </c>
      <c r="H32" s="406" t="str">
        <f aca="false">VLOOKUP($G32,Language!$D$97:$E$112,2,0)</f>
        <v>Al Janoub</v>
      </c>
      <c r="I32" s="407" t="str">
        <f aca="false">VLOOKUP(C32,Groups!$B$7:$D$45,3,0)</f>
        <v>Cameroon</v>
      </c>
      <c r="J32" s="407" t="str">
        <f aca="false">VLOOKUP(D32,Groups!$B$7:$D$45,3,0)</f>
        <v>Serbia</v>
      </c>
      <c r="K32" s="408"/>
    </row>
    <row r="33" customFormat="false" ht="15" hidden="false" customHeight="false" outlineLevel="0" collapsed="false">
      <c r="B33" s="400" t="n">
        <v>30</v>
      </c>
      <c r="C33" s="401" t="s">
        <v>1018</v>
      </c>
      <c r="D33" s="402" t="s">
        <v>1016</v>
      </c>
      <c r="E33" s="403" t="n">
        <v>44893.6666666667</v>
      </c>
      <c r="F33" s="404" t="n">
        <f aca="false">E33-VLOOKUP(TimeZone!$L$5,TimeZone!$C$4:$E$39,3,0)+VLOOKUP(TimeZone!$H$1,TimeZone!$C$4:$E$39,3,0)</f>
        <v>44893.5833333334</v>
      </c>
      <c r="G33" s="409" t="n">
        <v>7</v>
      </c>
      <c r="H33" s="406" t="str">
        <f aca="false">VLOOKUP($G33,Language!$D$97:$E$112,2,0)</f>
        <v>Education City</v>
      </c>
      <c r="I33" s="407" t="str">
        <f aca="false">VLOOKUP(C33,Groups!$B$7:$D$45,3,0)</f>
        <v>South Korea</v>
      </c>
      <c r="J33" s="407" t="str">
        <f aca="false">VLOOKUP(D33,Groups!$B$7:$D$45,3,0)</f>
        <v>Ghana</v>
      </c>
      <c r="K33" s="408"/>
    </row>
    <row r="34" customFormat="false" ht="15" hidden="false" customHeight="false" outlineLevel="0" collapsed="false">
      <c r="B34" s="400" t="n">
        <v>31</v>
      </c>
      <c r="C34" s="401" t="s">
        <v>1011</v>
      </c>
      <c r="D34" s="402" t="s">
        <v>1013</v>
      </c>
      <c r="E34" s="403" t="n">
        <v>44893.7916666667</v>
      </c>
      <c r="F34" s="404" t="n">
        <f aca="false">E34-VLOOKUP(TimeZone!$L$5,TimeZone!$C$4:$E$39,3,0)+VLOOKUP(TimeZone!$H$1,TimeZone!$C$4:$E$39,3,0)</f>
        <v>44893.7083333334</v>
      </c>
      <c r="G34" s="409" t="n">
        <v>6</v>
      </c>
      <c r="H34" s="406" t="str">
        <f aca="false">VLOOKUP($G34,Language!$D$97:$E$112,2,0)</f>
        <v>Stadium 974</v>
      </c>
      <c r="I34" s="407" t="str">
        <f aca="false">VLOOKUP(C34,Groups!$B$7:$D$45,3,0)</f>
        <v>Brazil</v>
      </c>
      <c r="J34" s="407" t="str">
        <f aca="false">VLOOKUP(D34,Groups!$B$7:$D$45,3,0)</f>
        <v>Switzerland</v>
      </c>
      <c r="K34" s="408"/>
    </row>
    <row r="35" customFormat="false" ht="15" hidden="false" customHeight="false" outlineLevel="0" collapsed="false">
      <c r="B35" s="400" t="n">
        <v>32</v>
      </c>
      <c r="C35" s="401" t="s">
        <v>1015</v>
      </c>
      <c r="D35" s="402" t="s">
        <v>1017</v>
      </c>
      <c r="E35" s="403" t="n">
        <v>44893.9166666667</v>
      </c>
      <c r="F35" s="404" t="n">
        <f aca="false">E35-VLOOKUP(TimeZone!$L$5,TimeZone!$C$4:$E$39,3,0)+VLOOKUP(TimeZone!$H$1,TimeZone!$C$4:$E$39,3,0)</f>
        <v>44893.8333333334</v>
      </c>
      <c r="G35" s="409" t="n">
        <v>5</v>
      </c>
      <c r="H35" s="406" t="str">
        <f aca="false">VLOOKUP($G35,Language!$D$97:$E$112,2,0)</f>
        <v>Lusail</v>
      </c>
      <c r="I35" s="407" t="str">
        <f aca="false">VLOOKUP(C35,Groups!$B$7:$D$45,3,0)</f>
        <v>Portugal</v>
      </c>
      <c r="J35" s="407" t="str">
        <f aca="false">VLOOKUP(D35,Groups!$B$7:$D$45,3,0)</f>
        <v>Uruguay</v>
      </c>
      <c r="K35" s="408"/>
    </row>
    <row r="36" customFormat="false" ht="15" hidden="false" customHeight="false" outlineLevel="0" collapsed="false">
      <c r="B36" s="400" t="n">
        <v>33</v>
      </c>
      <c r="C36" s="401" t="s">
        <v>994</v>
      </c>
      <c r="D36" s="402" t="s">
        <v>991</v>
      </c>
      <c r="E36" s="403" t="n">
        <v>44894.9166666667</v>
      </c>
      <c r="F36" s="404" t="n">
        <f aca="false">E36-VLOOKUP(TimeZone!$L$5,TimeZone!$C$4:$E$39,3,0)+VLOOKUP(TimeZone!$H$1,TimeZone!$C$4:$E$39,3,0)</f>
        <v>44894.8333333334</v>
      </c>
      <c r="G36" s="409" t="n">
        <v>4</v>
      </c>
      <c r="H36" s="406" t="str">
        <f aca="false">VLOOKUP($G36,Language!$D$97:$E$112,2,0)</f>
        <v>Ahmad Bin Ali</v>
      </c>
      <c r="I36" s="407" t="str">
        <f aca="false">VLOOKUP(C36,Groups!$B$7:$D$45,3,0)</f>
        <v>Wales</v>
      </c>
      <c r="J36" s="407" t="str">
        <f aca="false">VLOOKUP(D36,Groups!$B$7:$D$45,3,0)</f>
        <v>England</v>
      </c>
      <c r="K36" s="408"/>
    </row>
    <row r="37" customFormat="false" ht="15" hidden="false" customHeight="false" outlineLevel="0" collapsed="false">
      <c r="B37" s="400" t="n">
        <v>34</v>
      </c>
      <c r="C37" s="401" t="s">
        <v>992</v>
      </c>
      <c r="D37" s="402" t="s">
        <v>993</v>
      </c>
      <c r="E37" s="403" t="n">
        <v>44894.9166666667</v>
      </c>
      <c r="F37" s="404" t="n">
        <f aca="false">E37-VLOOKUP(TimeZone!$L$5,TimeZone!$C$4:$E$39,3,0)+VLOOKUP(TimeZone!$H$1,TimeZone!$C$4:$E$39,3,0)</f>
        <v>44894.8333333334</v>
      </c>
      <c r="G37" s="409" t="n">
        <v>3</v>
      </c>
      <c r="H37" s="406" t="str">
        <f aca="false">VLOOKUP($G37,Language!$D$97:$E$112,2,0)</f>
        <v>Al Thumama</v>
      </c>
      <c r="I37" s="407" t="str">
        <f aca="false">VLOOKUP(C37,Groups!$B$7:$D$45,3,0)</f>
        <v>IR Iran</v>
      </c>
      <c r="J37" s="407" t="str">
        <f aca="false">VLOOKUP(D37,Groups!$B$7:$D$45,3,0)</f>
        <v>USA</v>
      </c>
      <c r="K37" s="408"/>
    </row>
    <row r="38" customFormat="false" ht="15" hidden="false" customHeight="false" outlineLevel="0" collapsed="false">
      <c r="B38" s="400" t="n">
        <v>35</v>
      </c>
      <c r="C38" s="401" t="s">
        <v>988</v>
      </c>
      <c r="D38" s="402" t="s">
        <v>989</v>
      </c>
      <c r="E38" s="403" t="n">
        <v>44894.75</v>
      </c>
      <c r="F38" s="404" t="n">
        <f aca="false">E38-VLOOKUP(TimeZone!$L$5,TimeZone!$C$4:$E$39,3,0)+VLOOKUP(TimeZone!$H$1,TimeZone!$C$4:$E$39,3,0)</f>
        <v>44894.6666666667</v>
      </c>
      <c r="G38" s="409" t="n">
        <v>2</v>
      </c>
      <c r="H38" s="406" t="str">
        <f aca="false">VLOOKUP($G38,Language!$D$97:$E$112,2,0)</f>
        <v>Khalifa Internat.</v>
      </c>
      <c r="I38" s="407" t="str">
        <f aca="false">VLOOKUP(C38,Groups!$B$7:$D$45,3,0)</f>
        <v>Ecuador</v>
      </c>
      <c r="J38" s="407" t="str">
        <f aca="false">VLOOKUP(D38,Groups!$B$7:$D$45,3,0)</f>
        <v>Senegal</v>
      </c>
      <c r="K38" s="408"/>
    </row>
    <row r="39" customFormat="false" ht="15" hidden="false" customHeight="false" outlineLevel="0" collapsed="false">
      <c r="B39" s="400" t="n">
        <v>36</v>
      </c>
      <c r="C39" s="401" t="s">
        <v>990</v>
      </c>
      <c r="D39" s="402" t="s">
        <v>987</v>
      </c>
      <c r="E39" s="403" t="n">
        <v>44894.75</v>
      </c>
      <c r="F39" s="404" t="n">
        <f aca="false">E39-VLOOKUP(TimeZone!$L$5,TimeZone!$C$4:$E$39,3,0)+VLOOKUP(TimeZone!$H$1,TimeZone!$C$4:$E$39,3,0)</f>
        <v>44894.6666666667</v>
      </c>
      <c r="G39" s="409" t="n">
        <v>1</v>
      </c>
      <c r="H39" s="406" t="str">
        <f aca="false">VLOOKUP($G39,Language!$D$97:$E$112,2,0)</f>
        <v>Al Bayt</v>
      </c>
      <c r="I39" s="407" t="str">
        <f aca="false">VLOOKUP(C39,Groups!$B$7:$D$45,3,0)</f>
        <v>Netherlands</v>
      </c>
      <c r="J39" s="407" t="str">
        <f aca="false">VLOOKUP(D39,Groups!$B$7:$D$45,3,0)</f>
        <v>Qatar</v>
      </c>
      <c r="K39" s="408"/>
    </row>
    <row r="40" customFormat="false" ht="15" hidden="false" customHeight="false" outlineLevel="0" collapsed="false">
      <c r="B40" s="400" t="n">
        <v>37</v>
      </c>
      <c r="C40" s="401" t="s">
        <v>1000</v>
      </c>
      <c r="D40" s="402" t="s">
        <v>1001</v>
      </c>
      <c r="E40" s="403" t="n">
        <v>44895.75</v>
      </c>
      <c r="F40" s="404" t="n">
        <f aca="false">E40-VLOOKUP(TimeZone!$L$5,TimeZone!$C$4:$E$39,3,0)+VLOOKUP(TimeZone!$H$1,TimeZone!$C$4:$E$39,3,0)</f>
        <v>44895.6666666667</v>
      </c>
      <c r="G40" s="409" t="n">
        <v>8</v>
      </c>
      <c r="H40" s="406" t="str">
        <f aca="false">VLOOKUP($G40,Language!$D$97:$E$112,2,0)</f>
        <v>Al Janoub</v>
      </c>
      <c r="I40" s="407" t="str">
        <f aca="false">VLOOKUP(C40,Groups!$B$7:$D$45,3,0)</f>
        <v>Australia</v>
      </c>
      <c r="J40" s="407" t="str">
        <f aca="false">VLOOKUP(D40,Groups!$B$7:$D$45,3,0)</f>
        <v>Denmark</v>
      </c>
      <c r="K40" s="408"/>
    </row>
    <row r="41" customFormat="false" ht="15" hidden="false" customHeight="false" outlineLevel="0" collapsed="false">
      <c r="B41" s="400" t="n">
        <v>38</v>
      </c>
      <c r="C41" s="401" t="s">
        <v>1002</v>
      </c>
      <c r="D41" s="402" t="s">
        <v>999</v>
      </c>
      <c r="E41" s="403" t="n">
        <v>44895.75</v>
      </c>
      <c r="F41" s="404" t="n">
        <f aca="false">E41-VLOOKUP(TimeZone!$L$5,TimeZone!$C$4:$E$39,3,0)+VLOOKUP(TimeZone!$H$1,TimeZone!$C$4:$E$39,3,0)</f>
        <v>44895.6666666667</v>
      </c>
      <c r="G41" s="409" t="n">
        <v>7</v>
      </c>
      <c r="H41" s="406" t="str">
        <f aca="false">VLOOKUP($G41,Language!$D$97:$E$112,2,0)</f>
        <v>Education City</v>
      </c>
      <c r="I41" s="407" t="str">
        <f aca="false">VLOOKUP(C41,Groups!$B$7:$D$45,3,0)</f>
        <v>Tunisia</v>
      </c>
      <c r="J41" s="407" t="str">
        <f aca="false">VLOOKUP(D41,Groups!$B$7:$D$45,3,0)</f>
        <v>France</v>
      </c>
      <c r="K41" s="408"/>
    </row>
    <row r="42" customFormat="false" ht="15" hidden="false" customHeight="false" outlineLevel="0" collapsed="false">
      <c r="B42" s="400" t="n">
        <v>39</v>
      </c>
      <c r="C42" s="401" t="s">
        <v>998</v>
      </c>
      <c r="D42" s="402" t="s">
        <v>995</v>
      </c>
      <c r="E42" s="403" t="n">
        <v>44895.9166666667</v>
      </c>
      <c r="F42" s="404" t="n">
        <f aca="false">E42-VLOOKUP(TimeZone!$L$5,TimeZone!$C$4:$E$39,3,0)+VLOOKUP(TimeZone!$H$1,TimeZone!$C$4:$E$39,3,0)</f>
        <v>44895.8333333334</v>
      </c>
      <c r="G42" s="409" t="n">
        <v>6</v>
      </c>
      <c r="H42" s="406" t="str">
        <f aca="false">VLOOKUP($G42,Language!$D$97:$E$112,2,0)</f>
        <v>Stadium 974</v>
      </c>
      <c r="I42" s="407" t="str">
        <f aca="false">VLOOKUP(C42,Groups!$B$7:$D$45,3,0)</f>
        <v>Poland</v>
      </c>
      <c r="J42" s="407" t="str">
        <f aca="false">VLOOKUP(D42,Groups!$B$7:$D$45,3,0)</f>
        <v>Argentina</v>
      </c>
      <c r="K42" s="408"/>
    </row>
    <row r="43" customFormat="false" ht="15" hidden="false" customHeight="false" outlineLevel="0" collapsed="false">
      <c r="B43" s="400" t="n">
        <v>40</v>
      </c>
      <c r="C43" s="401" t="s">
        <v>996</v>
      </c>
      <c r="D43" s="402" t="s">
        <v>997</v>
      </c>
      <c r="E43" s="403" t="n">
        <v>44895.9166666667</v>
      </c>
      <c r="F43" s="404" t="n">
        <f aca="false">E43-VLOOKUP(TimeZone!$L$5,TimeZone!$C$4:$E$39,3,0)+VLOOKUP(TimeZone!$H$1,TimeZone!$C$4:$E$39,3,0)</f>
        <v>44895.8333333334</v>
      </c>
      <c r="G43" s="409" t="n">
        <v>5</v>
      </c>
      <c r="H43" s="406" t="str">
        <f aca="false">VLOOKUP($G43,Language!$D$97:$E$112,2,0)</f>
        <v>Lusail</v>
      </c>
      <c r="I43" s="407" t="str">
        <f aca="false">VLOOKUP(C43,Groups!$B$7:$D$45,3,0)</f>
        <v>Saudi Arabia</v>
      </c>
      <c r="J43" s="407" t="str">
        <f aca="false">VLOOKUP(D43,Groups!$B$7:$D$45,3,0)</f>
        <v>Mexico</v>
      </c>
      <c r="K43" s="408"/>
    </row>
    <row r="44" customFormat="false" ht="15" hidden="false" customHeight="false" outlineLevel="0" collapsed="false">
      <c r="B44" s="400" t="n">
        <v>41</v>
      </c>
      <c r="C44" s="401" t="s">
        <v>1010</v>
      </c>
      <c r="D44" s="402" t="s">
        <v>1007</v>
      </c>
      <c r="E44" s="403" t="n">
        <v>44896.75</v>
      </c>
      <c r="F44" s="404" t="n">
        <f aca="false">E44-VLOOKUP(TimeZone!$L$5,TimeZone!$C$4:$E$39,3,0)+VLOOKUP(TimeZone!$H$1,TimeZone!$C$4:$E$39,3,0)</f>
        <v>44896.6666666667</v>
      </c>
      <c r="G44" s="409" t="n">
        <v>4</v>
      </c>
      <c r="H44" s="406" t="str">
        <f aca="false">VLOOKUP($G44,Language!$D$97:$E$112,2,0)</f>
        <v>Ahmad Bin Ali</v>
      </c>
      <c r="I44" s="407" t="str">
        <f aca="false">VLOOKUP(C44,Groups!$B$7:$D$45,3,0)</f>
        <v>Croatia</v>
      </c>
      <c r="J44" s="407" t="str">
        <f aca="false">VLOOKUP(D44,Groups!$B$7:$D$45,3,0)</f>
        <v>Belgium</v>
      </c>
      <c r="K44" s="408"/>
    </row>
    <row r="45" customFormat="false" ht="15" hidden="false" customHeight="false" outlineLevel="0" collapsed="false">
      <c r="B45" s="400" t="n">
        <v>42</v>
      </c>
      <c r="C45" s="401" t="s">
        <v>1008</v>
      </c>
      <c r="D45" s="402" t="s">
        <v>1009</v>
      </c>
      <c r="E45" s="403" t="n">
        <v>44896.75</v>
      </c>
      <c r="F45" s="404" t="n">
        <f aca="false">E45-VLOOKUP(TimeZone!$L$5,TimeZone!$C$4:$E$39,3,0)+VLOOKUP(TimeZone!$H$1,TimeZone!$C$4:$E$39,3,0)</f>
        <v>44896.6666666667</v>
      </c>
      <c r="G45" s="409" t="n">
        <v>3</v>
      </c>
      <c r="H45" s="406" t="str">
        <f aca="false">VLOOKUP($G45,Language!$D$97:$E$112,2,0)</f>
        <v>Al Thumama</v>
      </c>
      <c r="I45" s="407" t="str">
        <f aca="false">VLOOKUP(C45,Groups!$B$7:$D$45,3,0)</f>
        <v>Canada</v>
      </c>
      <c r="J45" s="407" t="str">
        <f aca="false">VLOOKUP(D45,Groups!$B$7:$D$45,3,0)</f>
        <v>Morocco</v>
      </c>
      <c r="K45" s="408"/>
    </row>
    <row r="46" customFormat="false" ht="15" hidden="false" customHeight="false" outlineLevel="0" collapsed="false">
      <c r="B46" s="400" t="n">
        <v>43</v>
      </c>
      <c r="C46" s="401" t="s">
        <v>1006</v>
      </c>
      <c r="D46" s="402" t="s">
        <v>1003</v>
      </c>
      <c r="E46" s="403" t="n">
        <v>44896.9166666667</v>
      </c>
      <c r="F46" s="404" t="n">
        <f aca="false">E46-VLOOKUP(TimeZone!$L$5,TimeZone!$C$4:$E$39,3,0)+VLOOKUP(TimeZone!$H$1,TimeZone!$C$4:$E$39,3,0)</f>
        <v>44896.8333333334</v>
      </c>
      <c r="G46" s="409" t="n">
        <v>2</v>
      </c>
      <c r="H46" s="406" t="str">
        <f aca="false">VLOOKUP($G46,Language!$D$97:$E$112,2,0)</f>
        <v>Khalifa Internat.</v>
      </c>
      <c r="I46" s="407" t="str">
        <f aca="false">VLOOKUP(C46,Groups!$B$7:$D$45,3,0)</f>
        <v>Japan</v>
      </c>
      <c r="J46" s="407" t="str">
        <f aca="false">VLOOKUP(D46,Groups!$B$7:$D$45,3,0)</f>
        <v>Spain</v>
      </c>
      <c r="K46" s="408"/>
    </row>
    <row r="47" customFormat="false" ht="15" hidden="false" customHeight="false" outlineLevel="0" collapsed="false">
      <c r="B47" s="400" t="n">
        <v>44</v>
      </c>
      <c r="C47" s="401" t="s">
        <v>1004</v>
      </c>
      <c r="D47" s="402" t="s">
        <v>1005</v>
      </c>
      <c r="E47" s="403" t="n">
        <v>44896.9166666667</v>
      </c>
      <c r="F47" s="404" t="n">
        <f aca="false">E47-VLOOKUP(TimeZone!$L$5,TimeZone!$C$4:$E$39,3,0)+VLOOKUP(TimeZone!$H$1,TimeZone!$C$4:$E$39,3,0)</f>
        <v>44896.8333333334</v>
      </c>
      <c r="G47" s="409" t="n">
        <v>1</v>
      </c>
      <c r="H47" s="406" t="str">
        <f aca="false">VLOOKUP($G47,Language!$D$97:$E$112,2,0)</f>
        <v>Al Bayt</v>
      </c>
      <c r="I47" s="407" t="str">
        <f aca="false">VLOOKUP(C47,Groups!$B$7:$D$45,3,0)</f>
        <v>Costa Rica</v>
      </c>
      <c r="J47" s="407" t="str">
        <f aca="false">VLOOKUP(D47,Groups!$B$7:$D$45,3,0)</f>
        <v>Germany</v>
      </c>
      <c r="K47" s="408"/>
    </row>
    <row r="48" customFormat="false" ht="15" hidden="false" customHeight="false" outlineLevel="0" collapsed="false">
      <c r="B48" s="400" t="n">
        <v>45</v>
      </c>
      <c r="C48" s="401" t="s">
        <v>1016</v>
      </c>
      <c r="D48" s="402" t="s">
        <v>1017</v>
      </c>
      <c r="E48" s="403" t="n">
        <v>44897.75</v>
      </c>
      <c r="F48" s="404" t="n">
        <f aca="false">E48-VLOOKUP(TimeZone!$L$5,TimeZone!$C$4:$E$39,3,0)+VLOOKUP(TimeZone!$H$1,TimeZone!$C$4:$E$39,3,0)</f>
        <v>44897.6666666667</v>
      </c>
      <c r="G48" s="410" t="n">
        <v>8</v>
      </c>
      <c r="H48" s="406" t="str">
        <f aca="false">VLOOKUP($G48,Language!$D$97:$E$112,2,0)</f>
        <v>Al Janoub</v>
      </c>
      <c r="I48" s="407" t="str">
        <f aca="false">VLOOKUP(C48,Groups!$B$7:$D$45,3,0)</f>
        <v>Ghana</v>
      </c>
      <c r="J48" s="407" t="str">
        <f aca="false">VLOOKUP(D48,Groups!$B$7:$D$45,3,0)</f>
        <v>Uruguay</v>
      </c>
      <c r="K48" s="408"/>
    </row>
    <row r="49" customFormat="false" ht="15" hidden="false" customHeight="false" outlineLevel="0" collapsed="false">
      <c r="B49" s="400" t="n">
        <v>46</v>
      </c>
      <c r="C49" s="401" t="s">
        <v>1018</v>
      </c>
      <c r="D49" s="402" t="s">
        <v>1015</v>
      </c>
      <c r="E49" s="403" t="n">
        <v>44897.75</v>
      </c>
      <c r="F49" s="404" t="n">
        <f aca="false">E49-VLOOKUP(TimeZone!$L$5,TimeZone!$C$4:$E$39,3,0)+VLOOKUP(TimeZone!$H$1,TimeZone!$C$4:$E$39,3,0)</f>
        <v>44897.6666666667</v>
      </c>
      <c r="G49" s="409" t="n">
        <v>7</v>
      </c>
      <c r="H49" s="406" t="str">
        <f aca="false">VLOOKUP($G49,Language!$D$97:$E$112,2,0)</f>
        <v>Education City</v>
      </c>
      <c r="I49" s="407" t="str">
        <f aca="false">VLOOKUP(C49,Groups!$B$7:$D$45,3,0)</f>
        <v>South Korea</v>
      </c>
      <c r="J49" s="407" t="str">
        <f aca="false">VLOOKUP(D49,Groups!$B$7:$D$45,3,0)</f>
        <v>Portugal</v>
      </c>
      <c r="K49" s="408"/>
    </row>
    <row r="50" customFormat="false" ht="15" hidden="false" customHeight="false" outlineLevel="0" collapsed="false">
      <c r="B50" s="400" t="n">
        <v>47</v>
      </c>
      <c r="C50" s="401" t="s">
        <v>1012</v>
      </c>
      <c r="D50" s="402" t="s">
        <v>1013</v>
      </c>
      <c r="E50" s="403" t="n">
        <v>44897.9166666667</v>
      </c>
      <c r="F50" s="404" t="n">
        <f aca="false">E50-VLOOKUP(TimeZone!$L$5,TimeZone!$C$4:$E$39,3,0)+VLOOKUP(TimeZone!$H$1,TimeZone!$C$4:$E$39,3,0)</f>
        <v>44897.8333333334</v>
      </c>
      <c r="G50" s="409" t="n">
        <v>6</v>
      </c>
      <c r="H50" s="406" t="str">
        <f aca="false">VLOOKUP($G50,Language!$D$97:$E$112,2,0)</f>
        <v>Stadium 974</v>
      </c>
      <c r="I50" s="407" t="str">
        <f aca="false">VLOOKUP(C50,Groups!$B$7:$D$45,3,0)</f>
        <v>Serbia</v>
      </c>
      <c r="J50" s="407" t="str">
        <f aca="false">VLOOKUP(D50,Groups!$B$7:$D$45,3,0)</f>
        <v>Switzerland</v>
      </c>
      <c r="K50" s="408"/>
    </row>
    <row r="51" customFormat="false" ht="15" hidden="false" customHeight="false" outlineLevel="0" collapsed="false">
      <c r="B51" s="400" t="n">
        <v>48</v>
      </c>
      <c r="C51" s="401" t="s">
        <v>1014</v>
      </c>
      <c r="D51" s="402" t="s">
        <v>1011</v>
      </c>
      <c r="E51" s="403" t="n">
        <v>44897.9166666667</v>
      </c>
      <c r="F51" s="404" t="n">
        <f aca="false">E51-VLOOKUP(TimeZone!$L$5,TimeZone!$C$4:$E$39,3,0)+VLOOKUP(TimeZone!$H$1,TimeZone!$C$4:$E$39,3,0)</f>
        <v>44897.8333333334</v>
      </c>
      <c r="G51" s="409" t="n">
        <v>5</v>
      </c>
      <c r="H51" s="406" t="str">
        <f aca="false">VLOOKUP($G51,Language!$D$97:$E$112,2,0)</f>
        <v>Lusail</v>
      </c>
      <c r="I51" s="407" t="str">
        <f aca="false">VLOOKUP(C51,Groups!$B$7:$D$45,3,0)</f>
        <v>Cameroon</v>
      </c>
      <c r="J51" s="407" t="str">
        <f aca="false">VLOOKUP(D51,Groups!$B$7:$D$45,3,0)</f>
        <v>Brazil</v>
      </c>
      <c r="K51" s="408"/>
    </row>
    <row r="52" customFormat="false" ht="15.75" hidden="false" customHeight="false" outlineLevel="0" collapsed="false">
      <c r="B52" s="411" t="s">
        <v>1026</v>
      </c>
      <c r="C52" s="412"/>
      <c r="D52" s="412"/>
      <c r="E52" s="413"/>
      <c r="F52" s="414"/>
      <c r="G52" s="415"/>
      <c r="H52" s="414"/>
      <c r="I52" s="414"/>
      <c r="J52" s="414"/>
      <c r="K52" s="416"/>
    </row>
    <row r="53" customFormat="false" ht="15" hidden="false" customHeight="false" outlineLevel="0" collapsed="false">
      <c r="B53" s="400" t="n">
        <v>49</v>
      </c>
      <c r="C53" s="401" t="s">
        <v>17</v>
      </c>
      <c r="D53" s="402" t="s">
        <v>26</v>
      </c>
      <c r="E53" s="403" t="n">
        <v>44898.75</v>
      </c>
      <c r="F53" s="404" t="n">
        <f aca="false">E53-VLOOKUP(TimeZone!$L$5,TimeZone!$C$4:$E$39,3,0)+VLOOKUP(TimeZone!$H$1,TimeZone!$C$4:$E$39,3,0)</f>
        <v>44898.6666666667</v>
      </c>
      <c r="G53" s="405" t="n">
        <v>2</v>
      </c>
      <c r="H53" s="406" t="str">
        <f aca="false">VLOOKUP($G53,Language!$D$97:$E$112,2,0)</f>
        <v>Khalifa Internat.</v>
      </c>
      <c r="I53" s="407" t="str">
        <f aca="false">VLOOKUP(C53,$M$53:$N$68,2,0)</f>
        <v/>
      </c>
      <c r="J53" s="407" t="str">
        <f aca="false">VLOOKUP(D53,$M$53:$N$68,2,0)</f>
        <v/>
      </c>
      <c r="K53" s="417" t="n">
        <v>1</v>
      </c>
      <c r="L53" s="330"/>
      <c r="M53" s="418" t="s">
        <v>17</v>
      </c>
      <c r="N53" s="419" t="str">
        <f aca="false">'World Cup'!$B$42</f>
        <v/>
      </c>
    </row>
    <row r="54" customFormat="false" ht="15" hidden="false" customHeight="false" outlineLevel="0" collapsed="false">
      <c r="B54" s="400" t="n">
        <v>50</v>
      </c>
      <c r="C54" s="401" t="s">
        <v>19</v>
      </c>
      <c r="D54" s="402" t="s">
        <v>28</v>
      </c>
      <c r="E54" s="403" t="n">
        <v>44898.9166666667</v>
      </c>
      <c r="F54" s="404" t="n">
        <f aca="false">E54-VLOOKUP(TimeZone!$L$5,TimeZone!$C$4:$E$39,3,0)+VLOOKUP(TimeZone!$H$1,TimeZone!$C$4:$E$39,3,0)</f>
        <v>44898.8333333334</v>
      </c>
      <c r="G54" s="409" t="n">
        <v>4</v>
      </c>
      <c r="H54" s="406" t="str">
        <f aca="false">VLOOKUP($G54,Language!$D$97:$E$112,2,0)</f>
        <v>Ahmad Bin Ali</v>
      </c>
      <c r="I54" s="407" t="str">
        <f aca="false">VLOOKUP(C54,$M$53:$N$68,2,0)</f>
        <v/>
      </c>
      <c r="J54" s="407" t="str">
        <f aca="false">VLOOKUP(D54,$M$53:$N$68,2,0)</f>
        <v/>
      </c>
      <c r="K54" s="417" t="n">
        <v>2</v>
      </c>
      <c r="L54" s="330"/>
      <c r="M54" s="420" t="s">
        <v>25</v>
      </c>
      <c r="N54" s="421" t="str">
        <f aca="false">'World Cup'!$B$43</f>
        <v/>
      </c>
    </row>
    <row r="55" customFormat="false" ht="15" hidden="false" customHeight="false" outlineLevel="0" collapsed="false">
      <c r="B55" s="400" t="n">
        <v>51</v>
      </c>
      <c r="C55" s="401" t="s">
        <v>18</v>
      </c>
      <c r="D55" s="402" t="s">
        <v>25</v>
      </c>
      <c r="E55" s="403" t="n">
        <v>44899.9166666667</v>
      </c>
      <c r="F55" s="404" t="n">
        <f aca="false">E55-VLOOKUP(TimeZone!$L$5,TimeZone!$C$4:$E$39,3,0)+VLOOKUP(TimeZone!$H$1,TimeZone!$C$4:$E$39,3,0)</f>
        <v>44899.8333333334</v>
      </c>
      <c r="G55" s="409" t="n">
        <v>1</v>
      </c>
      <c r="H55" s="406" t="str">
        <f aca="false">VLOOKUP($G55,Language!$D$97:$E$112,2,0)</f>
        <v>Al Bayt</v>
      </c>
      <c r="I55" s="407" t="str">
        <f aca="false">VLOOKUP(C55,$M$53:$N$68,2,0)</f>
        <v/>
      </c>
      <c r="J55" s="407" t="str">
        <f aca="false">VLOOKUP(D55,$M$53:$N$68,2,0)</f>
        <v/>
      </c>
      <c r="K55" s="417" t="n">
        <v>4</v>
      </c>
      <c r="L55" s="330"/>
      <c r="M55" s="420" t="s">
        <v>18</v>
      </c>
      <c r="N55" s="421" t="str">
        <f aca="false">'World Cup'!$E$42</f>
        <v/>
      </c>
    </row>
    <row r="56" customFormat="false" ht="15" hidden="false" customHeight="false" outlineLevel="0" collapsed="false">
      <c r="B56" s="400" t="n">
        <v>52</v>
      </c>
      <c r="C56" s="401" t="s">
        <v>20</v>
      </c>
      <c r="D56" s="402" t="s">
        <v>27</v>
      </c>
      <c r="E56" s="403" t="n">
        <v>44899.75</v>
      </c>
      <c r="F56" s="404" t="n">
        <f aca="false">E56-VLOOKUP(TimeZone!$L$5,TimeZone!$C$4:$E$39,3,0)+VLOOKUP(TimeZone!$H$1,TimeZone!$C$4:$E$39,3,0)</f>
        <v>44899.6666666667</v>
      </c>
      <c r="G56" s="409" t="n">
        <v>3</v>
      </c>
      <c r="H56" s="406" t="str">
        <f aca="false">VLOOKUP($G56,Language!$D$97:$E$112,2,0)</f>
        <v>Al Thumama</v>
      </c>
      <c r="I56" s="407" t="str">
        <f aca="false">VLOOKUP(C56,$M$53:$N$68,2,0)</f>
        <v/>
      </c>
      <c r="J56" s="407" t="str">
        <f aca="false">VLOOKUP(D56,$M$53:$N$68,2,0)</f>
        <v/>
      </c>
      <c r="K56" s="417" t="n">
        <v>3</v>
      </c>
      <c r="L56" s="330"/>
      <c r="M56" s="420" t="s">
        <v>26</v>
      </c>
      <c r="N56" s="421" t="str">
        <f aca="false">'World Cup'!$E$43</f>
        <v/>
      </c>
    </row>
    <row r="57" customFormat="false" ht="15" hidden="false" customHeight="false" outlineLevel="0" collapsed="false">
      <c r="B57" s="400" t="n">
        <v>53</v>
      </c>
      <c r="C57" s="401" t="s">
        <v>21</v>
      </c>
      <c r="D57" s="402" t="s">
        <v>30</v>
      </c>
      <c r="E57" s="403" t="n">
        <v>44900.75</v>
      </c>
      <c r="F57" s="404" t="n">
        <f aca="false">E57-VLOOKUP(TimeZone!$L$5,TimeZone!$C$4:$E$39,3,0)+VLOOKUP(TimeZone!$H$1,TimeZone!$C$4:$E$39,3,0)</f>
        <v>44900.6666666667</v>
      </c>
      <c r="G57" s="409" t="n">
        <v>8</v>
      </c>
      <c r="H57" s="406" t="str">
        <f aca="false">VLOOKUP($G57,Language!$D$97:$E$112,2,0)</f>
        <v>Al Janoub</v>
      </c>
      <c r="I57" s="407" t="str">
        <f aca="false">VLOOKUP(C57,$M$53:$N$68,2,0)</f>
        <v/>
      </c>
      <c r="J57" s="407" t="str">
        <f aca="false">VLOOKUP(D57,$M$53:$N$68,2,0)</f>
        <v/>
      </c>
      <c r="K57" s="417" t="n">
        <v>5</v>
      </c>
      <c r="L57" s="330"/>
      <c r="M57" s="420" t="s">
        <v>19</v>
      </c>
      <c r="N57" s="421" t="str">
        <f aca="false">'World Cup'!$H$42</f>
        <v/>
      </c>
    </row>
    <row r="58" customFormat="false" ht="15" hidden="false" customHeight="false" outlineLevel="0" collapsed="false">
      <c r="B58" s="400" t="n">
        <v>54</v>
      </c>
      <c r="C58" s="401" t="s">
        <v>23</v>
      </c>
      <c r="D58" s="402" t="s">
        <v>32</v>
      </c>
      <c r="E58" s="403" t="n">
        <v>44900.9166666667</v>
      </c>
      <c r="F58" s="404" t="n">
        <f aca="false">E58-VLOOKUP(TimeZone!$L$5,TimeZone!$C$4:$E$39,3,0)+VLOOKUP(TimeZone!$H$1,TimeZone!$C$4:$E$39,3,0)</f>
        <v>44900.8333333334</v>
      </c>
      <c r="G58" s="409" t="n">
        <v>6</v>
      </c>
      <c r="H58" s="406" t="str">
        <f aca="false">VLOOKUP($G58,Language!$D$97:$E$112,2,0)</f>
        <v>Stadium 974</v>
      </c>
      <c r="I58" s="407" t="str">
        <f aca="false">VLOOKUP(C58,$M$53:$N$68,2,0)</f>
        <v/>
      </c>
      <c r="J58" s="407" t="str">
        <f aca="false">VLOOKUP(D58,$M$53:$N$68,2,0)</f>
        <v/>
      </c>
      <c r="K58" s="417" t="n">
        <v>6</v>
      </c>
      <c r="L58" s="330"/>
      <c r="M58" s="420" t="s">
        <v>27</v>
      </c>
      <c r="N58" s="421" t="str">
        <f aca="false">'World Cup'!$H$43</f>
        <v/>
      </c>
    </row>
    <row r="59" customFormat="false" ht="15" hidden="false" customHeight="false" outlineLevel="0" collapsed="false">
      <c r="B59" s="400" t="n">
        <v>55</v>
      </c>
      <c r="C59" s="401" t="s">
        <v>22</v>
      </c>
      <c r="D59" s="402" t="s">
        <v>29</v>
      </c>
      <c r="E59" s="403" t="n">
        <v>44901.75</v>
      </c>
      <c r="F59" s="404" t="n">
        <f aca="false">E59-VLOOKUP(TimeZone!$L$5,TimeZone!$C$4:$E$39,3,0)+VLOOKUP(TimeZone!$H$1,TimeZone!$C$4:$E$39,3,0)</f>
        <v>44901.6666666667</v>
      </c>
      <c r="G59" s="409" t="n">
        <v>7</v>
      </c>
      <c r="H59" s="406" t="str">
        <f aca="false">VLOOKUP($G59,Language!$D$97:$E$112,2,0)</f>
        <v>Education City</v>
      </c>
      <c r="I59" s="407" t="str">
        <f aca="false">VLOOKUP(C59,$M$53:$N$68,2,0)</f>
        <v/>
      </c>
      <c r="J59" s="407" t="str">
        <f aca="false">VLOOKUP(D59,$M$53:$N$68,2,0)</f>
        <v/>
      </c>
      <c r="K59" s="417" t="n">
        <v>7</v>
      </c>
      <c r="L59" s="330"/>
      <c r="M59" s="420" t="s">
        <v>20</v>
      </c>
      <c r="N59" s="421" t="str">
        <f aca="false">'World Cup'!$K$42</f>
        <v/>
      </c>
    </row>
    <row r="60" customFormat="false" ht="15" hidden="false" customHeight="false" outlineLevel="0" collapsed="false">
      <c r="B60" s="400" t="n">
        <v>56</v>
      </c>
      <c r="C60" s="401" t="s">
        <v>24</v>
      </c>
      <c r="D60" s="402" t="s">
        <v>31</v>
      </c>
      <c r="E60" s="403" t="n">
        <v>44901.9166666667</v>
      </c>
      <c r="F60" s="404" t="n">
        <f aca="false">E60-VLOOKUP(TimeZone!$L$5,TimeZone!$C$4:$E$39,3,0)+VLOOKUP(TimeZone!$H$1,TimeZone!$C$4:$E$39,3,0)</f>
        <v>44901.8333333334</v>
      </c>
      <c r="G60" s="410" t="n">
        <v>5</v>
      </c>
      <c r="H60" s="406" t="str">
        <f aca="false">VLOOKUP($G60,Language!$D$97:$E$112,2,0)</f>
        <v>Lusail</v>
      </c>
      <c r="I60" s="407" t="str">
        <f aca="false">VLOOKUP(C60,$M$53:$N$68,2,0)</f>
        <v/>
      </c>
      <c r="J60" s="407" t="str">
        <f aca="false">VLOOKUP(D60,$M$53:$N$68,2,0)</f>
        <v/>
      </c>
      <c r="K60" s="417" t="n">
        <v>8</v>
      </c>
      <c r="L60" s="330"/>
      <c r="M60" s="420" t="s">
        <v>28</v>
      </c>
      <c r="N60" s="421" t="str">
        <f aca="false">'World Cup'!$K$43</f>
        <v/>
      </c>
    </row>
    <row r="61" customFormat="false" ht="15" hidden="false" customHeight="false" outlineLevel="0" collapsed="false">
      <c r="B61" s="411" t="s">
        <v>1027</v>
      </c>
      <c r="C61" s="412"/>
      <c r="D61" s="412"/>
      <c r="E61" s="413"/>
      <c r="F61" s="414"/>
      <c r="G61" s="415"/>
      <c r="H61" s="414"/>
      <c r="I61" s="414"/>
      <c r="J61" s="414"/>
      <c r="K61" s="416"/>
      <c r="M61" s="420" t="s">
        <v>21</v>
      </c>
      <c r="N61" s="421" t="str">
        <f aca="false">'World Cup'!$N$42</f>
        <v/>
      </c>
    </row>
    <row r="62" customFormat="false" ht="15" hidden="false" customHeight="false" outlineLevel="0" collapsed="false">
      <c r="B62" s="400" t="n">
        <v>57</v>
      </c>
      <c r="C62" s="401" t="s">
        <v>1028</v>
      </c>
      <c r="D62" s="402" t="s">
        <v>1029</v>
      </c>
      <c r="E62" s="403" t="n">
        <v>44904.9166666667</v>
      </c>
      <c r="F62" s="404" t="n">
        <f aca="false">E62-VLOOKUP(TimeZone!$L$5,TimeZone!$C$4:$E$39,3,0)+VLOOKUP(TimeZone!$H$1,TimeZone!$C$4:$E$39,3,0)</f>
        <v>44904.8333333334</v>
      </c>
      <c r="G62" s="405" t="n">
        <v>5</v>
      </c>
      <c r="H62" s="406" t="str">
        <f aca="false">VLOOKUP($G62,Language!$D$97:$E$112,2,0)</f>
        <v>Lusail</v>
      </c>
      <c r="I62" s="422"/>
      <c r="J62" s="422"/>
      <c r="K62" s="417" t="n">
        <v>2</v>
      </c>
      <c r="M62" s="420" t="s">
        <v>29</v>
      </c>
      <c r="N62" s="421" t="str">
        <f aca="false">'World Cup'!$N$43</f>
        <v/>
      </c>
    </row>
    <row r="63" customFormat="false" ht="15" hidden="false" customHeight="false" outlineLevel="0" collapsed="false">
      <c r="B63" s="400" t="n">
        <v>58</v>
      </c>
      <c r="C63" s="401" t="s">
        <v>1030</v>
      </c>
      <c r="D63" s="402" t="s">
        <v>1031</v>
      </c>
      <c r="E63" s="403" t="n">
        <v>44904.75</v>
      </c>
      <c r="F63" s="404" t="n">
        <f aca="false">E63-VLOOKUP(TimeZone!$L$5,TimeZone!$C$4:$E$39,3,0)+VLOOKUP(TimeZone!$H$1,TimeZone!$C$4:$E$39,3,0)</f>
        <v>44904.6666666667</v>
      </c>
      <c r="G63" s="409" t="n">
        <v>7</v>
      </c>
      <c r="H63" s="406" t="str">
        <f aca="false">VLOOKUP($G63,Language!$D$97:$E$112,2,0)</f>
        <v>Education City</v>
      </c>
      <c r="I63" s="330"/>
      <c r="J63" s="422"/>
      <c r="K63" s="417" t="n">
        <v>1</v>
      </c>
      <c r="M63" s="420" t="s">
        <v>22</v>
      </c>
      <c r="N63" s="421" t="str">
        <f aca="false">'World Cup'!$Q$42</f>
        <v/>
      </c>
    </row>
    <row r="64" customFormat="false" ht="15" hidden="false" customHeight="false" outlineLevel="0" collapsed="false">
      <c r="B64" s="400" t="n">
        <v>59</v>
      </c>
      <c r="C64" s="401" t="s">
        <v>1032</v>
      </c>
      <c r="D64" s="402" t="s">
        <v>1033</v>
      </c>
      <c r="E64" s="403" t="n">
        <v>44905.9166666667</v>
      </c>
      <c r="F64" s="404" t="n">
        <f aca="false">E64-VLOOKUP(TimeZone!$L$5,TimeZone!$C$4:$E$39,3,0)+VLOOKUP(TimeZone!$H$1,TimeZone!$C$4:$E$39,3,0)</f>
        <v>44905.8333333334</v>
      </c>
      <c r="G64" s="409" t="n">
        <v>1</v>
      </c>
      <c r="H64" s="406" t="str">
        <f aca="false">VLOOKUP($G64,Language!$D$97:$E$112,2,0)</f>
        <v>Al Bayt</v>
      </c>
      <c r="I64" s="422"/>
      <c r="J64" s="422"/>
      <c r="K64" s="417" t="n">
        <v>4</v>
      </c>
      <c r="M64" s="420" t="s">
        <v>30</v>
      </c>
      <c r="N64" s="421" t="str">
        <f aca="false">'World Cup'!$Q$43</f>
        <v/>
      </c>
    </row>
    <row r="65" customFormat="false" ht="15" hidden="false" customHeight="false" outlineLevel="0" collapsed="false">
      <c r="B65" s="400" t="n">
        <v>60</v>
      </c>
      <c r="C65" s="401" t="s">
        <v>1034</v>
      </c>
      <c r="D65" s="402" t="s">
        <v>1035</v>
      </c>
      <c r="E65" s="403" t="n">
        <v>44905.75</v>
      </c>
      <c r="F65" s="404" t="n">
        <f aca="false">E65-VLOOKUP(TimeZone!$L$5,TimeZone!$C$4:$E$39,3,0)+VLOOKUP(TimeZone!$H$1,TimeZone!$C$4:$E$39,3,0)</f>
        <v>44905.6666666667</v>
      </c>
      <c r="G65" s="410" t="n">
        <v>3</v>
      </c>
      <c r="H65" s="406" t="str">
        <f aca="false">VLOOKUP($G65,Language!$D$97:$E$112,2,0)</f>
        <v>Al Thumama</v>
      </c>
      <c r="I65" s="422"/>
      <c r="J65" s="422"/>
      <c r="K65" s="417" t="n">
        <v>3</v>
      </c>
      <c r="M65" s="420" t="s">
        <v>23</v>
      </c>
      <c r="N65" s="421" t="str">
        <f aca="false">'World Cup'!$T$42</f>
        <v/>
      </c>
    </row>
    <row r="66" customFormat="false" ht="15" hidden="false" customHeight="false" outlineLevel="0" collapsed="false">
      <c r="B66" s="411" t="s">
        <v>1036</v>
      </c>
      <c r="C66" s="412"/>
      <c r="D66" s="412"/>
      <c r="E66" s="413"/>
      <c r="F66" s="414"/>
      <c r="G66" s="415"/>
      <c r="H66" s="414"/>
      <c r="I66" s="414"/>
      <c r="J66" s="414"/>
      <c r="K66" s="416"/>
      <c r="M66" s="420" t="s">
        <v>31</v>
      </c>
      <c r="N66" s="421" t="str">
        <f aca="false">'World Cup'!$T$43</f>
        <v/>
      </c>
    </row>
    <row r="67" customFormat="false" ht="15" hidden="false" customHeight="false" outlineLevel="0" collapsed="false">
      <c r="B67" s="400" t="n">
        <v>61</v>
      </c>
      <c r="C67" s="401" t="s">
        <v>1037</v>
      </c>
      <c r="D67" s="402" t="s">
        <v>1038</v>
      </c>
      <c r="E67" s="403" t="n">
        <v>44908.9166666667</v>
      </c>
      <c r="F67" s="404" t="n">
        <f aca="false">E67-VLOOKUP(TimeZone!$L$5,TimeZone!$C$4:$E$39,3,0)+VLOOKUP(TimeZone!$H$1,TimeZone!$C$4:$E$39,3,0)</f>
        <v>44908.8333333334</v>
      </c>
      <c r="G67" s="405" t="n">
        <v>5</v>
      </c>
      <c r="H67" s="406" t="str">
        <f aca="false">VLOOKUP($G67,Language!$D$97:$E$112,2,0)</f>
        <v>Lusail</v>
      </c>
      <c r="I67" s="422"/>
      <c r="J67" s="422"/>
      <c r="K67" s="423" t="str">
        <f aca="false">Language!$E$148</f>
        <v>Semi-Final 1</v>
      </c>
      <c r="M67" s="420" t="s">
        <v>24</v>
      </c>
      <c r="N67" s="421" t="str">
        <f aca="false">'World Cup'!$W$42</f>
        <v/>
      </c>
    </row>
    <row r="68" customFormat="false" ht="15.75" hidden="false" customHeight="false" outlineLevel="0" collapsed="false">
      <c r="B68" s="400" t="n">
        <v>62</v>
      </c>
      <c r="C68" s="401" t="s">
        <v>1039</v>
      </c>
      <c r="D68" s="402" t="s">
        <v>1040</v>
      </c>
      <c r="E68" s="403" t="n">
        <v>44909.9166666667</v>
      </c>
      <c r="F68" s="404" t="n">
        <f aca="false">E68-VLOOKUP(TimeZone!$L$5,TimeZone!$C$4:$E$39,3,0)+VLOOKUP(TimeZone!$H$1,TimeZone!$C$4:$E$39,3,0)</f>
        <v>44909.8333333334</v>
      </c>
      <c r="G68" s="410" t="n">
        <v>1</v>
      </c>
      <c r="H68" s="406" t="str">
        <f aca="false">VLOOKUP($G68,Language!$D$97:$E$112,2,0)</f>
        <v>Al Bayt</v>
      </c>
      <c r="I68" s="422"/>
      <c r="J68" s="422"/>
      <c r="K68" s="423" t="str">
        <f aca="false">Language!$E$149</f>
        <v>Semi-Final 2</v>
      </c>
      <c r="M68" s="424" t="s">
        <v>32</v>
      </c>
      <c r="N68" s="425" t="str">
        <f aca="false">'World Cup'!$W$43</f>
        <v/>
      </c>
    </row>
    <row r="69" customFormat="false" ht="15" hidden="false" customHeight="false" outlineLevel="0" collapsed="false">
      <c r="B69" s="411" t="s">
        <v>1041</v>
      </c>
      <c r="C69" s="412"/>
      <c r="D69" s="412"/>
      <c r="E69" s="413"/>
      <c r="F69" s="414"/>
      <c r="G69" s="415"/>
      <c r="H69" s="414"/>
      <c r="I69" s="414"/>
      <c r="J69" s="414"/>
      <c r="K69" s="416"/>
      <c r="M69" s="185"/>
      <c r="N69" s="185"/>
    </row>
    <row r="70" customFormat="false" ht="15" hidden="false" customHeight="false" outlineLevel="0" collapsed="false">
      <c r="B70" s="400" t="n">
        <v>63</v>
      </c>
      <c r="C70" s="401" t="s">
        <v>1042</v>
      </c>
      <c r="D70" s="402" t="s">
        <v>1043</v>
      </c>
      <c r="E70" s="403" t="n">
        <v>44912.75</v>
      </c>
      <c r="F70" s="404" t="n">
        <f aca="false">E70-VLOOKUP(TimeZone!$L$5,TimeZone!$C$4:$E$39,3,0)+VLOOKUP(TimeZone!$H$1,TimeZone!$C$4:$E$39,3,0)</f>
        <v>44912.6666666667</v>
      </c>
      <c r="G70" s="426" t="n">
        <v>2</v>
      </c>
      <c r="H70" s="406" t="str">
        <f aca="false">VLOOKUP($G70,Language!$D$97:$E$112,2,0)</f>
        <v>Khalifa Internat.</v>
      </c>
      <c r="I70" s="422"/>
      <c r="J70" s="422"/>
      <c r="K70" s="427" t="str">
        <f aca="false">Language!$E$150</f>
        <v>Third place</v>
      </c>
      <c r="M70" s="185"/>
      <c r="N70" s="185"/>
    </row>
    <row r="71" customFormat="false" ht="15" hidden="false" customHeight="false" outlineLevel="0" collapsed="false">
      <c r="B71" s="411" t="s">
        <v>699</v>
      </c>
      <c r="C71" s="412"/>
      <c r="D71" s="412"/>
      <c r="E71" s="413"/>
      <c r="F71" s="414"/>
      <c r="G71" s="415"/>
      <c r="H71" s="414"/>
      <c r="I71" s="414"/>
      <c r="J71" s="414"/>
      <c r="K71" s="416"/>
      <c r="M71" s="185"/>
      <c r="N71" s="185"/>
    </row>
    <row r="72" customFormat="false" ht="15.75" hidden="false" customHeight="false" outlineLevel="0" collapsed="false">
      <c r="B72" s="428" t="n">
        <v>64</v>
      </c>
      <c r="C72" s="429" t="s">
        <v>1044</v>
      </c>
      <c r="D72" s="430" t="s">
        <v>1045</v>
      </c>
      <c r="E72" s="431" t="n">
        <v>44913.75</v>
      </c>
      <c r="F72" s="432" t="n">
        <f aca="false">E72-VLOOKUP(TimeZone!$L$5,TimeZone!$C$4:$E$39,3,0)+VLOOKUP(TimeZone!$H$1,TimeZone!$C$4:$E$39,3,0)</f>
        <v>44913.6666666667</v>
      </c>
      <c r="G72" s="433" t="n">
        <v>5</v>
      </c>
      <c r="H72" s="406" t="str">
        <f aca="false">VLOOKUP($G72,Language!$D$97:$E$112,2,0)</f>
        <v>Lusail</v>
      </c>
      <c r="I72" s="434"/>
      <c r="J72" s="435"/>
      <c r="K72" s="436" t="str">
        <f aca="false">Language!$E$151</f>
        <v>Final</v>
      </c>
      <c r="M72" s="185"/>
      <c r="N72" s="185"/>
    </row>
    <row r="73" customFormat="false" ht="15.75" hidden="false" customHeight="false" outlineLevel="0" collapsed="false"/>
    <row r="74" customFormat="false" ht="15" hidden="false" customHeight="false" outlineLevel="0" collapsed="false"/>
    <row r="75" customFormat="false" ht="1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6"/>
  <sheetViews>
    <sheetView showFormulas="false" showGridLines="false" showRowColHeaders="false" showZeros="true" rightToLeft="false" tabSelected="false" showOutlineSymbols="true" defaultGridColor="true" view="normal" topLeftCell="A4" colorId="64" zoomScale="120" zoomScaleNormal="120" zoomScalePageLayoutView="100" workbookViewId="0">
      <selection pane="topLeft" activeCell="V1" activeCellId="0" sqref="V1"/>
    </sheetView>
  </sheetViews>
  <sheetFormatPr defaultColWidth="11.43359375" defaultRowHeight="15" zeroHeight="true" outlineLevelRow="0" outlineLevelCol="0"/>
  <cols>
    <col collapsed="false" customWidth="true" hidden="false" outlineLevel="0" max="1" min="1" style="0" width="5.14"/>
    <col collapsed="false" customWidth="true" hidden="false" outlineLevel="0" max="2" min="2" style="0" width="8"/>
    <col collapsed="false" customWidth="true" hidden="false" outlineLevel="0" max="8" min="8" style="0" width="16.14"/>
    <col collapsed="false" customWidth="true" hidden="false" outlineLevel="0" max="9" min="9" style="0" width="15.15"/>
    <col collapsed="false" customWidth="true" hidden="false" outlineLevel="0" max="10" min="10" style="0" width="6.01"/>
    <col collapsed="false" customWidth="true" hidden="false" outlineLevel="0" max="20" min="20" style="0" width="6.57"/>
    <col collapsed="false" customWidth="true" hidden="false" outlineLevel="0" max="21" min="21" style="0" width="5.14"/>
    <col collapsed="false" customWidth="false" hidden="true" outlineLevel="0" max="1024" min="22" style="0" width="11.42"/>
  </cols>
  <sheetData>
    <row r="1" customFormat="false" ht="15.75" hidden="false" customHeight="false" outlineLevel="0" collapsed="false"/>
    <row r="2" customFormat="false" ht="26.25" hidden="false" customHeight="false" outlineLevel="0" collapsed="false">
      <c r="B2" s="437"/>
      <c r="C2" s="438" t="s">
        <v>1046</v>
      </c>
      <c r="D2" s="438"/>
      <c r="E2" s="438"/>
      <c r="F2" s="438"/>
      <c r="G2" s="438"/>
      <c r="H2" s="438"/>
      <c r="I2" s="439"/>
      <c r="K2" s="437"/>
      <c r="L2" s="438" t="s">
        <v>1047</v>
      </c>
      <c r="M2" s="438"/>
      <c r="N2" s="438"/>
      <c r="O2" s="438"/>
      <c r="P2" s="438"/>
      <c r="Q2" s="438"/>
      <c r="R2" s="440"/>
      <c r="S2" s="440"/>
      <c r="T2" s="439"/>
    </row>
    <row r="3" customFormat="false" ht="15" hidden="false" customHeight="false" outlineLevel="0" collapsed="false">
      <c r="B3" s="441"/>
      <c r="C3" s="442"/>
      <c r="D3" s="442"/>
      <c r="E3" s="442"/>
      <c r="F3" s="442"/>
      <c r="G3" s="442"/>
      <c r="H3" s="442"/>
      <c r="I3" s="443"/>
      <c r="K3" s="441"/>
      <c r="L3" s="442"/>
      <c r="M3" s="442"/>
      <c r="N3" s="442"/>
      <c r="O3" s="442"/>
      <c r="P3" s="442"/>
      <c r="Q3" s="442"/>
      <c r="R3" s="442"/>
      <c r="S3" s="442"/>
      <c r="T3" s="443"/>
    </row>
    <row r="4" customFormat="false" ht="15" hidden="false" customHeight="false" outlineLevel="0" collapsed="false">
      <c r="B4" s="441"/>
      <c r="C4" s="442"/>
      <c r="D4" s="442"/>
      <c r="E4" s="442"/>
      <c r="F4" s="442"/>
      <c r="G4" s="442"/>
      <c r="H4" s="442"/>
      <c r="I4" s="443"/>
      <c r="K4" s="441"/>
      <c r="L4" s="442"/>
      <c r="M4" s="442"/>
      <c r="N4" s="444"/>
      <c r="O4" s="444"/>
      <c r="P4" s="444"/>
      <c r="Q4" s="444"/>
      <c r="R4" s="444"/>
      <c r="S4" s="444"/>
      <c r="T4" s="443"/>
    </row>
    <row r="5" customFormat="false" ht="18.75" hidden="false" customHeight="false" outlineLevel="0" collapsed="false">
      <c r="B5" s="441"/>
      <c r="C5" s="445" t="s">
        <v>1048</v>
      </c>
      <c r="D5" s="442"/>
      <c r="E5" s="442"/>
      <c r="F5" s="442"/>
      <c r="G5" s="442"/>
      <c r="H5" s="442"/>
      <c r="I5" s="443"/>
      <c r="K5" s="441"/>
      <c r="L5" s="445" t="s">
        <v>1049</v>
      </c>
      <c r="M5" s="442"/>
      <c r="N5" s="444"/>
      <c r="O5" s="444"/>
      <c r="P5" s="444"/>
      <c r="Q5" s="444"/>
      <c r="R5" s="444"/>
      <c r="S5" s="444"/>
      <c r="T5" s="443"/>
    </row>
    <row r="6" customFormat="false" ht="15" hidden="false" customHeight="false" outlineLevel="0" collapsed="false">
      <c r="B6" s="441"/>
      <c r="C6" s="442"/>
      <c r="D6" s="442"/>
      <c r="E6" s="442"/>
      <c r="F6" s="442"/>
      <c r="G6" s="442"/>
      <c r="H6" s="442"/>
      <c r="I6" s="443"/>
      <c r="K6" s="441"/>
      <c r="L6" s="442"/>
      <c r="M6" s="442"/>
      <c r="N6" s="444"/>
      <c r="O6" s="444"/>
      <c r="P6" s="444"/>
      <c r="Q6" s="444"/>
      <c r="R6" s="444"/>
      <c r="S6" s="444"/>
      <c r="T6" s="443"/>
    </row>
    <row r="7" customFormat="false" ht="15" hidden="false" customHeight="false" outlineLevel="0" collapsed="false">
      <c r="B7" s="441"/>
      <c r="C7" s="446" t="s">
        <v>52</v>
      </c>
      <c r="D7" s="442"/>
      <c r="E7" s="442"/>
      <c r="F7" s="442"/>
      <c r="G7" s="442"/>
      <c r="H7" s="442"/>
      <c r="I7" s="443"/>
      <c r="K7" s="441"/>
      <c r="L7" s="446" t="s">
        <v>52</v>
      </c>
      <c r="M7" s="442"/>
      <c r="N7" s="444"/>
      <c r="O7" s="444"/>
      <c r="P7" s="444"/>
      <c r="Q7" s="444"/>
      <c r="R7" s="444"/>
      <c r="S7" s="444"/>
      <c r="T7" s="443"/>
    </row>
    <row r="8" customFormat="false" ht="15" hidden="false" customHeight="false" outlineLevel="0" collapsed="false">
      <c r="B8" s="441"/>
      <c r="C8" s="442" t="s">
        <v>1050</v>
      </c>
      <c r="D8" s="442"/>
      <c r="E8" s="442"/>
      <c r="F8" s="442"/>
      <c r="G8" s="442"/>
      <c r="H8" s="442"/>
      <c r="I8" s="443"/>
      <c r="K8" s="441"/>
      <c r="L8" s="442" t="s">
        <v>1051</v>
      </c>
      <c r="M8" s="442"/>
      <c r="N8" s="444"/>
      <c r="O8" s="444"/>
      <c r="P8" s="444"/>
      <c r="Q8" s="444"/>
      <c r="R8" s="444"/>
      <c r="S8" s="444"/>
      <c r="T8" s="443"/>
    </row>
    <row r="9" customFormat="false" ht="15" hidden="false" customHeight="false" outlineLevel="0" collapsed="false">
      <c r="B9" s="441"/>
      <c r="C9" s="442"/>
      <c r="D9" s="442"/>
      <c r="E9" s="442"/>
      <c r="F9" s="442"/>
      <c r="G9" s="442"/>
      <c r="H9" s="442"/>
      <c r="I9" s="443"/>
      <c r="K9" s="441"/>
      <c r="L9" s="442"/>
      <c r="M9" s="442"/>
      <c r="N9" s="444"/>
      <c r="O9" s="444"/>
      <c r="P9" s="444"/>
      <c r="Q9" s="444"/>
      <c r="R9" s="444"/>
      <c r="S9" s="444"/>
      <c r="T9" s="443"/>
    </row>
    <row r="10" customFormat="false" ht="15" hidden="false" customHeight="false" outlineLevel="0" collapsed="false">
      <c r="B10" s="441"/>
      <c r="C10" s="446" t="s">
        <v>53</v>
      </c>
      <c r="D10" s="442"/>
      <c r="E10" s="442"/>
      <c r="F10" s="442"/>
      <c r="G10" s="442"/>
      <c r="H10" s="442"/>
      <c r="I10" s="443"/>
      <c r="K10" s="441"/>
      <c r="L10" s="446" t="s">
        <v>53</v>
      </c>
      <c r="M10" s="442"/>
      <c r="N10" s="444"/>
      <c r="O10" s="444"/>
      <c r="P10" s="444"/>
      <c r="Q10" s="444"/>
      <c r="R10" s="444"/>
      <c r="S10" s="444"/>
      <c r="T10" s="443"/>
    </row>
    <row r="11" customFormat="false" ht="15" hidden="false" customHeight="false" outlineLevel="0" collapsed="false">
      <c r="B11" s="441"/>
      <c r="C11" s="442" t="s">
        <v>1052</v>
      </c>
      <c r="D11" s="442"/>
      <c r="E11" s="442"/>
      <c r="F11" s="442"/>
      <c r="G11" s="442"/>
      <c r="H11" s="442"/>
      <c r="I11" s="443"/>
      <c r="K11" s="441"/>
      <c r="L11" s="442" t="s">
        <v>1053</v>
      </c>
      <c r="M11" s="442"/>
      <c r="N11" s="444"/>
      <c r="O11" s="444"/>
      <c r="P11" s="444"/>
      <c r="Q11" s="444"/>
      <c r="R11" s="444"/>
      <c r="S11" s="444"/>
      <c r="T11" s="443"/>
    </row>
    <row r="12" customFormat="false" ht="15" hidden="false" customHeight="false" outlineLevel="0" collapsed="false">
      <c r="B12" s="441"/>
      <c r="C12" s="442"/>
      <c r="D12" s="442"/>
      <c r="E12" s="442"/>
      <c r="F12" s="442"/>
      <c r="G12" s="442"/>
      <c r="H12" s="442"/>
      <c r="I12" s="443"/>
      <c r="K12" s="441"/>
      <c r="L12" s="442"/>
      <c r="M12" s="442"/>
      <c r="N12" s="444"/>
      <c r="O12" s="444"/>
      <c r="P12" s="444"/>
      <c r="Q12" s="444"/>
      <c r="R12" s="444"/>
      <c r="S12" s="444"/>
      <c r="T12" s="443"/>
    </row>
    <row r="13" customFormat="false" ht="15" hidden="false" customHeight="false" outlineLevel="0" collapsed="false">
      <c r="B13" s="441"/>
      <c r="C13" s="446" t="s">
        <v>73</v>
      </c>
      <c r="D13" s="442"/>
      <c r="E13" s="442"/>
      <c r="F13" s="442"/>
      <c r="G13" s="442"/>
      <c r="H13" s="442"/>
      <c r="I13" s="443"/>
      <c r="K13" s="441"/>
      <c r="L13" s="446" t="s">
        <v>73</v>
      </c>
      <c r="M13" s="442"/>
      <c r="N13" s="444"/>
      <c r="O13" s="444"/>
      <c r="P13" s="444"/>
      <c r="Q13" s="444"/>
      <c r="R13" s="444"/>
      <c r="S13" s="444"/>
      <c r="T13" s="443"/>
    </row>
    <row r="14" customFormat="false" ht="15" hidden="false" customHeight="false" outlineLevel="0" collapsed="false">
      <c r="B14" s="441"/>
      <c r="C14" s="442" t="s">
        <v>1054</v>
      </c>
      <c r="D14" s="442"/>
      <c r="E14" s="442"/>
      <c r="F14" s="442"/>
      <c r="G14" s="442"/>
      <c r="H14" s="442"/>
      <c r="I14" s="443"/>
      <c r="K14" s="441"/>
      <c r="L14" s="442" t="s">
        <v>1055</v>
      </c>
      <c r="M14" s="442"/>
      <c r="N14" s="444"/>
      <c r="O14" s="444"/>
      <c r="P14" s="444"/>
      <c r="Q14" s="444"/>
      <c r="R14" s="444"/>
      <c r="S14" s="444"/>
      <c r="T14" s="443"/>
    </row>
    <row r="15" customFormat="false" ht="15" hidden="false" customHeight="false" outlineLevel="0" collapsed="false">
      <c r="B15" s="441"/>
      <c r="C15" s="442" t="s">
        <v>1056</v>
      </c>
      <c r="D15" s="442"/>
      <c r="E15" s="442"/>
      <c r="F15" s="442"/>
      <c r="G15" s="442"/>
      <c r="H15" s="442"/>
      <c r="I15" s="443"/>
      <c r="K15" s="441"/>
      <c r="L15" s="442" t="s">
        <v>1057</v>
      </c>
      <c r="M15" s="442"/>
      <c r="N15" s="444"/>
      <c r="O15" s="444"/>
      <c r="P15" s="444"/>
      <c r="Q15" s="444"/>
      <c r="R15" s="444"/>
      <c r="S15" s="444"/>
      <c r="T15" s="443"/>
    </row>
    <row r="16" customFormat="false" ht="15" hidden="false" customHeight="false" outlineLevel="0" collapsed="false">
      <c r="B16" s="441"/>
      <c r="C16" s="442"/>
      <c r="D16" s="442"/>
      <c r="E16" s="442"/>
      <c r="F16" s="442"/>
      <c r="G16" s="442"/>
      <c r="H16" s="442"/>
      <c r="I16" s="443"/>
      <c r="K16" s="441"/>
      <c r="L16" s="442"/>
      <c r="M16" s="442"/>
      <c r="N16" s="444"/>
      <c r="O16" s="444"/>
      <c r="P16" s="444"/>
      <c r="Q16" s="444"/>
      <c r="R16" s="444"/>
      <c r="S16" s="444"/>
      <c r="T16" s="443"/>
    </row>
    <row r="17" customFormat="false" ht="15" hidden="false" customHeight="false" outlineLevel="0" collapsed="false">
      <c r="B17" s="441"/>
      <c r="C17" s="446" t="s">
        <v>74</v>
      </c>
      <c r="D17" s="442"/>
      <c r="E17" s="442"/>
      <c r="F17" s="442"/>
      <c r="G17" s="442"/>
      <c r="H17" s="442"/>
      <c r="I17" s="443"/>
      <c r="K17" s="441"/>
      <c r="L17" s="446" t="s">
        <v>74</v>
      </c>
      <c r="M17" s="442"/>
      <c r="N17" s="444"/>
      <c r="O17" s="444"/>
      <c r="P17" s="444"/>
      <c r="Q17" s="444"/>
      <c r="R17" s="444"/>
      <c r="S17" s="444"/>
      <c r="T17" s="443"/>
    </row>
    <row r="18" customFormat="false" ht="15" hidden="false" customHeight="false" outlineLevel="0" collapsed="false">
      <c r="B18" s="441"/>
      <c r="C18" s="442" t="s">
        <v>1058</v>
      </c>
      <c r="D18" s="442"/>
      <c r="E18" s="442"/>
      <c r="F18" s="442"/>
      <c r="G18" s="442"/>
      <c r="H18" s="442"/>
      <c r="I18" s="443"/>
      <c r="K18" s="441"/>
      <c r="L18" s="442" t="s">
        <v>1059</v>
      </c>
      <c r="M18" s="442"/>
      <c r="N18" s="444"/>
      <c r="O18" s="444"/>
      <c r="P18" s="444"/>
      <c r="Q18" s="444"/>
      <c r="R18" s="444"/>
      <c r="S18" s="444"/>
      <c r="T18" s="443"/>
    </row>
    <row r="19" customFormat="false" ht="15" hidden="false" customHeight="false" outlineLevel="0" collapsed="false">
      <c r="B19" s="441"/>
      <c r="C19" s="442" t="s">
        <v>1060</v>
      </c>
      <c r="D19" s="442"/>
      <c r="E19" s="442"/>
      <c r="F19" s="442"/>
      <c r="G19" s="442"/>
      <c r="H19" s="442"/>
      <c r="I19" s="443"/>
      <c r="K19" s="441"/>
      <c r="L19" s="442" t="s">
        <v>1061</v>
      </c>
      <c r="M19" s="442"/>
      <c r="N19" s="444"/>
      <c r="O19" s="444"/>
      <c r="P19" s="444"/>
      <c r="Q19" s="444"/>
      <c r="R19" s="444"/>
      <c r="S19" s="444"/>
      <c r="T19" s="443"/>
    </row>
    <row r="20" customFormat="false" ht="15" hidden="false" customHeight="false" outlineLevel="0" collapsed="false">
      <c r="B20" s="441"/>
      <c r="C20" s="442" t="s">
        <v>1062</v>
      </c>
      <c r="D20" s="442"/>
      <c r="E20" s="442"/>
      <c r="F20" s="442"/>
      <c r="G20" s="442"/>
      <c r="H20" s="442"/>
      <c r="I20" s="443"/>
      <c r="K20" s="441"/>
      <c r="L20" s="442" t="s">
        <v>1063</v>
      </c>
      <c r="M20" s="442"/>
      <c r="N20" s="444"/>
      <c r="O20" s="444"/>
      <c r="P20" s="444"/>
      <c r="Q20" s="444"/>
      <c r="R20" s="444"/>
      <c r="S20" s="444"/>
      <c r="T20" s="443"/>
    </row>
    <row r="21" customFormat="false" ht="15" hidden="false" customHeight="false" outlineLevel="0" collapsed="false">
      <c r="B21" s="441"/>
      <c r="C21" s="442"/>
      <c r="D21" s="442"/>
      <c r="E21" s="442"/>
      <c r="F21" s="442"/>
      <c r="G21" s="442"/>
      <c r="H21" s="442"/>
      <c r="I21" s="443"/>
      <c r="K21" s="441"/>
      <c r="L21" s="442"/>
      <c r="M21" s="442"/>
      <c r="N21" s="444"/>
      <c r="O21" s="444"/>
      <c r="P21" s="444"/>
      <c r="Q21" s="444"/>
      <c r="R21" s="444"/>
      <c r="S21" s="444"/>
      <c r="T21" s="443"/>
    </row>
    <row r="22" customFormat="false" ht="15" hidden="false" customHeight="false" outlineLevel="0" collapsed="false">
      <c r="B22" s="441"/>
      <c r="C22" s="442"/>
      <c r="D22" s="442"/>
      <c r="E22" s="442"/>
      <c r="F22" s="442"/>
      <c r="G22" s="442"/>
      <c r="H22" s="442"/>
      <c r="I22" s="443"/>
      <c r="K22" s="441"/>
      <c r="L22" s="442"/>
      <c r="M22" s="442"/>
      <c r="N22" s="444"/>
      <c r="O22" s="444"/>
      <c r="P22" s="444"/>
      <c r="Q22" s="444"/>
      <c r="R22" s="444"/>
      <c r="S22" s="444"/>
      <c r="T22" s="443"/>
    </row>
    <row r="23" customFormat="false" ht="18.75" hidden="false" customHeight="false" outlineLevel="0" collapsed="false">
      <c r="B23" s="441"/>
      <c r="C23" s="445" t="s">
        <v>1064</v>
      </c>
      <c r="D23" s="442"/>
      <c r="E23" s="442"/>
      <c r="F23" s="442"/>
      <c r="G23" s="442"/>
      <c r="H23" s="442"/>
      <c r="I23" s="443"/>
      <c r="K23" s="441"/>
      <c r="L23" s="445" t="s">
        <v>1065</v>
      </c>
      <c r="M23" s="442"/>
      <c r="N23" s="444"/>
      <c r="O23" s="444"/>
      <c r="P23" s="444"/>
      <c r="Q23" s="444"/>
      <c r="R23" s="444"/>
      <c r="S23" s="444"/>
      <c r="T23" s="443"/>
    </row>
    <row r="24" customFormat="false" ht="15" hidden="false" customHeight="false" outlineLevel="0" collapsed="false">
      <c r="B24" s="441"/>
      <c r="C24" s="442"/>
      <c r="D24" s="442"/>
      <c r="E24" s="442"/>
      <c r="F24" s="442"/>
      <c r="G24" s="442"/>
      <c r="H24" s="442"/>
      <c r="I24" s="443"/>
      <c r="K24" s="441"/>
      <c r="L24" s="442"/>
      <c r="M24" s="442"/>
      <c r="N24" s="444"/>
      <c r="O24" s="444"/>
      <c r="P24" s="444"/>
      <c r="Q24" s="444"/>
      <c r="R24" s="444"/>
      <c r="S24" s="444"/>
      <c r="T24" s="443"/>
    </row>
    <row r="25" customFormat="false" ht="15" hidden="false" customHeight="false" outlineLevel="0" collapsed="false">
      <c r="B25" s="441"/>
      <c r="C25" s="442" t="s">
        <v>1066</v>
      </c>
      <c r="D25" s="442"/>
      <c r="E25" s="442"/>
      <c r="F25" s="442"/>
      <c r="G25" s="442"/>
      <c r="H25" s="442"/>
      <c r="I25" s="443"/>
      <c r="K25" s="441"/>
      <c r="L25" s="442" t="s">
        <v>1067</v>
      </c>
      <c r="M25" s="442"/>
      <c r="N25" s="442"/>
      <c r="O25" s="442"/>
      <c r="P25" s="442"/>
      <c r="Q25" s="442"/>
      <c r="R25" s="442"/>
      <c r="S25" s="442"/>
      <c r="T25" s="443"/>
    </row>
    <row r="26" customFormat="false" ht="15" hidden="false" customHeight="false" outlineLevel="0" collapsed="false">
      <c r="B26" s="441"/>
      <c r="C26" s="442" t="s">
        <v>1068</v>
      </c>
      <c r="D26" s="442"/>
      <c r="E26" s="442"/>
      <c r="F26" s="442"/>
      <c r="G26" s="442"/>
      <c r="H26" s="442"/>
      <c r="I26" s="443"/>
      <c r="K26" s="441"/>
      <c r="L26" s="442" t="s">
        <v>1069</v>
      </c>
      <c r="M26" s="442"/>
      <c r="N26" s="442"/>
      <c r="O26" s="442"/>
      <c r="P26" s="442"/>
      <c r="Q26" s="442"/>
      <c r="R26" s="442"/>
      <c r="S26" s="442"/>
      <c r="T26" s="443"/>
    </row>
    <row r="27" customFormat="false" ht="15" hidden="false" customHeight="false" outlineLevel="0" collapsed="false">
      <c r="B27" s="441"/>
      <c r="C27" s="442"/>
      <c r="D27" s="442"/>
      <c r="E27" s="442"/>
      <c r="F27" s="442"/>
      <c r="G27" s="442"/>
      <c r="H27" s="442"/>
      <c r="I27" s="443"/>
      <c r="K27" s="441"/>
      <c r="L27" s="442"/>
      <c r="M27" s="442"/>
      <c r="N27" s="442"/>
      <c r="O27" s="442"/>
      <c r="P27" s="442"/>
      <c r="Q27" s="442"/>
      <c r="R27" s="442"/>
      <c r="S27" s="442"/>
      <c r="T27" s="443"/>
    </row>
    <row r="28" customFormat="false" ht="15" hidden="false" customHeight="false" outlineLevel="0" collapsed="false">
      <c r="B28" s="441"/>
      <c r="C28" s="442"/>
      <c r="D28" s="442"/>
      <c r="E28" s="442"/>
      <c r="F28" s="442"/>
      <c r="G28" s="442"/>
      <c r="H28" s="442"/>
      <c r="I28" s="443"/>
      <c r="K28" s="441"/>
      <c r="L28" s="442"/>
      <c r="M28" s="442"/>
      <c r="N28" s="444"/>
      <c r="O28" s="444"/>
      <c r="P28" s="444"/>
      <c r="Q28" s="444"/>
      <c r="R28" s="444"/>
      <c r="S28" s="444"/>
      <c r="T28" s="443"/>
    </row>
    <row r="29" customFormat="false" ht="18.75" hidden="false" customHeight="false" outlineLevel="0" collapsed="false">
      <c r="B29" s="441"/>
      <c r="C29" s="445" t="s">
        <v>1070</v>
      </c>
      <c r="D29" s="442"/>
      <c r="E29" s="442"/>
      <c r="F29" s="442"/>
      <c r="G29" s="442"/>
      <c r="H29" s="442"/>
      <c r="I29" s="443"/>
      <c r="K29" s="441"/>
      <c r="L29" s="445" t="s">
        <v>1071</v>
      </c>
      <c r="M29" s="442"/>
      <c r="N29" s="444"/>
      <c r="O29" s="444"/>
      <c r="P29" s="444"/>
      <c r="Q29" s="444"/>
      <c r="R29" s="444"/>
      <c r="S29" s="444"/>
      <c r="T29" s="443"/>
    </row>
    <row r="30" customFormat="false" ht="15" hidden="false" customHeight="false" outlineLevel="0" collapsed="false">
      <c r="B30" s="441"/>
      <c r="C30" s="442"/>
      <c r="D30" s="442"/>
      <c r="E30" s="442"/>
      <c r="F30" s="442"/>
      <c r="G30" s="442"/>
      <c r="H30" s="442"/>
      <c r="I30" s="443"/>
      <c r="K30" s="441"/>
      <c r="L30" s="442"/>
      <c r="M30" s="442"/>
      <c r="N30" s="444"/>
      <c r="O30" s="444"/>
      <c r="P30" s="444"/>
      <c r="Q30" s="444"/>
      <c r="R30" s="444"/>
      <c r="S30" s="444"/>
      <c r="T30" s="443"/>
    </row>
    <row r="31" customFormat="false" ht="15" hidden="false" customHeight="false" outlineLevel="0" collapsed="false">
      <c r="B31" s="441"/>
      <c r="C31" s="442" t="s">
        <v>1072</v>
      </c>
      <c r="D31" s="442"/>
      <c r="E31" s="442"/>
      <c r="F31" s="442"/>
      <c r="G31" s="442"/>
      <c r="H31" s="442"/>
      <c r="I31" s="443"/>
      <c r="K31" s="441"/>
      <c r="L31" s="442" t="s">
        <v>1073</v>
      </c>
      <c r="M31" s="442"/>
      <c r="N31" s="442"/>
      <c r="O31" s="442"/>
      <c r="P31" s="442"/>
      <c r="Q31" s="442"/>
      <c r="R31" s="442"/>
      <c r="S31" s="442"/>
      <c r="T31" s="443"/>
    </row>
    <row r="32" customFormat="false" ht="15" hidden="false" customHeight="false" outlineLevel="0" collapsed="false">
      <c r="B32" s="441"/>
      <c r="C32" s="442" t="s">
        <v>1074</v>
      </c>
      <c r="D32" s="442"/>
      <c r="E32" s="442"/>
      <c r="F32" s="442"/>
      <c r="G32" s="442"/>
      <c r="H32" s="442"/>
      <c r="I32" s="443"/>
      <c r="K32" s="441"/>
      <c r="L32" s="442" t="s">
        <v>1075</v>
      </c>
      <c r="M32" s="442"/>
      <c r="N32" s="442"/>
      <c r="O32" s="442"/>
      <c r="P32" s="442"/>
      <c r="Q32" s="442"/>
      <c r="R32" s="442"/>
      <c r="S32" s="442"/>
      <c r="T32" s="443"/>
    </row>
    <row r="33" customFormat="false" ht="15.75" hidden="false" customHeight="false" outlineLevel="0" collapsed="false">
      <c r="B33" s="447"/>
      <c r="C33" s="448"/>
      <c r="D33" s="448"/>
      <c r="E33" s="448"/>
      <c r="F33" s="448"/>
      <c r="G33" s="448"/>
      <c r="H33" s="448"/>
      <c r="I33" s="449"/>
      <c r="K33" s="447"/>
      <c r="L33" s="448"/>
      <c r="M33" s="448"/>
      <c r="N33" s="448"/>
      <c r="O33" s="448"/>
      <c r="P33" s="448"/>
      <c r="Q33" s="448"/>
      <c r="R33" s="448"/>
      <c r="S33" s="448"/>
      <c r="T33" s="449"/>
    </row>
    <row r="34" customFormat="false" ht="15" hidden="false" customHeight="false" outlineLevel="0" collapsed="false">
      <c r="B34" s="450"/>
      <c r="C34" s="451"/>
      <c r="D34" s="450"/>
      <c r="E34" s="452"/>
      <c r="F34" s="452"/>
      <c r="G34" s="452"/>
      <c r="H34" s="452"/>
      <c r="I34" s="452"/>
      <c r="J34" s="452"/>
      <c r="K34" s="450"/>
      <c r="L34" s="451"/>
      <c r="M34" s="450"/>
      <c r="N34" s="452"/>
      <c r="O34" s="452"/>
      <c r="P34" s="452"/>
      <c r="Q34" s="452"/>
      <c r="R34" s="452"/>
      <c r="S34" s="452"/>
      <c r="T34" s="450"/>
    </row>
    <row r="35" customFormat="false" ht="15" hidden="false" customHeight="false" outlineLevel="0" collapsed="false">
      <c r="B35" s="450"/>
      <c r="C35" s="450"/>
      <c r="D35" s="450"/>
      <c r="E35" s="452"/>
      <c r="F35" s="452"/>
      <c r="G35" s="452"/>
      <c r="H35" s="452"/>
      <c r="I35" s="452"/>
      <c r="J35" s="452"/>
      <c r="K35" s="450"/>
      <c r="L35" s="450"/>
      <c r="M35" s="450"/>
      <c r="N35" s="452"/>
      <c r="O35" s="452"/>
      <c r="P35" s="452"/>
      <c r="Q35" s="452"/>
      <c r="R35" s="452"/>
      <c r="S35" s="452"/>
      <c r="T35" s="450"/>
    </row>
    <row r="36" customFormat="false" ht="15" hidden="true" customHeight="false" outlineLevel="0" collapsed="false">
      <c r="B36" s="450"/>
      <c r="C36" s="450"/>
      <c r="D36" s="450"/>
      <c r="E36" s="452"/>
      <c r="F36" s="452"/>
      <c r="G36" s="452"/>
      <c r="H36" s="452"/>
      <c r="I36" s="452"/>
      <c r="J36" s="452"/>
      <c r="K36" s="450"/>
      <c r="L36" s="450"/>
      <c r="M36" s="450"/>
      <c r="N36" s="452"/>
      <c r="O36" s="452"/>
      <c r="P36" s="452"/>
      <c r="Q36" s="452"/>
      <c r="R36" s="452"/>
      <c r="S36" s="452"/>
      <c r="T36" s="450"/>
    </row>
    <row r="37" customFormat="false" ht="15" hidden="true" customHeight="false" outlineLevel="0" collapsed="false">
      <c r="B37" s="450"/>
      <c r="C37" s="451"/>
      <c r="D37" s="450"/>
      <c r="E37" s="452"/>
      <c r="F37" s="452"/>
      <c r="G37" s="452"/>
      <c r="H37" s="452"/>
      <c r="I37" s="452"/>
      <c r="J37" s="452"/>
      <c r="K37" s="450"/>
      <c r="L37" s="451"/>
      <c r="M37" s="450"/>
      <c r="N37" s="452"/>
      <c r="O37" s="452"/>
      <c r="P37" s="452"/>
      <c r="Q37" s="452"/>
      <c r="R37" s="452"/>
      <c r="S37" s="452"/>
      <c r="T37" s="450"/>
    </row>
    <row r="38" customFormat="false" ht="15" hidden="true" customHeight="false" outlineLevel="0" collapsed="false">
      <c r="B38" s="450"/>
      <c r="C38" s="450"/>
      <c r="D38" s="450"/>
      <c r="E38" s="452"/>
      <c r="F38" s="452"/>
      <c r="G38" s="452"/>
      <c r="H38" s="452"/>
      <c r="I38" s="452"/>
      <c r="J38" s="452"/>
      <c r="K38" s="450"/>
      <c r="L38" s="450"/>
      <c r="M38" s="450"/>
      <c r="N38" s="452"/>
      <c r="O38" s="452"/>
      <c r="P38" s="452"/>
      <c r="Q38" s="452"/>
      <c r="R38" s="452"/>
      <c r="S38" s="452"/>
      <c r="T38" s="450"/>
    </row>
    <row r="39" customFormat="false" ht="15" hidden="true" customHeight="false" outlineLevel="0" collapsed="false">
      <c r="B39" s="450"/>
      <c r="C39" s="450"/>
      <c r="D39" s="450"/>
      <c r="E39" s="452"/>
      <c r="F39" s="452"/>
      <c r="G39" s="452"/>
      <c r="H39" s="452"/>
      <c r="I39" s="452"/>
      <c r="J39" s="452"/>
      <c r="K39" s="450"/>
      <c r="L39" s="450"/>
      <c r="M39" s="450"/>
      <c r="N39" s="452"/>
      <c r="O39" s="452"/>
      <c r="P39" s="452"/>
      <c r="Q39" s="452"/>
      <c r="R39" s="452"/>
      <c r="S39" s="452"/>
      <c r="T39" s="450"/>
    </row>
    <row r="40" customFormat="false" ht="15" hidden="true" customHeight="false" outlineLevel="0" collapsed="false">
      <c r="B40" s="450"/>
      <c r="C40" s="451"/>
      <c r="D40" s="450"/>
      <c r="E40" s="452"/>
      <c r="F40" s="452"/>
      <c r="G40" s="452"/>
      <c r="H40" s="452"/>
      <c r="I40" s="452"/>
      <c r="J40" s="452"/>
      <c r="K40" s="450"/>
      <c r="L40" s="451"/>
      <c r="M40" s="450"/>
      <c r="N40" s="452"/>
      <c r="O40" s="452"/>
      <c r="P40" s="452"/>
      <c r="Q40" s="452"/>
      <c r="R40" s="452"/>
      <c r="S40" s="452"/>
      <c r="T40" s="450"/>
    </row>
    <row r="41" customFormat="false" ht="15" hidden="true" customHeight="false" outlineLevel="0" collapsed="false">
      <c r="B41" s="450"/>
      <c r="C41" s="450"/>
      <c r="D41" s="450"/>
      <c r="E41" s="452"/>
      <c r="F41" s="452"/>
      <c r="G41" s="452"/>
      <c r="H41" s="452"/>
      <c r="I41" s="452"/>
      <c r="J41" s="452"/>
      <c r="K41" s="450"/>
      <c r="L41" s="450"/>
      <c r="M41" s="450"/>
      <c r="N41" s="452"/>
      <c r="O41" s="452"/>
      <c r="P41" s="452"/>
      <c r="Q41" s="452"/>
      <c r="R41" s="452"/>
      <c r="S41" s="452"/>
      <c r="T41" s="450"/>
    </row>
    <row r="42" customFormat="false" ht="15" hidden="true" customHeight="false" outlineLevel="0" collapsed="false">
      <c r="B42" s="450"/>
      <c r="C42" s="450"/>
      <c r="D42" s="450"/>
      <c r="E42" s="452"/>
      <c r="F42" s="452"/>
      <c r="G42" s="452"/>
      <c r="H42" s="452"/>
      <c r="I42" s="452"/>
      <c r="J42" s="452"/>
      <c r="K42" s="450"/>
      <c r="L42" s="450"/>
      <c r="M42" s="450"/>
      <c r="N42" s="452"/>
      <c r="O42" s="452"/>
      <c r="P42" s="452"/>
      <c r="Q42" s="452"/>
      <c r="R42" s="452"/>
      <c r="S42" s="452"/>
      <c r="T42" s="450"/>
    </row>
    <row r="43" customFormat="false" ht="15" hidden="true" customHeight="false" outlineLevel="0" collapsed="false">
      <c r="B43" s="450"/>
      <c r="C43" s="451"/>
      <c r="D43" s="450"/>
      <c r="E43" s="452"/>
      <c r="F43" s="452"/>
      <c r="G43" s="452"/>
      <c r="H43" s="452"/>
      <c r="I43" s="452"/>
      <c r="J43" s="452"/>
      <c r="K43" s="450"/>
      <c r="L43" s="451"/>
      <c r="M43" s="450"/>
      <c r="N43" s="452"/>
      <c r="O43" s="452"/>
      <c r="P43" s="452"/>
      <c r="Q43" s="452"/>
      <c r="R43" s="452"/>
      <c r="S43" s="452"/>
      <c r="T43" s="450"/>
    </row>
    <row r="44" customFormat="false" ht="15" hidden="true" customHeight="false" outlineLevel="0" collapsed="false">
      <c r="B44" s="450"/>
      <c r="C44" s="451"/>
      <c r="D44" s="450"/>
      <c r="E44" s="452"/>
      <c r="F44" s="452"/>
      <c r="G44" s="452"/>
      <c r="H44" s="452"/>
      <c r="I44" s="452"/>
      <c r="J44" s="452"/>
      <c r="K44" s="450"/>
      <c r="L44" s="451"/>
      <c r="M44" s="450"/>
      <c r="N44" s="452"/>
      <c r="O44" s="452"/>
      <c r="P44" s="452"/>
      <c r="Q44" s="452"/>
      <c r="R44" s="452"/>
      <c r="S44" s="452"/>
      <c r="T44" s="450"/>
    </row>
    <row r="45" customFormat="false" ht="15" hidden="true" customHeight="false" outlineLevel="0" collapsed="false">
      <c r="B45" s="450"/>
      <c r="C45" s="450"/>
      <c r="D45" s="450"/>
      <c r="E45" s="452"/>
      <c r="F45" s="452"/>
      <c r="G45" s="452"/>
      <c r="H45" s="452"/>
      <c r="I45" s="452"/>
      <c r="J45" s="452"/>
      <c r="K45" s="450"/>
      <c r="L45" s="450"/>
      <c r="M45" s="450"/>
      <c r="N45" s="452"/>
      <c r="O45" s="452"/>
      <c r="P45" s="452"/>
      <c r="Q45" s="452"/>
      <c r="R45" s="452"/>
      <c r="S45" s="452"/>
      <c r="T45" s="450"/>
    </row>
    <row r="46" customFormat="false" ht="15" hidden="true" customHeight="false" outlineLevel="0" collapsed="false">
      <c r="B46" s="450"/>
      <c r="C46" s="450"/>
      <c r="D46" s="450"/>
      <c r="E46" s="452"/>
      <c r="F46" s="452"/>
      <c r="G46" s="452"/>
      <c r="H46" s="452"/>
      <c r="I46" s="452"/>
      <c r="J46" s="452"/>
      <c r="K46" s="450"/>
      <c r="L46" s="450"/>
      <c r="M46" s="450"/>
      <c r="N46" s="452"/>
      <c r="O46" s="452"/>
      <c r="P46" s="452"/>
      <c r="Q46" s="452"/>
      <c r="R46" s="452"/>
      <c r="S46" s="452"/>
      <c r="T46" s="450"/>
    </row>
    <row r="47" customFormat="false" ht="15" hidden="true" customHeight="false" outlineLevel="0" collapsed="false">
      <c r="B47" s="450"/>
      <c r="C47" s="450"/>
      <c r="D47" s="450"/>
      <c r="E47" s="452"/>
      <c r="F47" s="452"/>
      <c r="G47" s="452"/>
      <c r="H47" s="452"/>
      <c r="I47" s="452"/>
      <c r="J47" s="452"/>
      <c r="K47" s="450"/>
      <c r="L47" s="450"/>
      <c r="M47" s="450"/>
      <c r="N47" s="452"/>
      <c r="O47" s="452"/>
      <c r="P47" s="452"/>
      <c r="Q47" s="452"/>
      <c r="R47" s="452"/>
      <c r="S47" s="452"/>
      <c r="T47" s="450"/>
    </row>
    <row r="48" customFormat="false" ht="15" hidden="true" customHeight="false" outlineLevel="0" collapsed="false">
      <c r="B48" s="450"/>
      <c r="C48" s="451"/>
      <c r="D48" s="450"/>
      <c r="E48" s="452"/>
      <c r="F48" s="452"/>
      <c r="G48" s="452"/>
      <c r="H48" s="452"/>
      <c r="I48" s="452"/>
      <c r="J48" s="452"/>
      <c r="K48" s="450"/>
      <c r="L48" s="451"/>
      <c r="M48" s="450"/>
      <c r="N48" s="452"/>
      <c r="O48" s="452"/>
      <c r="P48" s="452"/>
      <c r="Q48" s="452"/>
      <c r="R48" s="452"/>
      <c r="S48" s="452"/>
      <c r="T48" s="450"/>
    </row>
    <row r="49" customFormat="false" ht="15" hidden="true" customHeight="false" outlineLevel="0" collapsed="false">
      <c r="B49" s="450"/>
      <c r="C49" s="450"/>
      <c r="D49" s="450"/>
      <c r="E49" s="452"/>
      <c r="F49" s="452"/>
      <c r="G49" s="452"/>
      <c r="H49" s="452"/>
      <c r="I49" s="452"/>
      <c r="J49" s="452"/>
      <c r="K49" s="450"/>
      <c r="L49" s="450"/>
      <c r="M49" s="450"/>
      <c r="N49" s="452"/>
      <c r="O49" s="452"/>
      <c r="P49" s="452"/>
      <c r="Q49" s="452"/>
      <c r="R49" s="452"/>
      <c r="S49" s="452"/>
      <c r="T49" s="450"/>
    </row>
    <row r="50" customFormat="false" ht="15" hidden="true" customHeight="false" outlineLevel="0" collapsed="false">
      <c r="B50" s="450"/>
      <c r="C50" s="450"/>
      <c r="D50" s="450"/>
      <c r="E50" s="452"/>
      <c r="F50" s="452"/>
      <c r="G50" s="452"/>
      <c r="H50" s="452"/>
      <c r="I50" s="452"/>
      <c r="J50" s="452"/>
      <c r="K50" s="450"/>
      <c r="L50" s="450"/>
      <c r="M50" s="450"/>
      <c r="N50" s="452"/>
      <c r="O50" s="452"/>
      <c r="P50" s="452"/>
      <c r="Q50" s="452"/>
      <c r="R50" s="452"/>
      <c r="S50" s="452"/>
      <c r="T50" s="450"/>
    </row>
    <row r="51" customFormat="false" ht="15" hidden="true" customHeight="false" outlineLevel="0" collapsed="false">
      <c r="B51" s="450"/>
      <c r="C51" s="451"/>
      <c r="D51" s="450"/>
      <c r="E51" s="452"/>
      <c r="F51" s="452"/>
      <c r="G51" s="452"/>
      <c r="H51" s="452"/>
      <c r="I51" s="452"/>
      <c r="J51" s="452"/>
      <c r="K51" s="450"/>
      <c r="L51" s="451"/>
      <c r="M51" s="450"/>
      <c r="N51" s="452"/>
      <c r="O51" s="452"/>
      <c r="P51" s="452"/>
      <c r="Q51" s="452"/>
      <c r="R51" s="452"/>
      <c r="S51" s="452"/>
      <c r="T51" s="450"/>
    </row>
    <row r="52" customFormat="false" ht="15" hidden="true" customHeight="false" outlineLevel="0" collapsed="false">
      <c r="B52" s="450"/>
      <c r="C52" s="453"/>
      <c r="D52" s="450"/>
      <c r="E52" s="452"/>
      <c r="F52" s="452"/>
      <c r="G52" s="452"/>
      <c r="H52" s="452"/>
      <c r="I52" s="452"/>
      <c r="J52" s="452"/>
      <c r="K52" s="450"/>
      <c r="L52" s="453"/>
      <c r="M52" s="450"/>
      <c r="N52" s="452"/>
      <c r="O52" s="452"/>
      <c r="P52" s="452"/>
      <c r="Q52" s="452"/>
      <c r="R52" s="452"/>
      <c r="S52" s="452"/>
      <c r="T52" s="450"/>
    </row>
    <row r="53" customFormat="false" ht="15" hidden="true" customHeight="false" outlineLevel="0" collapsed="false">
      <c r="B53" s="450"/>
      <c r="C53" s="450"/>
      <c r="D53" s="450"/>
      <c r="E53" s="452"/>
      <c r="F53" s="452"/>
      <c r="G53" s="452"/>
      <c r="H53" s="452"/>
      <c r="I53" s="452"/>
      <c r="J53" s="452"/>
      <c r="K53" s="450"/>
      <c r="L53" s="450"/>
      <c r="M53" s="450"/>
      <c r="N53" s="452"/>
      <c r="O53" s="452"/>
      <c r="P53" s="452"/>
      <c r="Q53" s="452"/>
      <c r="R53" s="452"/>
      <c r="S53" s="452"/>
      <c r="T53" s="450"/>
    </row>
    <row r="54" customFormat="false" ht="15" hidden="true" customHeight="false" outlineLevel="0" collapsed="false">
      <c r="K54" s="450"/>
      <c r="L54" s="450"/>
      <c r="M54" s="450"/>
      <c r="N54" s="450"/>
      <c r="O54" s="450"/>
      <c r="P54" s="450"/>
      <c r="Q54" s="450"/>
      <c r="R54" s="450"/>
      <c r="S54" s="450"/>
      <c r="T54" s="450"/>
    </row>
    <row r="55" customFormat="false" ht="15" hidden="true" customHeight="false" outlineLevel="0" collapsed="false">
      <c r="K55" s="450"/>
      <c r="L55" s="450"/>
      <c r="M55" s="450"/>
      <c r="N55" s="450"/>
      <c r="O55" s="450"/>
      <c r="P55" s="450"/>
      <c r="Q55" s="450"/>
      <c r="R55" s="450"/>
      <c r="S55" s="450"/>
      <c r="T55" s="450"/>
    </row>
    <row r="56" customFormat="false" ht="15" hidden="true" customHeight="false" outlineLevel="0" collapsed="false">
      <c r="K56" s="450"/>
      <c r="L56" s="450"/>
      <c r="M56" s="450"/>
      <c r="N56" s="450"/>
      <c r="O56" s="450"/>
      <c r="P56" s="450"/>
      <c r="Q56" s="450"/>
      <c r="R56" s="450"/>
      <c r="S56" s="450"/>
      <c r="T56" s="45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ColWidth="10.7421875" defaultRowHeight="15" zeroHeight="false" outlineLevelRow="0" outlineLevelCol="0"/>
  <cols>
    <col collapsed="false" customWidth="true" hidden="false" outlineLevel="0" max="3" min="3" style="0" width="15.29"/>
    <col collapsed="false" customWidth="true" hidden="false" outlineLevel="0" max="5" min="5" style="0" width="19.99"/>
  </cols>
  <sheetData>
    <row r="1" customFormat="false" ht="23.25" hidden="false" customHeight="false" outlineLevel="0" collapsed="false">
      <c r="B1" s="454" t="s">
        <v>849</v>
      </c>
      <c r="C1" s="454"/>
    </row>
    <row r="3" customFormat="false" ht="15.75" hidden="false" customHeight="false" outlineLevel="0" collapsed="false">
      <c r="B3" s="455" t="s">
        <v>849</v>
      </c>
      <c r="C3" s="455" t="s">
        <v>1076</v>
      </c>
    </row>
    <row r="4" customFormat="false" ht="15.75" hidden="false" customHeight="false" outlineLevel="0" collapsed="false">
      <c r="B4" s="456" t="n">
        <v>10000</v>
      </c>
      <c r="C4" s="457" t="s">
        <v>68</v>
      </c>
    </row>
    <row r="5" customFormat="false" ht="15" hidden="false" customHeight="false" outlineLevel="0" collapsed="false">
      <c r="B5" s="458" t="n">
        <v>100</v>
      </c>
      <c r="C5" s="459" t="s">
        <v>1077</v>
      </c>
      <c r="D5" s="458" t="n">
        <v>50</v>
      </c>
      <c r="E5" s="460" t="s">
        <v>1078</v>
      </c>
    </row>
    <row r="6" customFormat="false" ht="15" hidden="false" customHeight="false" outlineLevel="0" collapsed="false">
      <c r="B6" s="458" t="n">
        <v>1</v>
      </c>
      <c r="C6" s="459" t="s">
        <v>1079</v>
      </c>
    </row>
    <row r="7" customFormat="false" ht="15" hidden="false" customHeight="false" outlineLevel="0" collapsed="false">
      <c r="B7" s="458" t="n">
        <v>0.1</v>
      </c>
      <c r="C7" s="459" t="s">
        <v>1080</v>
      </c>
    </row>
    <row r="8" customFormat="false" ht="15" hidden="false" customHeight="false" outlineLevel="0" collapsed="false">
      <c r="B8" s="458" t="n">
        <v>0.01</v>
      </c>
      <c r="C8" s="459" t="s">
        <v>1081</v>
      </c>
    </row>
    <row r="9" customFormat="false" ht="15" hidden="false" customHeight="false" outlineLevel="0" collapsed="false">
      <c r="B9" s="458" t="n">
        <v>0.0001</v>
      </c>
      <c r="C9" s="459" t="s">
        <v>1082</v>
      </c>
    </row>
    <row r="10" customFormat="false" ht="15" hidden="false" customHeight="false" outlineLevel="0" collapsed="false">
      <c r="B10" s="458" t="n">
        <v>1E-006</v>
      </c>
      <c r="C10" s="459" t="s">
        <v>1083</v>
      </c>
    </row>
  </sheetData>
  <mergeCells count="1">
    <mergeCell ref="B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ColWidth="10.7421875" defaultRowHeight="15" zeroHeight="false" outlineLevelRow="0" outlineLevelCol="0"/>
  <sheetData>
    <row r="1" customFormat="false" ht="23.25" hidden="false" customHeight="false" outlineLevel="0" collapsed="false">
      <c r="B1" s="461" t="s">
        <v>1084</v>
      </c>
      <c r="C1" s="461"/>
      <c r="D1" s="461"/>
      <c r="E1" s="461"/>
      <c r="F1" s="461"/>
    </row>
    <row r="3" customFormat="false" ht="15" hidden="false" customHeight="false" outlineLevel="0" collapsed="false">
      <c r="B3" s="187" t="s">
        <v>550</v>
      </c>
      <c r="C3" s="187" t="s">
        <v>1085</v>
      </c>
      <c r="D3" s="187" t="s">
        <v>1086</v>
      </c>
      <c r="E3" s="187" t="s">
        <v>583</v>
      </c>
      <c r="F3" s="187" t="s">
        <v>1087</v>
      </c>
      <c r="G3" s="187" t="s">
        <v>1088</v>
      </c>
      <c r="H3" s="187" t="s">
        <v>1089</v>
      </c>
      <c r="J3" s="462"/>
      <c r="K3" s="463"/>
      <c r="L3" s="463"/>
      <c r="M3" s="463"/>
      <c r="N3" s="463"/>
    </row>
    <row r="4" customFormat="false" ht="15" hidden="false" customHeight="false" outlineLevel="0" collapsed="false">
      <c r="B4" s="174" t="s">
        <v>56</v>
      </c>
      <c r="C4" s="174" t="n">
        <f aca="false">GrpA!$V$11</f>
        <v>0</v>
      </c>
      <c r="D4" s="464" t="n">
        <f aca="false">COUNTIF($C$4:$C$11,"&gt;0")</f>
        <v>0</v>
      </c>
      <c r="E4" s="174" t="str">
        <f aca="false">IF($C4&gt;0,$B4,"")</f>
        <v/>
      </c>
      <c r="F4" s="174" t="n">
        <f aca="false">LEN($E4)</f>
        <v>0</v>
      </c>
      <c r="G4" s="174" t="n">
        <f aca="false">SUM($F$4:$F4)</f>
        <v>0</v>
      </c>
      <c r="H4" s="0" t="str">
        <f aca="false">IF($E4&lt;&gt;"",$E4&amp;IF($G4=$G$11,"",IF($G4&lt;$G$11-1,", ",Language!$E$158)),"")</f>
        <v/>
      </c>
      <c r="J4" s="465" t="str">
        <f aca="false">Language!$E$156&amp;"  "&amp;$H$13&amp;"."</f>
        <v>Groups with fair play valuation or drawing lots:  .</v>
      </c>
      <c r="K4" s="465"/>
      <c r="L4" s="465"/>
      <c r="M4" s="465"/>
      <c r="N4" s="465"/>
    </row>
    <row r="5" customFormat="false" ht="15" hidden="false" customHeight="false" outlineLevel="0" collapsed="false">
      <c r="B5" s="174" t="s">
        <v>58</v>
      </c>
      <c r="C5" s="174" t="n">
        <f aca="false">GrpB!$V$11</f>
        <v>0</v>
      </c>
      <c r="E5" s="174" t="str">
        <f aca="false">IF($C5&gt;0,$B5,"")</f>
        <v/>
      </c>
      <c r="F5" s="174" t="n">
        <f aca="false">LEN($E5)</f>
        <v>0</v>
      </c>
      <c r="G5" s="174" t="n">
        <f aca="false">SUM($F$4:$F5)</f>
        <v>0</v>
      </c>
      <c r="H5" s="0" t="str">
        <f aca="false">IF($E5&lt;&gt;"",$E5&amp;IF($G5=$G$11,"",IF($G5&lt;$G$11-1,", ",Language!$E$158)),"")</f>
        <v/>
      </c>
      <c r="J5" s="466" t="str">
        <f aca="false">Language!$E$157</f>
        <v>The placement has been clarified in all groups.</v>
      </c>
      <c r="K5" s="466"/>
      <c r="L5" s="466"/>
      <c r="M5" s="466"/>
      <c r="N5" s="466"/>
    </row>
    <row r="6" customFormat="false" ht="15" hidden="false" customHeight="false" outlineLevel="0" collapsed="false">
      <c r="B6" s="174" t="s">
        <v>60</v>
      </c>
      <c r="C6" s="174" t="n">
        <f aca="false">GrpC!$V$11</f>
        <v>0</v>
      </c>
      <c r="E6" s="174" t="str">
        <f aca="false">IF($C6&gt;0,$B6,"")</f>
        <v/>
      </c>
      <c r="F6" s="174" t="n">
        <f aca="false">LEN($E6)</f>
        <v>0</v>
      </c>
      <c r="G6" s="174" t="n">
        <f aca="false">SUM($F$4:$F6)</f>
        <v>0</v>
      </c>
      <c r="H6" s="0" t="str">
        <f aca="false">IF($E6&lt;&gt;"",$E6&amp;IF($G6=$G$11,"",IF($G6&lt;$G$11-1,", ",Language!$E$158)),"")</f>
        <v/>
      </c>
    </row>
    <row r="7" customFormat="false" ht="15" hidden="false" customHeight="false" outlineLevel="0" collapsed="false">
      <c r="B7" s="174" t="s">
        <v>62</v>
      </c>
      <c r="C7" s="174" t="n">
        <f aca="false">GrpD!$V$11</f>
        <v>0</v>
      </c>
      <c r="E7" s="174" t="str">
        <f aca="false">IF($C7&gt;0,$B7,"")</f>
        <v/>
      </c>
      <c r="F7" s="174" t="n">
        <f aca="false">LEN($E7)</f>
        <v>0</v>
      </c>
      <c r="G7" s="174" t="n">
        <f aca="false">SUM($F$4:$F7)</f>
        <v>0</v>
      </c>
      <c r="H7" s="0" t="str">
        <f aca="false">IF($E7&lt;&gt;"",$E7&amp;IF($G7=$G$11,"",IF($G7&lt;$G$11-1,", ",Language!$E$158)),"")</f>
        <v/>
      </c>
      <c r="J7" s="462"/>
      <c r="K7" s="462"/>
      <c r="L7" s="462"/>
      <c r="M7" s="462"/>
      <c r="N7" s="462"/>
    </row>
    <row r="8" customFormat="false" ht="15" hidden="false" customHeight="false" outlineLevel="0" collapsed="false">
      <c r="B8" s="174" t="s">
        <v>57</v>
      </c>
      <c r="C8" s="174" t="n">
        <f aca="false">GrpE!$V$11</f>
        <v>0</v>
      </c>
      <c r="E8" s="174" t="str">
        <f aca="false">IF($C8&gt;0,$B8,"")</f>
        <v/>
      </c>
      <c r="F8" s="174" t="n">
        <f aca="false">LEN($E8)</f>
        <v>0</v>
      </c>
      <c r="G8" s="174" t="n">
        <f aca="false">SUM($F$4:$F8)</f>
        <v>0</v>
      </c>
      <c r="H8" s="0" t="str">
        <f aca="false">IF($E8&lt;&gt;"",$E8&amp;IF($G8=$G$11,"",IF($G8&lt;$G$11-1,", ",Language!$E$158)),"")</f>
        <v/>
      </c>
      <c r="J8" s="462"/>
      <c r="K8" s="462"/>
      <c r="L8" s="462"/>
      <c r="M8" s="462"/>
      <c r="N8" s="462"/>
    </row>
    <row r="9" customFormat="false" ht="15" hidden="false" customHeight="false" outlineLevel="0" collapsed="false">
      <c r="B9" s="174" t="s">
        <v>59</v>
      </c>
      <c r="C9" s="174" t="n">
        <f aca="false">GrpF!$V$11</f>
        <v>0</v>
      </c>
      <c r="E9" s="174" t="str">
        <f aca="false">IF($C9&gt;0,$B9,"")</f>
        <v/>
      </c>
      <c r="F9" s="174" t="n">
        <f aca="false">LEN($E9)</f>
        <v>0</v>
      </c>
      <c r="G9" s="174" t="n">
        <f aca="false">SUM($F$4:$F9)</f>
        <v>0</v>
      </c>
      <c r="H9" s="0" t="str">
        <f aca="false">IF($E9&lt;&gt;"",$E9&amp;IF($G9=$G$11,"",IF($G9&lt;$G$11-1,", ",Language!$E$158)),"")</f>
        <v/>
      </c>
    </row>
    <row r="10" customFormat="false" ht="15" hidden="false" customHeight="false" outlineLevel="0" collapsed="false">
      <c r="B10" s="174" t="s">
        <v>61</v>
      </c>
      <c r="C10" s="174" t="n">
        <f aca="false">GrpG!$V$11</f>
        <v>0</v>
      </c>
      <c r="E10" s="174" t="str">
        <f aca="false">IF($C10&gt;0,$B10,"")</f>
        <v/>
      </c>
      <c r="F10" s="174" t="n">
        <f aca="false">LEN($E10)</f>
        <v>0</v>
      </c>
      <c r="G10" s="174" t="n">
        <f aca="false">SUM($F$4:$F10)</f>
        <v>0</v>
      </c>
      <c r="H10" s="0" t="str">
        <f aca="false">IF($E10&lt;&gt;"",$E10&amp;IF($G10=$G$11,"",IF($G10&lt;$G$11-1,", ",Language!$E$158)),"")</f>
        <v/>
      </c>
    </row>
    <row r="11" customFormat="false" ht="15" hidden="false" customHeight="false" outlineLevel="0" collapsed="false">
      <c r="B11" s="174" t="s">
        <v>63</v>
      </c>
      <c r="C11" s="174" t="n">
        <f aca="false">GrpH!$V$11</f>
        <v>0</v>
      </c>
      <c r="E11" s="174" t="str">
        <f aca="false">IF($C11&gt;0,$B11,"")</f>
        <v/>
      </c>
      <c r="F11" s="174" t="n">
        <f aca="false">LEN($E11)</f>
        <v>0</v>
      </c>
      <c r="G11" s="174" t="n">
        <f aca="false">SUM($F$4:$F11)</f>
        <v>0</v>
      </c>
      <c r="H11" s="0" t="str">
        <f aca="false">IF($E11&lt;&gt;"",$E11&amp;IF($G11=$G$11,"",IF($G11&lt;$G$11-1,", ",Language!$E$158)),"")</f>
        <v/>
      </c>
    </row>
    <row r="12" customFormat="false" ht="15" hidden="false" customHeight="false" outlineLevel="0" collapsed="false">
      <c r="J12" s="467"/>
      <c r="K12" s="467"/>
      <c r="L12" s="467"/>
      <c r="M12" s="467"/>
      <c r="N12" s="467"/>
    </row>
    <row r="13" customFormat="false" ht="15" hidden="false" customHeight="false" outlineLevel="0" collapsed="false">
      <c r="G13" s="187" t="s">
        <v>1090</v>
      </c>
      <c r="H13" s="468" t="str">
        <f aca="false">$H$4&amp;$H$5&amp;$H$6&amp;$H$7&amp;$H$8&amp;$H$9&amp;$H$10&amp;$H$11</f>
        <v/>
      </c>
      <c r="I13" s="468"/>
      <c r="J13" s="467"/>
      <c r="K13" s="467"/>
      <c r="L13" s="467"/>
      <c r="M13" s="467"/>
      <c r="N13" s="467"/>
    </row>
    <row r="15" customFormat="false" ht="15" hidden="false" customHeight="false" outlineLevel="0" collapsed="false">
      <c r="G15" s="469"/>
      <c r="H15" s="307"/>
      <c r="J15" s="470"/>
      <c r="K15" s="470"/>
    </row>
    <row r="16" customFormat="false" ht="15" hidden="false" customHeight="false" outlineLevel="0" collapsed="false">
      <c r="J16" s="471"/>
      <c r="K16" s="471"/>
    </row>
  </sheetData>
  <mergeCells count="3">
    <mergeCell ref="J4:N4"/>
    <mergeCell ref="J5:N5"/>
    <mergeCell ref="H13:I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3" min="3" style="0" width="10.58"/>
    <col collapsed="false" customWidth="true" hidden="false" outlineLevel="0" max="4" min="4" style="0" width="9.29"/>
    <col collapsed="false" customWidth="true" hidden="false" outlineLevel="0" max="7" min="7" style="0" width="18.42"/>
    <col collapsed="false" customWidth="true" hidden="false" outlineLevel="0" max="8" min="8" style="0" width="19.14"/>
    <col collapsed="false" customWidth="true" hidden="false" outlineLevel="0" max="9" min="9" style="0" width="15.15"/>
  </cols>
  <sheetData>
    <row r="1" customFormat="false" ht="15" hidden="false" customHeight="false" outlineLevel="0" collapsed="false">
      <c r="A1" s="472" t="s">
        <v>1091</v>
      </c>
    </row>
    <row r="2" customFormat="false" ht="23.25" hidden="false" customHeight="false" outlineLevel="0" collapsed="false">
      <c r="B2" s="473" t="s">
        <v>1092</v>
      </c>
      <c r="C2" s="473"/>
      <c r="D2" s="473"/>
      <c r="E2" s="473"/>
      <c r="F2" s="473"/>
      <c r="G2" s="473"/>
      <c r="H2" s="473"/>
    </row>
    <row r="3" customFormat="false" ht="54.75" hidden="false" customHeight="true" outlineLevel="0" collapsed="false"/>
    <row r="4" s="269" customFormat="true" ht="27.75" hidden="false" customHeight="true" outlineLevel="0" collapsed="false">
      <c r="B4" s="474" t="s">
        <v>550</v>
      </c>
      <c r="C4" s="475" t="s">
        <v>1093</v>
      </c>
      <c r="D4" s="475"/>
      <c r="G4" s="476" t="s">
        <v>1094</v>
      </c>
      <c r="H4" s="477" t="s">
        <v>1095</v>
      </c>
    </row>
    <row r="5" s="269" customFormat="true" ht="19.5" hidden="false" customHeight="true" outlineLevel="0" collapsed="false">
      <c r="B5" s="478" t="s">
        <v>56</v>
      </c>
      <c r="C5" s="479" t="s">
        <v>58</v>
      </c>
      <c r="D5" s="480" t="s">
        <v>60</v>
      </c>
      <c r="G5" s="481" t="n">
        <v>13</v>
      </c>
      <c r="H5" s="482" t="n">
        <v>14</v>
      </c>
    </row>
    <row r="6" s="269" customFormat="true" ht="19.5" hidden="false" customHeight="true" outlineLevel="0" collapsed="false">
      <c r="B6" s="483" t="s">
        <v>58</v>
      </c>
      <c r="C6" s="484" t="s">
        <v>57</v>
      </c>
      <c r="D6" s="485" t="s">
        <v>59</v>
      </c>
      <c r="G6" s="486" t="n">
        <v>18</v>
      </c>
      <c r="H6" s="487" t="n">
        <v>19</v>
      </c>
    </row>
    <row r="7" s="269" customFormat="true" ht="19.5" hidden="false" customHeight="true" outlineLevel="0" collapsed="false">
      <c r="B7" s="483" t="s">
        <v>60</v>
      </c>
      <c r="C7" s="484" t="s">
        <v>63</v>
      </c>
      <c r="D7" s="485" t="s">
        <v>1096</v>
      </c>
      <c r="G7" s="486" t="n">
        <v>23</v>
      </c>
      <c r="H7" s="487" t="n">
        <v>24</v>
      </c>
    </row>
    <row r="8" s="269" customFormat="true" ht="19.5" hidden="false" customHeight="true" outlineLevel="0" collapsed="false">
      <c r="B8" s="483" t="s">
        <v>62</v>
      </c>
      <c r="C8" s="484" t="s">
        <v>1097</v>
      </c>
      <c r="D8" s="485" t="s">
        <v>1098</v>
      </c>
      <c r="G8" s="486" t="n">
        <v>28</v>
      </c>
      <c r="H8" s="485" t="n">
        <v>29</v>
      </c>
    </row>
    <row r="9" s="269" customFormat="true" ht="19.5" hidden="false" customHeight="true" outlineLevel="0" collapsed="false">
      <c r="B9" s="483" t="s">
        <v>57</v>
      </c>
      <c r="C9" s="484" t="s">
        <v>1099</v>
      </c>
      <c r="D9" s="485" t="s">
        <v>1100</v>
      </c>
      <c r="G9" s="486" t="n">
        <v>33</v>
      </c>
      <c r="H9" s="488" t="n">
        <v>34</v>
      </c>
    </row>
    <row r="10" s="269" customFormat="true" ht="19.5" hidden="false" customHeight="true" outlineLevel="0" collapsed="false">
      <c r="B10" s="483" t="s">
        <v>59</v>
      </c>
      <c r="C10" s="484" t="s">
        <v>1101</v>
      </c>
      <c r="D10" s="485" t="s">
        <v>1102</v>
      </c>
      <c r="G10" s="489" t="n">
        <v>38</v>
      </c>
      <c r="H10" s="490" t="n">
        <v>39</v>
      </c>
    </row>
    <row r="11" s="269" customFormat="true" ht="19.5" hidden="false" customHeight="true" outlineLevel="0" collapsed="false">
      <c r="B11" s="483" t="s">
        <v>61</v>
      </c>
      <c r="C11" s="484" t="s">
        <v>1103</v>
      </c>
      <c r="D11" s="485" t="s">
        <v>1104</v>
      </c>
    </row>
    <row r="12" s="269" customFormat="true" ht="19.5" hidden="false" customHeight="true" outlineLevel="0" collapsed="false">
      <c r="B12" s="491" t="s">
        <v>63</v>
      </c>
      <c r="C12" s="492" t="s">
        <v>1105</v>
      </c>
      <c r="D12" s="490" t="s">
        <v>1106</v>
      </c>
    </row>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P1" activeCellId="0" sqref="P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B</v>
      </c>
      <c r="D1" s="494" t="str">
        <f aca="false">VLOOKUP($P$1,References!$B$5:$D$12,3,0)</f>
        <v>C</v>
      </c>
      <c r="O1" s="495" t="s">
        <v>550</v>
      </c>
      <c r="P1" s="496" t="s">
        <v>56</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Qatar</v>
      </c>
      <c r="C4" s="502" t="s">
        <v>72</v>
      </c>
      <c r="D4" s="503" t="str">
        <f aca="true">INDIRECT("'"&amp;References!$A$1&amp;"'!"&amp;$D$1&amp;References!$G5)</f>
        <v>Ecuador</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Qatar</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Senegal</v>
      </c>
      <c r="C5" s="512" t="s">
        <v>72</v>
      </c>
      <c r="D5" s="513" t="str">
        <f aca="true">INDIRECT("'"&amp;References!$A$1&amp;"'!"&amp;$D$1&amp;References!$G6)</f>
        <v>Netherlands</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Ecuador</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Qatar</v>
      </c>
      <c r="C6" s="512" t="s">
        <v>72</v>
      </c>
      <c r="D6" s="513" t="str">
        <f aca="true">INDIRECT("'"&amp;References!$A$1&amp;"'!"&amp;$D$1&amp;References!$G7)</f>
        <v>Senegal</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Senegal</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Netherlands</v>
      </c>
      <c r="C7" s="512" t="s">
        <v>72</v>
      </c>
      <c r="D7" s="513" t="str">
        <f aca="true">INDIRECT("'"&amp;References!$A$1&amp;"'!"&amp;$D$1&amp;References!$G8)</f>
        <v>Ecuador</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Netherlands</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Ecuador</v>
      </c>
      <c r="C8" s="512" t="s">
        <v>72</v>
      </c>
      <c r="D8" s="513" t="str">
        <f aca="true">INDIRECT("'"&amp;References!$A$1&amp;"'!"&amp;$D$1&amp;References!$G9)</f>
        <v>Senegal</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Netherlands</v>
      </c>
      <c r="C9" s="512" t="s">
        <v>72</v>
      </c>
      <c r="D9" s="513" t="str">
        <f aca="true">INDIRECT("'"&amp;References!$A$1&amp;"'!"&amp;$D$1&amp;References!$G10)</f>
        <v>Qatar</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Qatar</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Ecuador</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Senegal</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Netherlands</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Qat</v>
      </c>
      <c r="F17" s="523" t="str">
        <f aca="false">LEFT($O$5,3)</f>
        <v>Ecu</v>
      </c>
      <c r="G17" s="523" t="str">
        <f aca="false">LEFT($O$6,3)</f>
        <v>Sen</v>
      </c>
      <c r="H17" s="544" t="str">
        <f aca="false">LEFT($O$7,3)</f>
        <v>Net</v>
      </c>
      <c r="J17" s="187" t="s">
        <v>1120</v>
      </c>
      <c r="N17" s="174" t="s">
        <v>52</v>
      </c>
      <c r="O17" s="0" t="str">
        <f aca="false">$O$4</f>
        <v>Qatar</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Qatar</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Ecuador</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Ecuador</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Senegal</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Senegal</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Netherlands</v>
      </c>
      <c r="P20" s="174"/>
      <c r="Q20" s="174"/>
      <c r="R20" s="174"/>
      <c r="S20" s="174"/>
      <c r="V20" s="174"/>
      <c r="W20" s="174"/>
      <c r="X20" s="185"/>
      <c r="Y20" s="185"/>
    </row>
    <row r="21" customFormat="false" ht="15.75" hidden="false" customHeight="false" outlineLevel="0" collapsed="false">
      <c r="B21" s="553"/>
      <c r="C21" s="185"/>
      <c r="D21" s="554" t="str">
        <f aca="false">$O$7</f>
        <v>Netherlands</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Qatar</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Ecuador</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Netherlands</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Senegal</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Qatar</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Senegal</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Netherlands</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Ecuador</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Ecuador</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Senegal</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Netherlands</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Qatar</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E</v>
      </c>
      <c r="D1" s="494" t="str">
        <f aca="false">VLOOKUP($P$1,References!$B$5:$D$12,3,0)</f>
        <v>F</v>
      </c>
      <c r="O1" s="495" t="s">
        <v>550</v>
      </c>
      <c r="P1" s="496" t="s">
        <v>58</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England</v>
      </c>
      <c r="C4" s="502" t="s">
        <v>72</v>
      </c>
      <c r="D4" s="503" t="str">
        <f aca="true">INDIRECT("'"&amp;References!$A$1&amp;"'!"&amp;$D$1&amp;References!$G5)</f>
        <v>IR Iran</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England</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USA</v>
      </c>
      <c r="C5" s="512" t="s">
        <v>72</v>
      </c>
      <c r="D5" s="513" t="str">
        <f aca="true">INDIRECT("'"&amp;References!$A$1&amp;"'!"&amp;$D$1&amp;References!$G6)</f>
        <v>Wales</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IR Iran</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Wales</v>
      </c>
      <c r="C6" s="512" t="s">
        <v>72</v>
      </c>
      <c r="D6" s="513" t="str">
        <f aca="true">INDIRECT("'"&amp;References!$A$1&amp;"'!"&amp;$D$1&amp;References!$G7)</f>
        <v>IR Iran</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USA</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England</v>
      </c>
      <c r="C7" s="512" t="s">
        <v>72</v>
      </c>
      <c r="D7" s="513" t="str">
        <f aca="true">INDIRECT("'"&amp;References!$A$1&amp;"'!"&amp;$D$1&amp;References!$G8)</f>
        <v>USA</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Wales</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Wales</v>
      </c>
      <c r="C8" s="512" t="s">
        <v>72</v>
      </c>
      <c r="D8" s="513" t="str">
        <f aca="true">INDIRECT("'"&amp;References!$A$1&amp;"'!"&amp;$D$1&amp;References!$G9)</f>
        <v>England</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IR Iran</v>
      </c>
      <c r="C9" s="512" t="s">
        <v>72</v>
      </c>
      <c r="D9" s="513" t="str">
        <f aca="true">INDIRECT("'"&amp;References!$A$1&amp;"'!"&amp;$D$1&amp;References!$G10)</f>
        <v>USA</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England</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IR Iran</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USA</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Wales</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Eng</v>
      </c>
      <c r="F17" s="523" t="str">
        <f aca="false">LEFT($O$5,3)</f>
        <v>IR </v>
      </c>
      <c r="G17" s="523" t="str">
        <f aca="false">LEFT($O$6,3)</f>
        <v>USA</v>
      </c>
      <c r="H17" s="544" t="str">
        <f aca="false">LEFT($O$7,3)</f>
        <v>Wal</v>
      </c>
      <c r="J17" s="187" t="s">
        <v>1120</v>
      </c>
      <c r="N17" s="174" t="s">
        <v>52</v>
      </c>
      <c r="O17" s="0" t="str">
        <f aca="false">$O$4</f>
        <v>England</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England</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IR Iran</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IR Iran</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USA</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USA</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Wales</v>
      </c>
      <c r="P20" s="174"/>
      <c r="Q20" s="174"/>
      <c r="R20" s="174"/>
      <c r="S20" s="174"/>
      <c r="V20" s="174"/>
      <c r="W20" s="174"/>
      <c r="X20" s="185"/>
      <c r="Y20" s="185"/>
    </row>
    <row r="21" customFormat="false" ht="15.75" hidden="false" customHeight="false" outlineLevel="0" collapsed="false">
      <c r="B21" s="553"/>
      <c r="C21" s="185"/>
      <c r="D21" s="554" t="str">
        <f aca="false">$O$7</f>
        <v>Wales</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England</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IR Iran</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Wales</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USA</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England</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USA</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Wales</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IR Iran</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IR Iran</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USA</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Wales</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England</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H</v>
      </c>
      <c r="D1" s="494" t="str">
        <f aca="false">VLOOKUP($P$1,References!$B$5:$D$12,3,0)</f>
        <v>I</v>
      </c>
      <c r="O1" s="495" t="s">
        <v>550</v>
      </c>
      <c r="P1" s="496" t="s">
        <v>60</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Argentina</v>
      </c>
      <c r="C4" s="502" t="s">
        <v>72</v>
      </c>
      <c r="D4" s="503" t="str">
        <f aca="true">INDIRECT("'"&amp;References!$A$1&amp;"'!"&amp;$D$1&amp;References!$G5)</f>
        <v>Saudi Arabia</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Argentina</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Mexico</v>
      </c>
      <c r="C5" s="512" t="s">
        <v>72</v>
      </c>
      <c r="D5" s="513" t="str">
        <f aca="true">INDIRECT("'"&amp;References!$A$1&amp;"'!"&amp;$D$1&amp;References!$G6)</f>
        <v>Poland</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Saudi Arabia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Poland</v>
      </c>
      <c r="C6" s="512" t="s">
        <v>72</v>
      </c>
      <c r="D6" s="513" t="str">
        <f aca="true">INDIRECT("'"&amp;References!$A$1&amp;"'!"&amp;$D$1&amp;References!$G7)</f>
        <v>Saudi Arabia</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Mexico</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Argentina</v>
      </c>
      <c r="C7" s="512" t="s">
        <v>72</v>
      </c>
      <c r="D7" s="513" t="str">
        <f aca="true">INDIRECT("'"&amp;References!$A$1&amp;"'!"&amp;$D$1&amp;References!$G8)</f>
        <v>Mexico</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Poland</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Poland</v>
      </c>
      <c r="C8" s="512" t="s">
        <v>72</v>
      </c>
      <c r="D8" s="513" t="str">
        <f aca="true">INDIRECT("'"&amp;References!$A$1&amp;"'!"&amp;$D$1&amp;References!$G9)</f>
        <v>Argentina</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Saudi Arabia</v>
      </c>
      <c r="C9" s="512" t="s">
        <v>72</v>
      </c>
      <c r="D9" s="513" t="str">
        <f aca="true">INDIRECT("'"&amp;References!$A$1&amp;"'!"&amp;$D$1&amp;References!$G10)</f>
        <v>Mexico</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Argentina</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Saudi Arabia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Mexico</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Poland</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Arg</v>
      </c>
      <c r="F17" s="523" t="str">
        <f aca="false">LEFT($O$5,3)</f>
        <v>Sau</v>
      </c>
      <c r="G17" s="523" t="str">
        <f aca="false">LEFT($O$6,3)</f>
        <v>Mex</v>
      </c>
      <c r="H17" s="544" t="str">
        <f aca="false">LEFT($O$7,3)</f>
        <v>Pol</v>
      </c>
      <c r="J17" s="187" t="s">
        <v>1120</v>
      </c>
      <c r="N17" s="174" t="s">
        <v>52</v>
      </c>
      <c r="O17" s="0" t="str">
        <f aca="false">$O$4</f>
        <v>Argentina</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57" t="str">
        <f aca="false">$O$4</f>
        <v>Argentina</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Saudi Arabia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58" t="str">
        <f aca="false">$O$5</f>
        <v>Saudi Arabia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Mexico</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58" t="str">
        <f aca="false">$O$6</f>
        <v>Mexico</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Poland</v>
      </c>
      <c r="P20" s="174"/>
      <c r="Q20" s="174"/>
      <c r="R20" s="174"/>
      <c r="S20" s="174"/>
      <c r="V20" s="174"/>
      <c r="W20" s="174"/>
      <c r="X20" s="185"/>
      <c r="Y20" s="185"/>
    </row>
    <row r="21" customFormat="false" ht="15.75" hidden="false" customHeight="false" outlineLevel="0" collapsed="false">
      <c r="B21" s="553"/>
      <c r="C21" s="185"/>
      <c r="D21" s="559" t="str">
        <f aca="false">$O$7</f>
        <v>Poland</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Argentina</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Saudi Arabia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Poland</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Mexico</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Argentina</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Mexico</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Poland</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Saudi Arabia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Saudi Arabia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Mexico</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Poland</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Argentina</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K</v>
      </c>
      <c r="D1" s="494" t="str">
        <f aca="false">VLOOKUP($P$1,References!$B$5:$D$12,3,0)</f>
        <v>L</v>
      </c>
      <c r="O1" s="495" t="s">
        <v>550</v>
      </c>
      <c r="P1" s="496" t="s">
        <v>62</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Denmark</v>
      </c>
      <c r="C4" s="502" t="s">
        <v>72</v>
      </c>
      <c r="D4" s="503" t="str">
        <f aca="true">INDIRECT("'"&amp;References!$A$1&amp;"'!"&amp;$D$1&amp;References!$G5)</f>
        <v>Tunisia</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France</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France</v>
      </c>
      <c r="C5" s="512" t="s">
        <v>72</v>
      </c>
      <c r="D5" s="513" t="str">
        <f aca="true">INDIRECT("'"&amp;References!$A$1&amp;"'!"&amp;$D$1&amp;References!$G6)</f>
        <v>Australia</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Australia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Tunisia</v>
      </c>
      <c r="C6" s="512" t="s">
        <v>72</v>
      </c>
      <c r="D6" s="513" t="str">
        <f aca="true">INDIRECT("'"&amp;References!$A$1&amp;"'!"&amp;$D$1&amp;References!$G7)</f>
        <v>Australia</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Denmark</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France</v>
      </c>
      <c r="C7" s="512" t="s">
        <v>72</v>
      </c>
      <c r="D7" s="513" t="str">
        <f aca="true">INDIRECT("'"&amp;References!$A$1&amp;"'!"&amp;$D$1&amp;References!$G8)</f>
        <v>Denmark</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Tunisia</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Australia</v>
      </c>
      <c r="C8" s="512" t="s">
        <v>72</v>
      </c>
      <c r="D8" s="513" t="str">
        <f aca="true">INDIRECT("'"&amp;References!$A$1&amp;"'!"&amp;$D$1&amp;References!$G9)</f>
        <v>Denmark</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Tunisia</v>
      </c>
      <c r="C9" s="512" t="s">
        <v>72</v>
      </c>
      <c r="D9" s="513" t="str">
        <f aca="true">INDIRECT("'"&amp;References!$A$1&amp;"'!"&amp;$D$1&amp;References!$G10)</f>
        <v>France</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France</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Australia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Denmark</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Tunisia</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Fra</v>
      </c>
      <c r="F17" s="523" t="str">
        <f aca="false">LEFT($O$5,3)</f>
        <v>Aus</v>
      </c>
      <c r="G17" s="523" t="str">
        <f aca="false">LEFT($O$6,3)</f>
        <v>Den</v>
      </c>
      <c r="H17" s="544" t="str">
        <f aca="false">LEFT($O$7,3)</f>
        <v>Tun</v>
      </c>
      <c r="J17" s="187" t="s">
        <v>1120</v>
      </c>
      <c r="N17" s="174" t="s">
        <v>52</v>
      </c>
      <c r="O17" s="0" t="str">
        <f aca="false">$O$4</f>
        <v>France</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France</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Australia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Australia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Denmark</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Denmark</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Tunisia</v>
      </c>
      <c r="P20" s="174"/>
      <c r="Q20" s="174"/>
      <c r="R20" s="174"/>
      <c r="S20" s="174"/>
      <c r="V20" s="174"/>
      <c r="W20" s="174"/>
      <c r="X20" s="185"/>
      <c r="Y20" s="185"/>
    </row>
    <row r="21" customFormat="false" ht="15.75" hidden="false" customHeight="false" outlineLevel="0" collapsed="false">
      <c r="B21" s="553"/>
      <c r="C21" s="185"/>
      <c r="D21" s="554" t="str">
        <f aca="false">$O$7</f>
        <v>Tunisia</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France</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Australia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Tunisia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Denmark</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France</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Denmark</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Tunisia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Australia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Australia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Denmark</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Tunisia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France</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N</v>
      </c>
      <c r="D1" s="494" t="str">
        <f aca="false">VLOOKUP($P$1,References!$B$5:$D$12,3,0)</f>
        <v>O</v>
      </c>
      <c r="O1" s="495" t="s">
        <v>550</v>
      </c>
      <c r="P1" s="496" t="s">
        <v>57</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Germany</v>
      </c>
      <c r="C4" s="502" t="s">
        <v>72</v>
      </c>
      <c r="D4" s="503" t="str">
        <f aca="true">INDIRECT("'"&amp;References!$A$1&amp;"'!"&amp;$D$1&amp;References!$G5)</f>
        <v>Japan</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Spain</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Spain</v>
      </c>
      <c r="C5" s="512" t="s">
        <v>72</v>
      </c>
      <c r="D5" s="513" t="str">
        <f aca="true">INDIRECT("'"&amp;References!$A$1&amp;"'!"&amp;$D$1&amp;References!$G6)</f>
        <v>Costa Rica</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Costa Rica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Japan</v>
      </c>
      <c r="C6" s="512" t="s">
        <v>72</v>
      </c>
      <c r="D6" s="513" t="str">
        <f aca="true">INDIRECT("'"&amp;References!$A$1&amp;"'!"&amp;$D$1&amp;References!$G7)</f>
        <v>Costa Rica</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Germany</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Spain</v>
      </c>
      <c r="C7" s="512" t="s">
        <v>72</v>
      </c>
      <c r="D7" s="513" t="str">
        <f aca="true">INDIRECT("'"&amp;References!$A$1&amp;"'!"&amp;$D$1&amp;References!$G8)</f>
        <v>Germany</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Japan</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Japan</v>
      </c>
      <c r="C8" s="512" t="s">
        <v>72</v>
      </c>
      <c r="D8" s="513" t="str">
        <f aca="true">INDIRECT("'"&amp;References!$A$1&amp;"'!"&amp;$D$1&amp;References!$G9)</f>
        <v>Spain</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Costa Rica</v>
      </c>
      <c r="C9" s="512" t="s">
        <v>72</v>
      </c>
      <c r="D9" s="513" t="str">
        <f aca="true">INDIRECT("'"&amp;References!$A$1&amp;"'!"&amp;$D$1&amp;References!$G10)</f>
        <v>Germany</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Spain</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Costa Rica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Germany</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Japan</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Spa</v>
      </c>
      <c r="F17" s="523" t="str">
        <f aca="false">LEFT($O$5,3)</f>
        <v>Cos</v>
      </c>
      <c r="G17" s="523" t="str">
        <f aca="false">LEFT($O$6,3)</f>
        <v>Ger</v>
      </c>
      <c r="H17" s="544" t="str">
        <f aca="false">LEFT($O$7,3)</f>
        <v>Jap</v>
      </c>
      <c r="J17" s="187" t="s">
        <v>1120</v>
      </c>
      <c r="N17" s="174" t="s">
        <v>52</v>
      </c>
      <c r="O17" s="0" t="str">
        <f aca="false">$O$4</f>
        <v>Spain</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Spain</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Costa Rica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Costa Rica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Germany</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Germany</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Japan</v>
      </c>
      <c r="P20" s="174"/>
      <c r="Q20" s="174"/>
      <c r="R20" s="174"/>
      <c r="S20" s="174"/>
      <c r="V20" s="174"/>
      <c r="W20" s="174"/>
      <c r="X20" s="185"/>
      <c r="Y20" s="185"/>
    </row>
    <row r="21" customFormat="false" ht="15.75" hidden="false" customHeight="false" outlineLevel="0" collapsed="false">
      <c r="B21" s="553"/>
      <c r="C21" s="185"/>
      <c r="D21" s="554" t="str">
        <f aca="false">$O$7</f>
        <v>Japan</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Spain</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Costa Rica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Japan</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Germany</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Spain</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Germany</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Japan</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Costa Rica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Costa Rica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Germany</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Japan</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Spain</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Q</v>
      </c>
      <c r="D1" s="494" t="str">
        <f aca="false">VLOOKUP($P$1,References!$B$5:$D$12,3,0)</f>
        <v>R</v>
      </c>
      <c r="O1" s="495" t="s">
        <v>550</v>
      </c>
      <c r="P1" s="496" t="s">
        <v>59</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Morocco</v>
      </c>
      <c r="C4" s="502" t="s">
        <v>72</v>
      </c>
      <c r="D4" s="503" t="str">
        <f aca="true">INDIRECT("'"&amp;References!$A$1&amp;"'!"&amp;$D$1&amp;References!$G5)</f>
        <v>Croatia</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Belgium</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Belgium</v>
      </c>
      <c r="C5" s="512" t="s">
        <v>72</v>
      </c>
      <c r="D5" s="513" t="str">
        <f aca="true">INDIRECT("'"&amp;References!$A$1&amp;"'!"&amp;$D$1&amp;References!$G6)</f>
        <v>Canada</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Canada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Belgium</v>
      </c>
      <c r="C6" s="512" t="s">
        <v>72</v>
      </c>
      <c r="D6" s="513" t="str">
        <f aca="true">INDIRECT("'"&amp;References!$A$1&amp;"'!"&amp;$D$1&amp;References!$G7)</f>
        <v>Morocco</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Morocco</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Croatia</v>
      </c>
      <c r="C7" s="512" t="s">
        <v>72</v>
      </c>
      <c r="D7" s="513" t="str">
        <f aca="true">INDIRECT("'"&amp;References!$A$1&amp;"'!"&amp;$D$1&amp;References!$G8)</f>
        <v>Canada</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Croatia</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Croatia</v>
      </c>
      <c r="C8" s="512" t="s">
        <v>72</v>
      </c>
      <c r="D8" s="513" t="str">
        <f aca="true">INDIRECT("'"&amp;References!$A$1&amp;"'!"&amp;$D$1&amp;References!$G9)</f>
        <v>Belgium</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Canada</v>
      </c>
      <c r="C9" s="512" t="s">
        <v>72</v>
      </c>
      <c r="D9" s="513" t="str">
        <f aca="true">INDIRECT("'"&amp;References!$A$1&amp;"'!"&amp;$D$1&amp;References!$G10)</f>
        <v>Morocco</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Belgium</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Canada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Morocco</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Croatia</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Bel</v>
      </c>
      <c r="F17" s="523" t="str">
        <f aca="false">LEFT($O$5,3)</f>
        <v>Can</v>
      </c>
      <c r="G17" s="523" t="str">
        <f aca="false">LEFT($O$6,3)</f>
        <v>Mor</v>
      </c>
      <c r="H17" s="544" t="str">
        <f aca="false">LEFT($O$7,3)</f>
        <v>Cro</v>
      </c>
      <c r="J17" s="187" t="s">
        <v>1120</v>
      </c>
      <c r="N17" s="174" t="s">
        <v>52</v>
      </c>
      <c r="O17" s="0" t="str">
        <f aca="false">$O$4</f>
        <v>Belgium</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Belgium</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Canada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Canada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Morocco</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Morocco</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Croatia</v>
      </c>
      <c r="P20" s="174"/>
      <c r="Q20" s="174"/>
      <c r="R20" s="174"/>
      <c r="S20" s="174"/>
      <c r="V20" s="174"/>
      <c r="W20" s="174"/>
      <c r="X20" s="185"/>
      <c r="Y20" s="185"/>
    </row>
    <row r="21" customFormat="false" ht="15.75" hidden="false" customHeight="false" outlineLevel="0" collapsed="false">
      <c r="B21" s="553"/>
      <c r="C21" s="185"/>
      <c r="D21" s="554" t="str">
        <f aca="false">$O$7</f>
        <v>Croatia</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Belgium</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Canada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Croatia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Morocco</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Belgium</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Morocco</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Croatia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Canada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Canada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Morocco</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Croatia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Belgium</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T</v>
      </c>
      <c r="D1" s="494" t="str">
        <f aca="false">VLOOKUP($P$1,References!$B$5:$D$12,3,0)</f>
        <v>U</v>
      </c>
      <c r="O1" s="495" t="s">
        <v>550</v>
      </c>
      <c r="P1" s="496" t="s">
        <v>61</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Switzerland</v>
      </c>
      <c r="C4" s="502" t="s">
        <v>72</v>
      </c>
      <c r="D4" s="503" t="str">
        <f aca="true">INDIRECT("'"&amp;References!$A$1&amp;"'!"&amp;$D$1&amp;References!$G5)</f>
        <v>Cameroon</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Brazil</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Brazil</v>
      </c>
      <c r="C5" s="512" t="s">
        <v>72</v>
      </c>
      <c r="D5" s="513" t="str">
        <f aca="true">INDIRECT("'"&amp;References!$A$1&amp;"'!"&amp;$D$1&amp;References!$G6)</f>
        <v>Serbia</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Serbia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Cameroon</v>
      </c>
      <c r="C6" s="512" t="s">
        <v>72</v>
      </c>
      <c r="D6" s="513" t="str">
        <f aca="true">INDIRECT("'"&amp;References!$A$1&amp;"'!"&amp;$D$1&amp;References!$G7)</f>
        <v>Serbia</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Switzerland</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Brazil</v>
      </c>
      <c r="C7" s="512" t="s">
        <v>72</v>
      </c>
      <c r="D7" s="513" t="str">
        <f aca="true">INDIRECT("'"&amp;References!$A$1&amp;"'!"&amp;$D$1&amp;References!$G8)</f>
        <v>Switzerland</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Cameroon</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Serbia</v>
      </c>
      <c r="C8" s="512" t="s">
        <v>72</v>
      </c>
      <c r="D8" s="513" t="str">
        <f aca="true">INDIRECT("'"&amp;References!$A$1&amp;"'!"&amp;$D$1&amp;References!$G9)</f>
        <v>Switzerland</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Cameroon</v>
      </c>
      <c r="C9" s="512" t="s">
        <v>72</v>
      </c>
      <c r="D9" s="513" t="str">
        <f aca="true">INDIRECT("'"&amp;References!$A$1&amp;"'!"&amp;$D$1&amp;References!$G10)</f>
        <v>Brazil</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Brazil</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Serbia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Switzerland</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Cameroon</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Bra</v>
      </c>
      <c r="F17" s="523" t="str">
        <f aca="false">LEFT($O$5,3)</f>
        <v>Ser</v>
      </c>
      <c r="G17" s="523" t="str">
        <f aca="false">LEFT($O$6,3)</f>
        <v>Swi</v>
      </c>
      <c r="H17" s="544" t="str">
        <f aca="false">LEFT($O$7,3)</f>
        <v>Cam</v>
      </c>
      <c r="J17" s="187" t="s">
        <v>1120</v>
      </c>
      <c r="N17" s="174" t="s">
        <v>52</v>
      </c>
      <c r="O17" s="0" t="str">
        <f aca="false">$O$4</f>
        <v>Brazil</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Brazil</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Serbia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Serbia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Switzerland</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Switzerland</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Cameroon</v>
      </c>
      <c r="P20" s="174"/>
      <c r="Q20" s="174"/>
      <c r="R20" s="174"/>
      <c r="S20" s="174"/>
      <c r="V20" s="174"/>
      <c r="W20" s="174"/>
      <c r="X20" s="185"/>
      <c r="Y20" s="185"/>
    </row>
    <row r="21" customFormat="false" ht="15.75" hidden="false" customHeight="false" outlineLevel="0" collapsed="false">
      <c r="B21" s="553"/>
      <c r="C21" s="185"/>
      <c r="D21" s="554" t="str">
        <f aca="false">$O$7</f>
        <v>Cameroon</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Brazil</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Serbia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Cameroon</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Switzerland</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Brazil</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Switzerland</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Cameroon</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Serbia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Serbia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Switzerland</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Cameroon</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Brazil</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4218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3"/>
      <c r="B1" s="494" t="str">
        <f aca="false">VLOOKUP($P$1,References!$B$5:$D$12,2,0)</f>
        <v>W</v>
      </c>
      <c r="D1" s="494" t="str">
        <f aca="false">VLOOKUP($P$1,References!$B$5:$D$12,3,0)</f>
        <v>X</v>
      </c>
      <c r="O1" s="495" t="s">
        <v>550</v>
      </c>
      <c r="P1" s="496" t="s">
        <v>63</v>
      </c>
    </row>
    <row r="2" customFormat="false" ht="8.25" hidden="false" customHeight="true" outlineLevel="0" collapsed="false"/>
    <row r="3" customFormat="false" ht="15" hidden="false" customHeight="false" outlineLevel="0" collapsed="false">
      <c r="B3" s="497" t="s">
        <v>1107</v>
      </c>
      <c r="C3" s="497"/>
      <c r="D3" s="497"/>
      <c r="E3" s="497" t="s">
        <v>1108</v>
      </c>
      <c r="F3" s="497"/>
      <c r="G3" s="497"/>
      <c r="H3" s="497" t="s">
        <v>68</v>
      </c>
      <c r="I3" s="497"/>
      <c r="J3" s="498"/>
      <c r="K3" s="497" t="s">
        <v>1109</v>
      </c>
      <c r="L3" s="499"/>
      <c r="M3" s="498"/>
      <c r="N3" s="498"/>
      <c r="O3" s="500"/>
      <c r="P3" s="497" t="s">
        <v>68</v>
      </c>
      <c r="Q3" s="497" t="s">
        <v>69</v>
      </c>
      <c r="R3" s="497" t="s">
        <v>1110</v>
      </c>
      <c r="S3" s="497" t="s">
        <v>1111</v>
      </c>
      <c r="T3" s="497" t="s">
        <v>1112</v>
      </c>
      <c r="U3" s="497" t="s">
        <v>67</v>
      </c>
      <c r="V3" s="497" t="s">
        <v>1113</v>
      </c>
      <c r="W3" s="497" t="s">
        <v>1082</v>
      </c>
      <c r="X3" s="497" t="s">
        <v>1114</v>
      </c>
      <c r="Y3" s="497" t="s">
        <v>1115</v>
      </c>
    </row>
    <row r="4" customFormat="false" ht="15" hidden="false" customHeight="false" outlineLevel="0" collapsed="false">
      <c r="B4" s="501" t="str">
        <f aca="true">INDIRECT("'"&amp;References!$A$1&amp;"'!"&amp;$B$1&amp;References!$G5)</f>
        <v>Uruguay</v>
      </c>
      <c r="C4" s="502" t="s">
        <v>72</v>
      </c>
      <c r="D4" s="503" t="str">
        <f aca="true">INDIRECT("'"&amp;References!$A$1&amp;"'!"&amp;$D$1&amp;References!$G5)</f>
        <v>South Korea</v>
      </c>
      <c r="E4" s="501" t="str">
        <f aca="true">IF(OR(INDIRECT("'"&amp;References!$A$1&amp;"'!"&amp;$B$1&amp;References!$H5)="",INDIRECT("'"&amp;References!$A$1&amp;"'!"&amp;$D$1&amp;References!$H5)=""),"",INDIRECT("'"&amp;References!$A$1&amp;"'!"&amp;$B$1&amp;References!$H5))</f>
        <v/>
      </c>
      <c r="F4" s="502" t="s">
        <v>72</v>
      </c>
      <c r="G4" s="504"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5"/>
      <c r="M4" s="505"/>
      <c r="N4" s="174" t="s">
        <v>52</v>
      </c>
      <c r="O4" s="506" t="str">
        <f aca="false">VLOOKUP($P$1&amp;ROW($A1),Groups!$B$7:$D$45,3,0)</f>
        <v>Portugal</v>
      </c>
      <c r="P4" s="174" t="n">
        <f aca="false">SUMIF($B$4:$B$9,O4,$H$4:$H$9)+SUMIF($D$4:$D$9,O4,$I$4:$I$9)</f>
        <v>0</v>
      </c>
      <c r="Q4" s="174" t="n">
        <f aca="false">R4-S4</f>
        <v>0</v>
      </c>
      <c r="R4" s="174" t="n">
        <f aca="false">SUMIF($B$4:$B$9,$O4,$E$4:$E$9)+SUMIF($D$4:$D$9,$O4,$G$4:$G$9)</f>
        <v>0</v>
      </c>
      <c r="S4" s="174" t="n">
        <f aca="false">SUMIF($B$4:$B$9,$O4,$G$4:$G$9)+SUMIF($D$4:$D$9,$O4,$E$4:$E$9)</f>
        <v>0</v>
      </c>
      <c r="T4" s="507" t="n">
        <f aca="false">$P4*FactorPts+(GDzero+$Q4)*FactorGD+$R4*FactorFor+$U4*FactorDirC3+$V4*FactorDirC2+$W4*FactorFairPlay+(8-ROW())*FactorRow</f>
        <v>5000.000004</v>
      </c>
      <c r="U4" s="508" t="n">
        <f aca="false">SUMIFS($V$17:$V$34,$O$17:$O$34,$O4)</f>
        <v>0</v>
      </c>
      <c r="V4" s="508" t="n">
        <f aca="false">$I18</f>
        <v>0</v>
      </c>
      <c r="W4" s="509" t="n">
        <f aca="false">SUMIFS(FairPlayPoints1,FairPlayTeams1,O4)+SUMIFS(FairPlayPoints2,FairPlayTeams2,O4)</f>
        <v>0</v>
      </c>
      <c r="X4" s="509" t="b">
        <f aca="false">(P4+S4&gt;0)</f>
        <v>0</v>
      </c>
      <c r="Y4" s="510" t="n">
        <f aca="false">$P4*FactorPts+(GDzero+$Q4)*FactorGD+$R4*FactorFor</f>
        <v>5000</v>
      </c>
    </row>
    <row r="5" customFormat="false" ht="15" hidden="false" customHeight="false" outlineLevel="0" collapsed="false">
      <c r="B5" s="511" t="str">
        <f aca="true">INDIRECT("'"&amp;References!$A$1&amp;"'!"&amp;$B$1&amp;References!$G6)</f>
        <v>Portugal</v>
      </c>
      <c r="C5" s="512" t="s">
        <v>72</v>
      </c>
      <c r="D5" s="513" t="str">
        <f aca="true">INDIRECT("'"&amp;References!$A$1&amp;"'!"&amp;$D$1&amp;References!$G6)</f>
        <v>Ghana</v>
      </c>
      <c r="E5" s="511" t="str">
        <f aca="true">IF(OR(INDIRECT("'"&amp;References!$A$1&amp;"'!"&amp;$B$1&amp;References!$H6)="",INDIRECT("'"&amp;References!$A$1&amp;"'!"&amp;$D$1&amp;References!$H6)=""),"",INDIRECT("'"&amp;References!$A$1&amp;"'!"&amp;$B$1&amp;References!$H6))</f>
        <v/>
      </c>
      <c r="F5" s="512" t="s">
        <v>72</v>
      </c>
      <c r="G5" s="514"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5"/>
      <c r="M5" s="505"/>
      <c r="N5" s="174" t="s">
        <v>53</v>
      </c>
      <c r="O5" s="506" t="str">
        <f aca="false">VLOOKUP($P$1&amp;ROW($A2),Groups!$B$7:$D$45,3,0)</f>
        <v>Ghana</v>
      </c>
      <c r="P5" s="174" t="n">
        <f aca="false">SUMIF($B$4:$B$9,O5,$H$4:$H$9)+SUMIF($D$4:$D$9,O5,$I$4:$I$9)</f>
        <v>0</v>
      </c>
      <c r="Q5" s="174" t="n">
        <f aca="false">R5-S5</f>
        <v>0</v>
      </c>
      <c r="R5" s="174" t="n">
        <f aca="false">SUMIF($B$4:$B$9,$O5,$E$4:$E$9)+SUMIF($D$4:$D$9,$O5,$G$4:$G$9)</f>
        <v>0</v>
      </c>
      <c r="S5" s="174" t="n">
        <f aca="false">SUMIF($B$4:$B$9,$O5,$G$4:$G$9)+SUMIF($D$4:$D$9,$O5,$E$4:$E$9)</f>
        <v>0</v>
      </c>
      <c r="T5" s="507" t="n">
        <f aca="false">$P5*FactorPts+(GDzero+$Q5)*FactorGD+$R5*FactorFor+$U5*FactorDirC3+$V5*FactorDirC2+$W5*FactorFairPlay+(8-ROW())*FactorRow</f>
        <v>5000.000003</v>
      </c>
      <c r="U5" s="508" t="n">
        <f aca="false">SUMIFS($V$17:$V$34,$O$17:$O$34,$O5)</f>
        <v>0</v>
      </c>
      <c r="V5" s="508" t="n">
        <f aca="false">$I19</f>
        <v>0</v>
      </c>
      <c r="W5" s="509" t="n">
        <f aca="false">SUMIFS(FairPlayPoints1,FairPlayTeams1,O5)+SUMIFS(FairPlayPoints2,FairPlayTeams2,O5)</f>
        <v>0</v>
      </c>
      <c r="X5" s="509" t="b">
        <f aca="false">(P5+S5&gt;0)</f>
        <v>0</v>
      </c>
      <c r="Y5" s="510" t="n">
        <f aca="false">$P5*FactorPts+(GDzero+$Q5)*FactorGD+$R5*FactorFor</f>
        <v>5000</v>
      </c>
    </row>
    <row r="6" customFormat="false" ht="15" hidden="false" customHeight="false" outlineLevel="0" collapsed="false">
      <c r="B6" s="511" t="str">
        <f aca="true">INDIRECT("'"&amp;References!$A$1&amp;"'!"&amp;$B$1&amp;References!$G7)</f>
        <v>South Korea</v>
      </c>
      <c r="C6" s="512" t="s">
        <v>72</v>
      </c>
      <c r="D6" s="513" t="str">
        <f aca="true">INDIRECT("'"&amp;References!$A$1&amp;"'!"&amp;$D$1&amp;References!$G7)</f>
        <v>Ghana</v>
      </c>
      <c r="E6" s="511" t="str">
        <f aca="true">IF(OR(INDIRECT("'"&amp;References!$A$1&amp;"'!"&amp;$B$1&amp;References!$H7)="",INDIRECT("'"&amp;References!$A$1&amp;"'!"&amp;$D$1&amp;References!$H7)=""),"",INDIRECT("'"&amp;References!$A$1&amp;"'!"&amp;$B$1&amp;References!$H7))</f>
        <v/>
      </c>
      <c r="F6" s="512" t="s">
        <v>72</v>
      </c>
      <c r="G6" s="514"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5"/>
      <c r="M6" s="505"/>
      <c r="N6" s="174" t="s">
        <v>73</v>
      </c>
      <c r="O6" s="506" t="str">
        <f aca="false">VLOOKUP($P$1&amp;ROW($A3),Groups!$B$7:$D$45,3,0)</f>
        <v>Uruguay</v>
      </c>
      <c r="P6" s="174" t="n">
        <f aca="false">SUMIF($B$4:$B$9,O6,$H$4:$H$9)+SUMIF($D$4:$D$9,O6,$I$4:$I$9)</f>
        <v>0</v>
      </c>
      <c r="Q6" s="174" t="n">
        <f aca="false">R6-S6</f>
        <v>0</v>
      </c>
      <c r="R6" s="174" t="n">
        <f aca="false">SUMIF($B$4:$B$9,$O6,$E$4:$E$9)+SUMIF($D$4:$D$9,$O6,$G$4:$G$9)</f>
        <v>0</v>
      </c>
      <c r="S6" s="174" t="n">
        <f aca="false">SUMIF($B$4:$B$9,$O6,$G$4:$G$9)+SUMIF($D$4:$D$9,$O6,$E$4:$E$9)</f>
        <v>0</v>
      </c>
      <c r="T6" s="507" t="n">
        <f aca="false">$P6*FactorPts+(GDzero+$Q6)*FactorGD+$R6*FactorFor+$U6*FactorDirC3+$V6*FactorDirC2+$W6*FactorFairPlay+(8-ROW())*FactorRow</f>
        <v>5000.000002</v>
      </c>
      <c r="U6" s="508" t="n">
        <f aca="false">SUMIFS($V$17:$V$34,$O$17:$O$34,$O6)</f>
        <v>0</v>
      </c>
      <c r="V6" s="508" t="n">
        <f aca="false">$I20</f>
        <v>0</v>
      </c>
      <c r="W6" s="509" t="n">
        <f aca="false">SUMIFS(FairPlayPoints1,FairPlayTeams1,O6)+SUMIFS(FairPlayPoints2,FairPlayTeams2,O6)</f>
        <v>0</v>
      </c>
      <c r="X6" s="509" t="b">
        <f aca="false">(P6+S6&gt;0)</f>
        <v>0</v>
      </c>
      <c r="Y6" s="510" t="n">
        <f aca="false">$P6*FactorPts+(GDzero+$Q6)*FactorGD+$R6*FactorFor</f>
        <v>5000</v>
      </c>
    </row>
    <row r="7" customFormat="false" ht="15" hidden="false" customHeight="false" outlineLevel="0" collapsed="false">
      <c r="B7" s="511" t="str">
        <f aca="true">INDIRECT("'"&amp;References!$A$1&amp;"'!"&amp;$B$1&amp;References!$G8)</f>
        <v>Portugal</v>
      </c>
      <c r="C7" s="512" t="s">
        <v>72</v>
      </c>
      <c r="D7" s="513" t="str">
        <f aca="true">INDIRECT("'"&amp;References!$A$1&amp;"'!"&amp;$D$1&amp;References!$G8)</f>
        <v>Uruguay</v>
      </c>
      <c r="E7" s="511" t="str">
        <f aca="true">IF(OR(INDIRECT("'"&amp;References!$A$1&amp;"'!"&amp;$B$1&amp;References!$H8)="",INDIRECT("'"&amp;References!$A$1&amp;"'!"&amp;$D$1&amp;References!$H8)=""),"",INDIRECT("'"&amp;References!$A$1&amp;"'!"&amp;$B$1&amp;References!$H8))</f>
        <v/>
      </c>
      <c r="F7" s="512" t="s">
        <v>72</v>
      </c>
      <c r="G7" s="514"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5"/>
      <c r="M7" s="505"/>
      <c r="N7" s="174" t="s">
        <v>74</v>
      </c>
      <c r="O7" s="506" t="str">
        <f aca="false">VLOOKUP($P$1&amp;ROW($A4),Groups!$B$7:$D$45,3,0)</f>
        <v>South Korea</v>
      </c>
      <c r="P7" s="174" t="n">
        <f aca="false">SUMIF($B$4:$B$9,O7,$H$4:$H$9)+SUMIF($D$4:$D$9,O7,$I$4:$I$9)</f>
        <v>0</v>
      </c>
      <c r="Q7" s="174" t="n">
        <f aca="false">R7-S7</f>
        <v>0</v>
      </c>
      <c r="R7" s="174" t="n">
        <f aca="false">SUMIF($B$4:$B$9,$O7,$E$4:$E$9)+SUMIF($D$4:$D$9,$O7,$G$4:$G$9)</f>
        <v>0</v>
      </c>
      <c r="S7" s="174" t="n">
        <f aca="false">SUMIF($B$4:$B$9,$O7,$G$4:$G$9)+SUMIF($D$4:$D$9,$O7,$E$4:$E$9)</f>
        <v>0</v>
      </c>
      <c r="T7" s="507" t="n">
        <f aca="false">$P7*FactorPts+(GDzero+$Q7)*FactorGD+$R7*FactorFor+$U7*FactorDirC3+$V7*FactorDirC2+$W7*FactorFairPlay+(8-ROW())*FactorRow</f>
        <v>5000.000001</v>
      </c>
      <c r="U7" s="508" t="n">
        <f aca="false">SUMIFS($V$17:$V$34,$O$17:$O$34,$O7)</f>
        <v>0</v>
      </c>
      <c r="V7" s="508" t="n">
        <f aca="false">$I21</f>
        <v>0</v>
      </c>
      <c r="W7" s="509" t="n">
        <f aca="false">SUMIFS(FairPlayPoints1,FairPlayTeams1,O7)+SUMIFS(FairPlayPoints2,FairPlayTeams2,O7)</f>
        <v>0</v>
      </c>
      <c r="X7" s="509" t="b">
        <f aca="false">(P7+S7&gt;0)</f>
        <v>0</v>
      </c>
      <c r="Y7" s="510" t="n">
        <f aca="false">$P7*FactorPts+(GDzero+$Q7)*FactorGD+$R7*FactorFor</f>
        <v>5000</v>
      </c>
    </row>
    <row r="8" customFormat="false" ht="15" hidden="false" customHeight="false" outlineLevel="0" collapsed="false">
      <c r="B8" s="511" t="str">
        <f aca="true">INDIRECT("'"&amp;References!$A$1&amp;"'!"&amp;$B$1&amp;References!$G9)</f>
        <v>Ghana</v>
      </c>
      <c r="C8" s="512" t="s">
        <v>72</v>
      </c>
      <c r="D8" s="513" t="str">
        <f aca="true">INDIRECT("'"&amp;References!$A$1&amp;"'!"&amp;$D$1&amp;References!$G9)</f>
        <v>Uruguay</v>
      </c>
      <c r="E8" s="511" t="str">
        <f aca="true">IF(OR(INDIRECT("'"&amp;References!$A$1&amp;"'!"&amp;$B$1&amp;References!$H9)="",INDIRECT("'"&amp;References!$A$1&amp;"'!"&amp;$D$1&amp;References!$H9)=""),"",INDIRECT("'"&amp;References!$A$1&amp;"'!"&amp;$B$1&amp;References!$H9))</f>
        <v/>
      </c>
      <c r="F8" s="512" t="s">
        <v>72</v>
      </c>
      <c r="G8" s="514"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5"/>
      <c r="K8" s="174" t="n">
        <f aca="false">IF(AND($E8&lt;&gt;"",$G8&lt;&gt;""),1,0)</f>
        <v>0</v>
      </c>
      <c r="L8" s="505"/>
      <c r="M8" s="505"/>
      <c r="X8" s="509"/>
    </row>
    <row r="9" customFormat="false" ht="15" hidden="false" customHeight="false" outlineLevel="0" collapsed="false">
      <c r="B9" s="511" t="str">
        <f aca="true">INDIRECT("'"&amp;References!$A$1&amp;"'!"&amp;$B$1&amp;References!$G10)</f>
        <v>South Korea</v>
      </c>
      <c r="C9" s="512" t="s">
        <v>72</v>
      </c>
      <c r="D9" s="513" t="str">
        <f aca="true">INDIRECT("'"&amp;References!$A$1&amp;"'!"&amp;$D$1&amp;References!$G10)</f>
        <v>Portugal</v>
      </c>
      <c r="E9" s="511" t="str">
        <f aca="true">IF(OR(INDIRECT("'"&amp;References!$A$1&amp;"'!"&amp;$B$1&amp;References!$H10)="",INDIRECT("'"&amp;References!$A$1&amp;"'!"&amp;$D$1&amp;References!$H10)=""),"",INDIRECT("'"&amp;References!$A$1&amp;"'!"&amp;$B$1&amp;References!$H10))</f>
        <v/>
      </c>
      <c r="F9" s="512" t="s">
        <v>72</v>
      </c>
      <c r="G9" s="514"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5"/>
      <c r="K9" s="174" t="n">
        <f aca="false">IF(AND($E9&lt;&gt;"",$G9&lt;&gt;""),1,0)</f>
        <v>0</v>
      </c>
      <c r="L9" s="505"/>
      <c r="M9" s="505"/>
    </row>
    <row r="10" customFormat="false" ht="15.75" hidden="false" customHeight="false" outlineLevel="0" collapsed="false">
      <c r="J10" s="469" t="s">
        <v>795</v>
      </c>
      <c r="K10" s="516" t="n">
        <f aca="false">SUM($K$4:$K$9)</f>
        <v>0</v>
      </c>
      <c r="M10" s="505"/>
      <c r="O10" s="517" t="s">
        <v>1116</v>
      </c>
      <c r="P10" s="187" t="s">
        <v>68</v>
      </c>
      <c r="Q10" s="187" t="s">
        <v>69</v>
      </c>
      <c r="R10" s="187" t="s">
        <v>1110</v>
      </c>
      <c r="S10" s="187" t="s">
        <v>1111</v>
      </c>
      <c r="T10" s="187" t="s">
        <v>1112</v>
      </c>
      <c r="V10" s="518" t="s">
        <v>1117</v>
      </c>
      <c r="X10" s="187"/>
      <c r="Y10" s="174"/>
    </row>
    <row r="11" customFormat="false" ht="16.5" hidden="false" customHeight="false" outlineLevel="0" collapsed="false">
      <c r="B11" s="519"/>
      <c r="C11" s="174"/>
      <c r="D11" s="519"/>
      <c r="N11" s="520" t="s">
        <v>52</v>
      </c>
      <c r="O11" s="521" t="str">
        <f aca="false">INDEX(O$4:O$7,MATCH($T11,$T$4:$T$7,0))</f>
        <v>Portugal</v>
      </c>
      <c r="P11" s="522" t="n">
        <f aca="false">INDEX(P$4:P$7,MATCH($T11,$T$4:$T$7,0))</f>
        <v>0</v>
      </c>
      <c r="Q11" s="523" t="n">
        <f aca="false">INDEX(Q$4:Q$7,MATCH($T11,$T$4:$T$7,0))</f>
        <v>0</v>
      </c>
      <c r="R11" s="523" t="n">
        <f aca="false">INDEX(R$4:R$7,MATCH($T11,$T$4:$T$7,0))</f>
        <v>0</v>
      </c>
      <c r="S11" s="523" t="n">
        <f aca="false">INDEX(S$4:S$7,MATCH($T11,$T$4:$T$7,0))</f>
        <v>0</v>
      </c>
      <c r="T11" s="524" t="n">
        <f aca="false">LARGE($T$4:$T$7,ROW(A1))</f>
        <v>5000.000004</v>
      </c>
      <c r="V11" s="525" t="n">
        <f aca="false">IF(AND(OR(TRUNC($T$11,4)=TRUNC($T$12,4),TRUNC($T$11,4)=TRUNC($T$13,4),TRUNC($T$11,4)=TRUNC($T$14,4),TRUNC($T$12,4)=TRUNC($T$13,4),TRUNC($T$12,4)=TRUNC($T$14,4),TRUNC($T$13,4)=TRUNC($T$14,4)),$K$10&gt;0),1,0)</f>
        <v>0</v>
      </c>
      <c r="W11" s="526"/>
      <c r="X11" s="174"/>
      <c r="Y11" s="174"/>
    </row>
    <row r="12" customFormat="false" ht="15.75" hidden="false" customHeight="false" outlineLevel="0" collapsed="false">
      <c r="B12" s="174"/>
      <c r="C12" s="174"/>
      <c r="D12" s="174"/>
      <c r="N12" s="527" t="s">
        <v>53</v>
      </c>
      <c r="O12" s="450" t="str">
        <f aca="false">INDEX(O$4:O$7,MATCH($T12,$T$4:$T$7,0))</f>
        <v>Ghana</v>
      </c>
      <c r="P12" s="528" t="n">
        <f aca="false">INDEX(P$4:P$7,MATCH($T12,$T$4:$T$7,0))</f>
        <v>0</v>
      </c>
      <c r="Q12" s="185" t="n">
        <f aca="false">INDEX(Q$4:Q$7,MATCH($T12,$T$4:$T$7,0))</f>
        <v>0</v>
      </c>
      <c r="R12" s="185" t="n">
        <f aca="false">INDEX(R$4:R$7,MATCH($T12,$T$4:$T$7,0))</f>
        <v>0</v>
      </c>
      <c r="S12" s="185" t="n">
        <f aca="false">INDEX(S$4:S$7,MATCH($T12,$T$4:$T$7,0))</f>
        <v>0</v>
      </c>
      <c r="T12" s="529" t="n">
        <f aca="false">LARGE($T$4:$T$7,ROW(A2))</f>
        <v>5000.000003</v>
      </c>
      <c r="W12" s="526"/>
      <c r="X12" s="174"/>
    </row>
    <row r="13" customFormat="false" ht="15" hidden="false" customHeight="false" outlineLevel="0" collapsed="false">
      <c r="B13" s="174"/>
      <c r="C13" s="174"/>
      <c r="D13" s="278"/>
      <c r="N13" s="527" t="s">
        <v>73</v>
      </c>
      <c r="O13" s="450" t="str">
        <f aca="false">INDEX(O$4:O$7,MATCH($T13,$T$4:$T$7,0))</f>
        <v>Uruguay</v>
      </c>
      <c r="P13" s="528" t="n">
        <f aca="false">INDEX(P$4:P$7,MATCH($T13,$T$4:$T$7,0))</f>
        <v>0</v>
      </c>
      <c r="Q13" s="185" t="n">
        <f aca="false">INDEX(Q$4:Q$7,MATCH($T13,$T$4:$T$7,0))</f>
        <v>0</v>
      </c>
      <c r="R13" s="185" t="n">
        <f aca="false">INDEX(R$4:R$7,MATCH($T13,$T$4:$T$7,0))</f>
        <v>0</v>
      </c>
      <c r="S13" s="185" t="n">
        <f aca="false">INDEX(S$4:S$7,MATCH($T13,$T$4:$T$7,0))</f>
        <v>0</v>
      </c>
      <c r="T13" s="529" t="n">
        <f aca="false">LARGE($T$4:$T$7,ROW(A3))</f>
        <v>5000.000002</v>
      </c>
    </row>
    <row r="14" customFormat="false" ht="15.75" hidden="false" customHeight="false" outlineLevel="0" collapsed="false">
      <c r="B14" s="174"/>
      <c r="C14" s="174"/>
      <c r="D14" s="278"/>
      <c r="F14" s="174"/>
      <c r="G14" s="505"/>
      <c r="N14" s="530" t="s">
        <v>74</v>
      </c>
      <c r="O14" s="531" t="str">
        <f aca="false">INDEX(O$4:O$7,MATCH($T14,$T$4:$T$7,0))</f>
        <v>South Korea</v>
      </c>
      <c r="P14" s="532" t="n">
        <f aca="false">INDEX(P$4:P$7,MATCH($T14,$T$4:$T$7,0))</f>
        <v>0</v>
      </c>
      <c r="Q14" s="533" t="n">
        <f aca="false">INDEX(Q$4:Q$7,MATCH($T14,$T$4:$T$7,0))</f>
        <v>0</v>
      </c>
      <c r="R14" s="533" t="n">
        <f aca="false">INDEX(R$4:R$7,MATCH($T14,$T$4:$T$7,0))</f>
        <v>0</v>
      </c>
      <c r="S14" s="533" t="n">
        <f aca="false">INDEX(S$4:S$7,MATCH($T14,$T$4:$T$7,0))</f>
        <v>0</v>
      </c>
      <c r="T14" s="534" t="n">
        <f aca="false">LARGE($T$4:$T$7,ROW(A4))</f>
        <v>5000.000001</v>
      </c>
    </row>
    <row r="15" customFormat="false" ht="15.75" hidden="false" customHeight="false" outlineLevel="0" collapsed="false">
      <c r="B15" s="174"/>
      <c r="C15" s="174"/>
      <c r="D15" s="535"/>
      <c r="E15" s="450"/>
      <c r="F15" s="185"/>
      <c r="G15" s="536"/>
      <c r="H15" s="450"/>
      <c r="I15" s="450"/>
      <c r="J15" s="450"/>
      <c r="K15" s="450"/>
      <c r="L15" s="537"/>
      <c r="M15" s="187"/>
    </row>
    <row r="16" customFormat="false" ht="15.75" hidden="false" customHeight="false" outlineLevel="0" collapsed="false">
      <c r="B16" s="174"/>
      <c r="C16" s="174"/>
      <c r="D16" s="538"/>
      <c r="E16" s="517" t="s">
        <v>1118</v>
      </c>
      <c r="F16" s="539"/>
      <c r="H16" s="539"/>
      <c r="I16" s="539"/>
      <c r="J16" s="539"/>
      <c r="K16" s="450"/>
      <c r="L16" s="537"/>
      <c r="M16" s="187"/>
      <c r="P16" s="187" t="s">
        <v>68</v>
      </c>
      <c r="Q16" s="187" t="s">
        <v>69</v>
      </c>
      <c r="R16" s="187" t="s">
        <v>1110</v>
      </c>
      <c r="S16" s="187" t="s">
        <v>1111</v>
      </c>
      <c r="T16" s="187" t="s">
        <v>1115</v>
      </c>
      <c r="U16" s="187" t="s">
        <v>1119</v>
      </c>
      <c r="V16" s="517" t="s">
        <v>67</v>
      </c>
      <c r="W16" s="540"/>
      <c r="X16" s="541"/>
      <c r="Y16" s="542"/>
    </row>
    <row r="17" customFormat="false" ht="16.5" hidden="false" customHeight="false" outlineLevel="0" collapsed="false">
      <c r="B17" s="174"/>
      <c r="C17" s="174"/>
      <c r="D17" s="185"/>
      <c r="E17" s="543" t="str">
        <f aca="false">LEFT($O$4,3)</f>
        <v>Por</v>
      </c>
      <c r="F17" s="523" t="str">
        <f aca="false">LEFT($O$5,3)</f>
        <v>Gha</v>
      </c>
      <c r="G17" s="523" t="str">
        <f aca="false">LEFT($O$6,3)</f>
        <v>Uru</v>
      </c>
      <c r="H17" s="544" t="str">
        <f aca="false">LEFT($O$7,3)</f>
        <v>Sou</v>
      </c>
      <c r="J17" s="187" t="s">
        <v>1120</v>
      </c>
      <c r="N17" s="174" t="s">
        <v>52</v>
      </c>
      <c r="O17" s="0" t="str">
        <f aca="false">$O$4</f>
        <v>Portugal</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185"/>
      <c r="Y17" s="185"/>
    </row>
    <row r="18" customFormat="false" ht="15.75" hidden="false" customHeight="false" outlineLevel="0" collapsed="false">
      <c r="B18" s="174"/>
      <c r="C18" s="174"/>
      <c r="D18" s="545" t="str">
        <f aca="false">$O$4</f>
        <v>Portugal</v>
      </c>
      <c r="E18" s="546"/>
      <c r="F18" s="523" t="n">
        <f aca="false">SUMIFS($E$4:$E$9,$B$4:$B$9,$O$4,$D$4:$D$9,$O$5)+SUMIFS($G$4:$G$9,$B$4:$B$9,$O$5,$D$4:$D$9,$O$4)</f>
        <v>0</v>
      </c>
      <c r="G18" s="523" t="n">
        <f aca="false">SUMIFS($E$4:$E$9,$B$4:$B$9,$O$4,$D$4:$D$9,$O$6)+SUMIFS($G$4:$G$9,$B$4:$B$9,$O$6,$D$4:$D$9,$O$4)</f>
        <v>0</v>
      </c>
      <c r="H18" s="544" t="n">
        <f aca="false">SUMIFS($E$4:$E$9,$B$4:$B$9,$O$4,$D$4:$D$9,$O$7)+SUMIFS($G$4:$G$9,$B$4:$B$9,$O$7,$D$4:$D$9,$O$4)</f>
        <v>0</v>
      </c>
      <c r="I18" s="547" t="n">
        <f aca="false">IF(AND($Y$4=$Y$5,$Y$4&lt;&gt;$Y$6,$Y$4&lt;&gt;$Y$7),IF(F18&gt;E19,3,IF(F18=E19,1,0)),0)+IF(AND($Y$4=$Y$6,$Y$4&lt;&gt;$Y$5,$Y$4&lt;&gt;$Y$7),IF(G18&gt;E20,3,IF(G18=E20,1,0)),0)+IF(AND($Y$4=$Y$7,$Y$4&lt;&gt;$Y$5,$Y$4&lt;&gt;$Y$6),IF(H18&gt;E21,3,IF(H18=E21,1,0)),0)</f>
        <v>0</v>
      </c>
      <c r="J18" s="547" t="n">
        <f aca="false">IF($X$4,IF(AND($Y$4=$Y$5,$Y$4&lt;&gt;$Y$6,$Y$4&lt;&gt;$Y$7),1,0)+IF(AND($Y$4=$Y$6,$Y$4&lt;&gt;$Y$5,$Y$4&lt;&gt;$Y$7),1,0)+IF(AND($Y$4=$Y$7,$Y$4&lt;&gt;$Y$5,$Y$4&lt;&gt;$Y$6),1,0),0)</f>
        <v>0</v>
      </c>
      <c r="N18" s="174" t="s">
        <v>53</v>
      </c>
      <c r="O18" s="0" t="str">
        <f aca="false">$O$5</f>
        <v>Ghana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185"/>
      <c r="Y18" s="185"/>
    </row>
    <row r="19" customFormat="false" ht="15" hidden="false" customHeight="false" outlineLevel="0" collapsed="false">
      <c r="B19" s="174"/>
      <c r="C19" s="174"/>
      <c r="D19" s="548" t="str">
        <f aca="false">$O$5</f>
        <v>Ghana</v>
      </c>
      <c r="E19" s="527" t="n">
        <f aca="false">SUMIFS($E$4:$E$9,$B$4:$B$9,$O$5,$D$4:$D$9,$O$4)+SUMIFS($G$4:$G$9,$B$4:$B$9,$O$4,$D$4:$D$9,$O$5)</f>
        <v>0</v>
      </c>
      <c r="F19" s="549"/>
      <c r="G19" s="185" t="n">
        <f aca="false">SUMIFS($E$4:$E$9,$B$4:$B$9,$O$5,$D$4:$D$9,$O$6)+SUMIFS($G$4:$G$9,$B$4:$B$9,$O$6,$D$4:$D$9,$O$5)</f>
        <v>0</v>
      </c>
      <c r="H19" s="550" t="n">
        <f aca="false">SUMIFS($E$4:$E$9,$B$4:$B$9,$O$5,$D$4:$D$9,$O$7)+SUMIFS($G$4:$G$9,$B$4:$B$9,$O$7,$D$4:$D$9,$O$5)</f>
        <v>0</v>
      </c>
      <c r="I19" s="551" t="n">
        <f aca="false">IF(AND($Y$5=$Y$4,$Y$5&lt;&gt;$Y$6,$Y$5&lt;&gt;$Y$7),IF(E19&gt;F18,3,IF(E19=F18,1,0)),0)+IF(AND($Y$5=$Y$6,$Y$5&lt;&gt;$Y$4,$Y$5&lt;&gt;$Y$7),IF(G19&gt;F20,3,IF(G19=F20,1,0)),0)+IF(AND($Y$5=$Y$7,$Y$5&lt;&gt;$Y$4,$Y$5&lt;&gt;$Y$6),IF(H19&gt;F21,3,IF(H19=F21,1,0)),0)</f>
        <v>0</v>
      </c>
      <c r="J19" s="551" t="n">
        <f aca="false">IF($X$5,IF(AND($Y$5=$Y$4,$Y$5&lt;&gt;$Y$6,$Y$5&lt;&gt;$Y$7),1,0)+IF(AND($Y$5=$Y$6,$Y$5&lt;&gt;$Y$4,$Y$5&lt;&gt;$Y$7),1,0)+IF(AND($Y$5=$Y$7,$Y$5&lt;&gt;$Y$4,$Y$5&lt;&gt;$Y$6),1,0),0)</f>
        <v>0</v>
      </c>
      <c r="N19" s="174" t="s">
        <v>73</v>
      </c>
      <c r="O19" s="0" t="str">
        <f aca="false">$O$6</f>
        <v>Uruguay</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185"/>
      <c r="Y19" s="185"/>
    </row>
    <row r="20" customFormat="false" ht="15" hidden="false" customHeight="false" outlineLevel="0" collapsed="false">
      <c r="D20" s="548" t="str">
        <f aca="false">$O$6</f>
        <v>Uruguay</v>
      </c>
      <c r="E20" s="527" t="n">
        <f aca="false">SUMIFS($E$4:$E$9,$B$4:$B$9,$O$6,$D$4:$D$9,$O$4)+SUMIFS($G$4:$G$9,$B$4:$B$9,$O$4,$D$4:$D$9,$O$6)</f>
        <v>0</v>
      </c>
      <c r="F20" s="185" t="n">
        <f aca="false">SUMIFS($E$4:$E$9,$B$4:$B$9,$O$6,$D$4:$D$9,$O$5)+SUMIFS($G$4:$G$9,$B$4:$B$9,$O$5,$D$4:$D$9,$O$6)</f>
        <v>0</v>
      </c>
      <c r="G20" s="549"/>
      <c r="H20" s="550" t="n">
        <f aca="false">SUMIFS($E$4:$E$9,$B$4:$B$9,$O$6,$D$4:$D$9,$O$7)+SUMIFS($G$4:$G$9,$B$4:$B$9,$O$7,$D$4:$D$9,$O$6)</f>
        <v>0</v>
      </c>
      <c r="I20" s="551" t="n">
        <f aca="false">IF(AND($Y$6=$Y$4,$Y$6&lt;&gt;$Y$5,$Y$6&lt;&gt;$Y$7),IF(E20&gt;G18,3,IF(E20=G18,1,0)),0)+IF(AND($Y$6=$Y$5,$Y$6&lt;&gt;$Y$4,$Y$6&lt;&gt;$Y$7),IF(F20&gt;G19,3,IF(F20=G19,1,0)),0)+IF(AND($Y$6=$Y$7,$Y$6&lt;&gt;$Y$4,$Y$6&lt;&gt;$Y$5),IF(H20&gt;G21,3,IF(H20=G21,1,0)),0)</f>
        <v>0</v>
      </c>
      <c r="J20" s="551" t="n">
        <f aca="false">IF($X$6,IF(AND($Y$6=$Y$4,$Y$6&lt;&gt;$Y$5,$Y$6&lt;&gt;$Y$7),1,0)+IF(AND($Y$6=$Y$5,$Y$6&lt;&gt;$Y$4,$Y$6&lt;&gt;$Y$7),1,0)+IF(AND($Y$6=$Y$7,$Y$6&lt;&gt;$Y$4,$Y$6&lt;&gt;$Y$5),1,0),0)</f>
        <v>0</v>
      </c>
      <c r="O20" s="552" t="str">
        <f aca="false">$O$7</f>
        <v>South Korea</v>
      </c>
      <c r="P20" s="174"/>
      <c r="Q20" s="174"/>
      <c r="R20" s="174"/>
      <c r="S20" s="174"/>
      <c r="V20" s="174"/>
      <c r="W20" s="174"/>
      <c r="X20" s="185"/>
      <c r="Y20" s="185"/>
    </row>
    <row r="21" customFormat="false" ht="15.75" hidden="false" customHeight="false" outlineLevel="0" collapsed="false">
      <c r="B21" s="553"/>
      <c r="C21" s="185"/>
      <c r="D21" s="554" t="str">
        <f aca="false">$O$7</f>
        <v>South Korea</v>
      </c>
      <c r="E21" s="530" t="n">
        <f aca="false">SUMIFS($E$4:$E$9,$B$4:$B$9,$O$7,$D$4:$D$9,$O$4)+SUMIFS($G$4:$G$9,$B$4:$B$9,$O$4,$D$4:$D$9,$O$7)</f>
        <v>0</v>
      </c>
      <c r="F21" s="533" t="n">
        <f aca="false">SUMIFS($E$4:$E$9,$B$4:$B$9,$O$7,$D$4:$D$9,$O$5)+SUMIFS($G$4:$G$9,$B$4:$B$9,$O$5,$D$4:$D$9,$O$7)</f>
        <v>0</v>
      </c>
      <c r="G21" s="533" t="n">
        <f aca="false">SUMIFS($E$4:$E$9,$B$4:$B$9,$O$7,$D$4:$D$9,$O$6)+SUMIFS($G$4:$G$9,$B$4:$B$9,$O$6,$D$4:$D$9,$O$7)</f>
        <v>0</v>
      </c>
      <c r="H21" s="555"/>
      <c r="I21" s="556" t="n">
        <f aca="false">IF(AND($Y$7=$Y$4,$Y$7&lt;&gt;$Y$5,$Y$7&lt;&gt;$Y$6),IF(E21&gt;H18,3,IF(E21=H18,1,0)),0)+IF(AND($Y$7=$Y$5,$Y$7&lt;&gt;$Y$4,$Y$7&lt;&gt;$Y$6),IF(F21&gt;H19,3,IF(F21=H19,1,0)),0)+IF(AND($Y$7=$Y$6,$Y$7&lt;&gt;$Y$4,$Y$7&lt;&gt;$Y$5),IF(G21&gt;H20,3,IF(G21=H20,1,0)),0)</f>
        <v>0</v>
      </c>
      <c r="J21" s="556" t="n">
        <f aca="false">IF($X$7,IF(AND($Y$7=$Y$4,$Y$7&lt;&gt;$Y$5,$Y$7&lt;&gt;$Y$6),1,0)+IF(AND($Y$7=$Y$5,$Y$7&lt;&gt;$Y$4,$Y$7&lt;&gt;$Y$6),1,0)+IF(AND($Y$7=$Y$6,$Y$7&lt;&gt;$Y$4,$Y$7&lt;&gt;$Y$5),1,0),0)</f>
        <v>0</v>
      </c>
      <c r="V21" s="174"/>
      <c r="W21" s="174"/>
      <c r="X21" s="185"/>
      <c r="Y21" s="185"/>
    </row>
    <row r="22" customFormat="false" ht="15.75" hidden="false" customHeight="false" outlineLevel="0" collapsed="false">
      <c r="B22" s="553"/>
      <c r="C22" s="185"/>
      <c r="D22" s="450"/>
      <c r="F22" s="174"/>
      <c r="G22" s="505"/>
      <c r="L22" s="187"/>
      <c r="N22" s="174" t="s">
        <v>52</v>
      </c>
      <c r="O22" s="0" t="str">
        <f aca="false">$O$4</f>
        <v>Portugal</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185"/>
      <c r="Y22" s="185"/>
    </row>
    <row r="23" customFormat="false" ht="15" hidden="false" customHeight="false" outlineLevel="0" collapsed="false">
      <c r="B23" s="515"/>
      <c r="C23" s="174"/>
      <c r="N23" s="174" t="s">
        <v>53</v>
      </c>
      <c r="O23" s="0" t="str">
        <f aca="false">$O$5</f>
        <v>Ghana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185"/>
      <c r="Y23" s="185"/>
    </row>
    <row r="24" customFormat="false" ht="15" hidden="false" customHeight="false" outlineLevel="0" collapsed="false">
      <c r="B24" s="515"/>
      <c r="C24" s="174"/>
      <c r="N24" s="174" t="s">
        <v>73</v>
      </c>
      <c r="O24" s="0" t="str">
        <f aca="false">$O$7</f>
        <v>South Korea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185"/>
      <c r="Y24" s="185"/>
    </row>
    <row r="25" customFormat="false" ht="15" hidden="false" customHeight="false" outlineLevel="0" collapsed="false">
      <c r="B25" s="515"/>
      <c r="C25" s="174"/>
      <c r="O25" s="552" t="str">
        <f aca="false">$O$6</f>
        <v>Uruguay</v>
      </c>
      <c r="P25" s="174"/>
      <c r="Q25" s="174"/>
      <c r="R25" s="174"/>
      <c r="S25" s="174"/>
      <c r="V25" s="174"/>
      <c r="W25" s="174"/>
      <c r="X25" s="185"/>
      <c r="Y25" s="185"/>
    </row>
    <row r="26" customFormat="false" ht="15" hidden="false" customHeight="false" outlineLevel="0" collapsed="false">
      <c r="B26" s="515"/>
      <c r="C26" s="174"/>
      <c r="V26" s="174"/>
      <c r="W26" s="174"/>
      <c r="X26" s="185"/>
      <c r="Y26" s="185"/>
    </row>
    <row r="27" customFormat="false" ht="15" hidden="false" customHeight="false" outlineLevel="0" collapsed="false">
      <c r="N27" s="174" t="s">
        <v>52</v>
      </c>
      <c r="O27" s="0" t="str">
        <f aca="false">$O$4</f>
        <v>Portugal</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185"/>
      <c r="Y27" s="185"/>
    </row>
    <row r="28" customFormat="false" ht="15" hidden="false" customHeight="false" outlineLevel="0" collapsed="false">
      <c r="N28" s="174" t="s">
        <v>53</v>
      </c>
      <c r="O28" s="0" t="str">
        <f aca="false">$O$6</f>
        <v>Uruguay</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185"/>
      <c r="Y28" s="185"/>
    </row>
    <row r="29" customFormat="false" ht="15" hidden="false" customHeight="false" outlineLevel="0" collapsed="false">
      <c r="N29" s="174" t="s">
        <v>73</v>
      </c>
      <c r="O29" s="0" t="str">
        <f aca="false">$O$7</f>
        <v>South Korea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185"/>
      <c r="Y29" s="185"/>
    </row>
    <row r="30" customFormat="false" ht="15" hidden="false" customHeight="false" outlineLevel="0" collapsed="false">
      <c r="O30" s="552" t="str">
        <f aca="false">$O$5</f>
        <v>Ghana</v>
      </c>
      <c r="P30" s="174"/>
      <c r="Q30" s="174"/>
      <c r="R30" s="174"/>
      <c r="S30" s="174"/>
      <c r="V30" s="174"/>
      <c r="W30" s="174"/>
      <c r="X30" s="185"/>
      <c r="Y30" s="185"/>
    </row>
    <row r="31" customFormat="false" ht="15" hidden="false" customHeight="false" outlineLevel="0" collapsed="false">
      <c r="V31" s="174"/>
      <c r="W31" s="174"/>
      <c r="X31" s="185"/>
      <c r="Y31" s="185"/>
    </row>
    <row r="32" customFormat="false" ht="15" hidden="false" customHeight="false" outlineLevel="0" collapsed="false">
      <c r="N32" s="174" t="s">
        <v>52</v>
      </c>
      <c r="O32" s="0" t="str">
        <f aca="false">$O$5</f>
        <v>Ghana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185"/>
      <c r="Y32" s="185"/>
    </row>
    <row r="33" customFormat="false" ht="15" hidden="false" customHeight="false" outlineLevel="0" collapsed="false">
      <c r="N33" s="174" t="s">
        <v>53</v>
      </c>
      <c r="O33" s="0" t="str">
        <f aca="false">$O$6</f>
        <v>Uruguay</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185"/>
      <c r="Y33" s="185"/>
    </row>
    <row r="34" customFormat="false" ht="15" hidden="false" customHeight="false" outlineLevel="0" collapsed="false">
      <c r="N34" s="174" t="s">
        <v>73</v>
      </c>
      <c r="O34" s="0" t="str">
        <f aca="false">$O$7</f>
        <v>South Korea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185"/>
      <c r="Y34" s="185"/>
    </row>
    <row r="35" customFormat="false" ht="15" hidden="false" customHeight="false" outlineLevel="0" collapsed="false">
      <c r="O35" s="552" t="str">
        <f aca="false">$O$4</f>
        <v>Portugal</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2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1.53515625" defaultRowHeight="12.8" zeroHeight="false" outlineLevelRow="0" outlineLevelCol="0"/>
  <cols>
    <col collapsed="false" customWidth="false" hidden="false" outlineLevel="0" max="1024" min="1" style="1" width="11.52"/>
  </cols>
  <sheetData>
    <row r="2" customFormat="false" ht="13.8" hidden="false" customHeight="false" outlineLevel="0" collapsed="false">
      <c r="B2" s="560" t="s">
        <v>1121</v>
      </c>
      <c r="C2" s="5"/>
      <c r="D2" s="5"/>
      <c r="E2" s="5"/>
      <c r="F2" s="5"/>
      <c r="G2" s="5"/>
      <c r="H2" s="5"/>
      <c r="I2" s="5"/>
      <c r="J2" s="5"/>
    </row>
    <row r="3" customFormat="false" ht="13.8" hidden="false" customHeight="false" outlineLevel="0" collapsed="false">
      <c r="B3" s="560" t="s">
        <v>1122</v>
      </c>
      <c r="C3" s="5"/>
      <c r="D3" s="5"/>
      <c r="E3" s="5"/>
      <c r="F3" s="5"/>
      <c r="G3" s="5"/>
      <c r="H3" s="5"/>
      <c r="I3" s="5"/>
      <c r="J3" s="5"/>
    </row>
    <row r="4" customFormat="false" ht="13.8" hidden="false" customHeight="false" outlineLevel="0" collapsed="false">
      <c r="B4" s="5" t="s">
        <v>1123</v>
      </c>
      <c r="C4" s="5"/>
      <c r="D4" s="5"/>
      <c r="E4" s="5"/>
      <c r="F4" s="5"/>
      <c r="G4" s="5"/>
      <c r="H4" s="5"/>
      <c r="I4" s="5"/>
      <c r="J4" s="5"/>
    </row>
    <row r="5" customFormat="false" ht="13.8" hidden="false" customHeight="false" outlineLevel="0" collapsed="false">
      <c r="B5" s="5"/>
      <c r="C5" s="5"/>
      <c r="D5" s="5"/>
      <c r="E5" s="5"/>
      <c r="F5" s="5"/>
      <c r="G5" s="5"/>
      <c r="H5" s="5"/>
      <c r="I5" s="5"/>
      <c r="J5" s="5"/>
    </row>
    <row r="6" customFormat="false" ht="13.8" hidden="false" customHeight="false" outlineLevel="0" collapsed="false">
      <c r="B6" s="5" t="s">
        <v>1124</v>
      </c>
      <c r="C6" s="5"/>
      <c r="D6" s="5"/>
      <c r="E6" s="5"/>
      <c r="F6" s="5"/>
      <c r="G6" s="5"/>
      <c r="H6" s="5"/>
      <c r="I6" s="5"/>
      <c r="J6" s="5"/>
    </row>
    <row r="7" customFormat="false" ht="13.8" hidden="false" customHeight="false" outlineLevel="0" collapsed="false">
      <c r="B7" s="5" t="s">
        <v>1125</v>
      </c>
      <c r="C7" s="5"/>
      <c r="D7" s="5"/>
      <c r="E7" s="5"/>
      <c r="F7" s="5"/>
      <c r="G7" s="5"/>
      <c r="H7" s="5"/>
      <c r="I7" s="5"/>
      <c r="J7" s="5"/>
    </row>
    <row r="8" customFormat="false" ht="13.8" hidden="false" customHeight="false" outlineLevel="0" collapsed="false">
      <c r="B8" s="5" t="s">
        <v>1126</v>
      </c>
      <c r="C8" s="5"/>
      <c r="D8" s="5"/>
      <c r="E8" s="5"/>
      <c r="F8" s="5"/>
      <c r="G8" s="5"/>
      <c r="H8" s="5"/>
      <c r="I8" s="5"/>
      <c r="J8" s="5"/>
    </row>
    <row r="9" customFormat="false" ht="13.8" hidden="false" customHeight="false" outlineLevel="0" collapsed="false">
      <c r="B9" s="5" t="s">
        <v>1127</v>
      </c>
      <c r="C9" s="5"/>
      <c r="D9" s="5"/>
      <c r="E9" s="5"/>
      <c r="F9" s="5"/>
      <c r="G9" s="5"/>
      <c r="H9" s="5"/>
      <c r="I9" s="5"/>
      <c r="J9" s="5"/>
    </row>
    <row r="10" customFormat="false" ht="12.8" hidden="false" customHeight="false" outlineLevel="0" collapsed="false">
      <c r="B10" s="5" t="s">
        <v>1128</v>
      </c>
      <c r="C10" s="5"/>
      <c r="D10" s="5"/>
      <c r="E10" s="5"/>
      <c r="F10" s="5"/>
      <c r="G10" s="5"/>
      <c r="H10" s="5"/>
      <c r="I10" s="5"/>
      <c r="J10" s="5"/>
    </row>
    <row r="11" customFormat="false" ht="12.8" hidden="false" customHeight="false" outlineLevel="0" collapsed="false">
      <c r="B11" s="5"/>
      <c r="C11" s="5"/>
      <c r="D11" s="5"/>
      <c r="E11" s="5"/>
      <c r="F11" s="5"/>
      <c r="G11" s="5"/>
      <c r="H11" s="5"/>
      <c r="I11" s="5"/>
      <c r="J11" s="5"/>
    </row>
    <row r="12" customFormat="false" ht="12.8" hidden="false" customHeight="false" outlineLevel="0" collapsed="false">
      <c r="B12" s="5" t="s">
        <v>1129</v>
      </c>
      <c r="C12" s="5"/>
      <c r="D12" s="5"/>
      <c r="E12" s="5"/>
      <c r="F12" s="5"/>
      <c r="G12" s="5"/>
      <c r="H12" s="5"/>
      <c r="I12" s="5"/>
      <c r="J12" s="5"/>
    </row>
    <row r="13" customFormat="false" ht="12.8" hidden="false" customHeight="false" outlineLevel="0" collapsed="false">
      <c r="B13" s="5"/>
      <c r="C13" s="5"/>
      <c r="D13" s="5"/>
      <c r="E13" s="5"/>
      <c r="F13" s="5"/>
      <c r="G13" s="5"/>
      <c r="H13" s="5"/>
      <c r="I13" s="5"/>
      <c r="J13" s="5"/>
    </row>
    <row r="14" customFormat="false" ht="13.8" hidden="false" customHeight="false" outlineLevel="0" collapsed="false">
      <c r="B14" s="560" t="s">
        <v>1130</v>
      </c>
      <c r="C14" s="5"/>
      <c r="D14" s="5"/>
      <c r="E14" s="5"/>
      <c r="F14" s="5"/>
      <c r="G14" s="5"/>
      <c r="H14" s="5"/>
      <c r="I14" s="5"/>
      <c r="J14" s="5"/>
    </row>
    <row r="15" customFormat="false" ht="12.8" hidden="false" customHeight="false" outlineLevel="0" collapsed="false">
      <c r="B15" s="5" t="s">
        <v>1131</v>
      </c>
      <c r="C15" s="5"/>
      <c r="D15" s="5"/>
      <c r="E15" s="5"/>
      <c r="F15" s="5"/>
      <c r="G15" s="5"/>
      <c r="H15" s="5"/>
      <c r="I15" s="5"/>
      <c r="J15" s="5"/>
    </row>
    <row r="16" customFormat="false" ht="12.8" hidden="false" customHeight="false" outlineLevel="0" collapsed="false">
      <c r="B16" s="5" t="s">
        <v>1132</v>
      </c>
      <c r="C16" s="5"/>
      <c r="D16" s="5"/>
      <c r="E16" s="5"/>
      <c r="F16" s="5"/>
      <c r="G16" s="5"/>
      <c r="H16" s="5"/>
      <c r="I16" s="5"/>
      <c r="J16" s="5"/>
    </row>
    <row r="17" customFormat="false" ht="12.8" hidden="false" customHeight="false" outlineLevel="0" collapsed="false">
      <c r="B17" s="5"/>
      <c r="C17" s="5"/>
      <c r="D17" s="5"/>
      <c r="E17" s="5"/>
      <c r="F17" s="5"/>
      <c r="G17" s="5"/>
      <c r="H17" s="5"/>
      <c r="I17" s="5"/>
      <c r="J17" s="5"/>
    </row>
    <row r="18" customFormat="false" ht="12.8" hidden="false" customHeight="false" outlineLevel="0" collapsed="false">
      <c r="B18" s="5" t="s">
        <v>1124</v>
      </c>
      <c r="C18" s="5"/>
      <c r="D18" s="5"/>
      <c r="E18" s="5"/>
      <c r="F18" s="5"/>
      <c r="G18" s="5"/>
      <c r="H18" s="5"/>
      <c r="I18" s="5"/>
      <c r="J18" s="5"/>
    </row>
    <row r="19" customFormat="false" ht="12.8" hidden="false" customHeight="false" outlineLevel="0" collapsed="false">
      <c r="B19" s="5" t="s">
        <v>1133</v>
      </c>
      <c r="C19" s="5"/>
      <c r="D19" s="5"/>
      <c r="E19" s="5"/>
      <c r="F19" s="5"/>
      <c r="G19" s="5"/>
      <c r="H19" s="5"/>
      <c r="I19" s="5"/>
      <c r="J19" s="5"/>
    </row>
    <row r="20" customFormat="false" ht="12.8" hidden="false" customHeight="false" outlineLevel="0" collapsed="false">
      <c r="B20" s="5" t="s">
        <v>1134</v>
      </c>
      <c r="C20" s="5"/>
      <c r="D20" s="5"/>
      <c r="E20" s="5"/>
      <c r="F20" s="5"/>
      <c r="G20" s="5"/>
      <c r="H20" s="5"/>
      <c r="I20" s="5"/>
      <c r="J20" s="5"/>
    </row>
    <row r="21" customFormat="false" ht="12.8" hidden="false" customHeight="false" outlineLevel="0" collapsed="false">
      <c r="B21" s="5" t="s">
        <v>1135</v>
      </c>
      <c r="C21" s="5"/>
      <c r="D21" s="5"/>
      <c r="E21" s="5"/>
      <c r="F21" s="5"/>
      <c r="G21" s="5"/>
      <c r="H21" s="5"/>
      <c r="I21" s="5"/>
      <c r="J21" s="5"/>
    </row>
    <row r="22" customFormat="false" ht="12.8" hidden="false" customHeight="false" outlineLevel="0" collapsed="false">
      <c r="B22" s="5" t="s">
        <v>1136</v>
      </c>
      <c r="C22" s="5"/>
      <c r="D22" s="5"/>
      <c r="E22" s="5"/>
      <c r="F22" s="5"/>
      <c r="G22" s="5"/>
      <c r="H22" s="5"/>
      <c r="I22" s="5"/>
      <c r="J22" s="5"/>
    </row>
    <row r="23" customFormat="false" ht="12.8" hidden="false" customHeight="false" outlineLevel="0" collapsed="false">
      <c r="B23" s="5" t="s">
        <v>1137</v>
      </c>
      <c r="C23" s="5"/>
      <c r="D23" s="5"/>
      <c r="E23" s="5"/>
      <c r="F23" s="5"/>
      <c r="G23" s="5"/>
      <c r="H23" s="5"/>
      <c r="I23" s="5"/>
      <c r="J23" s="5"/>
    </row>
    <row r="24" customFormat="false" ht="12.8" hidden="false" customHeight="false" outlineLevel="0" collapsed="false">
      <c r="B24" s="5"/>
      <c r="C24" s="5"/>
      <c r="D24" s="5"/>
      <c r="E24" s="5"/>
      <c r="F24" s="5"/>
      <c r="G24" s="5"/>
      <c r="H24" s="5"/>
      <c r="I24" s="5"/>
      <c r="J24" s="5"/>
    </row>
    <row r="25" customFormat="false" ht="12.8" hidden="false" customHeight="false" outlineLevel="0" collapsed="false">
      <c r="B25" s="5" t="s">
        <v>1138</v>
      </c>
      <c r="C25" s="5"/>
      <c r="D25" s="5"/>
      <c r="E25" s="5"/>
      <c r="F25" s="5"/>
      <c r="G25" s="5"/>
      <c r="H25" s="5"/>
      <c r="I25" s="5"/>
      <c r="J2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en-US</dc:language>
  <cp:lastModifiedBy/>
  <dcterms:modified xsi:type="dcterms:W3CDTF">2022-11-10T09:30:45Z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