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lvizETRM\aaDev_WorkInProgress\QA\Regression\Bin\Verification\"/>
    </mc:Choice>
  </mc:AlternateContent>
  <bookViews>
    <workbookView xWindow="0" yWindow="0" windowWidth="20805" windowHeight="135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W24" i="1"/>
  <c r="X24" i="1" s="1"/>
  <c r="U24" i="1"/>
  <c r="R24" i="1"/>
  <c r="S24" i="1" s="1"/>
  <c r="T24" i="1"/>
  <c r="AL24" i="1"/>
  <c r="AM24" i="1"/>
  <c r="AK24" i="1"/>
  <c r="N16" i="1"/>
  <c r="R23" i="1"/>
  <c r="S23" i="1" s="1"/>
  <c r="W23" i="1"/>
  <c r="X23" i="1" s="1"/>
  <c r="U23" i="1"/>
  <c r="T23" i="1"/>
  <c r="AM23" i="1"/>
  <c r="AL23" i="1"/>
  <c r="AK23" i="1"/>
  <c r="N15" i="1"/>
  <c r="Z3" i="1"/>
  <c r="Z4" i="1"/>
  <c r="Z5" i="1"/>
  <c r="Z6" i="1"/>
  <c r="Z7" i="1"/>
  <c r="Z8" i="1"/>
  <c r="Z2" i="1"/>
  <c r="Y4" i="1"/>
  <c r="Y5" i="1"/>
  <c r="Y6" i="1"/>
  <c r="Y7" i="1"/>
  <c r="Y8" i="1"/>
  <c r="Y3" i="1"/>
  <c r="Y2" i="1"/>
  <c r="AA9" i="1"/>
  <c r="Q22" i="1" s="1"/>
  <c r="S22" i="1" s="1"/>
  <c r="W22" i="1"/>
  <c r="T22" i="1"/>
  <c r="R22" i="1"/>
  <c r="R20" i="1"/>
  <c r="U22" i="1"/>
  <c r="AB22" i="1"/>
  <c r="AM22" i="1"/>
  <c r="AL22" i="1"/>
  <c r="AK22" i="1"/>
  <c r="AL20" i="1"/>
  <c r="W21" i="1"/>
  <c r="U21" i="1"/>
  <c r="R21" i="1"/>
  <c r="T21" i="1"/>
  <c r="V21" i="1"/>
  <c r="Q21" i="1"/>
  <c r="AD21" i="1"/>
  <c r="AM21" i="1"/>
  <c r="S21" i="1" l="1"/>
  <c r="X21" i="1"/>
  <c r="V22" i="1"/>
  <c r="X22" i="1" s="1"/>
  <c r="Y19" i="1"/>
  <c r="T19" i="1"/>
  <c r="V19" i="1"/>
  <c r="Q19" i="1"/>
  <c r="T9" i="1"/>
  <c r="T8" i="1"/>
  <c r="T5" i="1"/>
  <c r="T4" i="1"/>
  <c r="T3" i="1"/>
  <c r="T2" i="1"/>
  <c r="BB29" i="1"/>
  <c r="BC29" i="1"/>
  <c r="BD29" i="1"/>
  <c r="BG29" i="1"/>
  <c r="BA29" i="1"/>
  <c r="BB5" i="1"/>
  <c r="BC5" i="1"/>
  <c r="BD5" i="1"/>
  <c r="BB6" i="1"/>
  <c r="BC6" i="1"/>
  <c r="BD6" i="1"/>
  <c r="BB7" i="1"/>
  <c r="BC7" i="1"/>
  <c r="BD7" i="1"/>
  <c r="BB8" i="1"/>
  <c r="BC8" i="1"/>
  <c r="BD8" i="1"/>
  <c r="BB9" i="1"/>
  <c r="BC9" i="1"/>
  <c r="BD9" i="1"/>
  <c r="BB10" i="1"/>
  <c r="BC10" i="1"/>
  <c r="BD10" i="1"/>
  <c r="BB11" i="1"/>
  <c r="BC11" i="1"/>
  <c r="BD11" i="1"/>
  <c r="BB12" i="1"/>
  <c r="BC12" i="1"/>
  <c r="BD12" i="1"/>
  <c r="BB13" i="1"/>
  <c r="BC13" i="1"/>
  <c r="BD13" i="1"/>
  <c r="BB14" i="1"/>
  <c r="BC14" i="1"/>
  <c r="BD14" i="1"/>
  <c r="BB15" i="1"/>
  <c r="BC15" i="1"/>
  <c r="BD15" i="1"/>
  <c r="BB16" i="1"/>
  <c r="BC16" i="1"/>
  <c r="BD16" i="1"/>
  <c r="BB17" i="1"/>
  <c r="BC17" i="1"/>
  <c r="BD17" i="1"/>
  <c r="BB18" i="1"/>
  <c r="BC18" i="1"/>
  <c r="BD18" i="1"/>
  <c r="BB19" i="1"/>
  <c r="BC19" i="1"/>
  <c r="BD19" i="1"/>
  <c r="BB20" i="1"/>
  <c r="BC20" i="1"/>
  <c r="BD20" i="1"/>
  <c r="BB21" i="1"/>
  <c r="BC21" i="1"/>
  <c r="BD21" i="1"/>
  <c r="BB22" i="1"/>
  <c r="BC22" i="1"/>
  <c r="BD22" i="1"/>
  <c r="BB23" i="1"/>
  <c r="BC23" i="1"/>
  <c r="BD23" i="1"/>
  <c r="BB24" i="1"/>
  <c r="BC24" i="1"/>
  <c r="BD24" i="1"/>
  <c r="BB25" i="1"/>
  <c r="BC25" i="1"/>
  <c r="BD25" i="1"/>
  <c r="BB26" i="1"/>
  <c r="BC26" i="1"/>
  <c r="BD26" i="1"/>
  <c r="BB27" i="1"/>
  <c r="BC27" i="1"/>
  <c r="BD27" i="1"/>
  <c r="BD4" i="1"/>
  <c r="BC4" i="1"/>
  <c r="BB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4" i="1"/>
  <c r="AL21" i="1"/>
  <c r="AN21" i="1"/>
  <c r="AM20" i="1"/>
  <c r="X19" i="1" l="1"/>
  <c r="S9" i="1"/>
  <c r="S3" i="1"/>
  <c r="S4" i="1"/>
  <c r="S5" i="1"/>
  <c r="S8" i="1"/>
  <c r="S2" i="1"/>
  <c r="W19" i="1"/>
  <c r="U19" i="1"/>
  <c r="R19" i="1"/>
  <c r="S19" i="1" s="1"/>
  <c r="AL19" i="1"/>
  <c r="AM19" i="1"/>
  <c r="Z20" i="1"/>
  <c r="Y20" i="1"/>
  <c r="T20" i="1"/>
  <c r="S20" i="1"/>
  <c r="V20" i="1"/>
  <c r="X20" i="1" s="1"/>
  <c r="Q20" i="1"/>
  <c r="Q9" i="1"/>
  <c r="Q3" i="1"/>
  <c r="Q4" i="1"/>
  <c r="Q5" i="1"/>
  <c r="Q6" i="1"/>
  <c r="Q7" i="1"/>
  <c r="Q8" i="1"/>
  <c r="Q2" i="1"/>
  <c r="O9" i="1"/>
  <c r="W20" i="1"/>
  <c r="U20" i="1"/>
  <c r="AK20" i="1"/>
</calcChain>
</file>

<file path=xl/sharedStrings.xml><?xml version="1.0" encoding="utf-8"?>
<sst xmlns="http://schemas.openxmlformats.org/spreadsheetml/2006/main" count="128" uniqueCount="81">
  <si>
    <t>Peak</t>
  </si>
  <si>
    <t>Financial</t>
  </si>
  <si>
    <t>NordPool System Price</t>
  </si>
  <si>
    <t>M11-11</t>
  </si>
  <si>
    <t>M11-11 - Peak</t>
  </si>
  <si>
    <t>ECS Curve</t>
  </si>
  <si>
    <t>CET</t>
  </si>
  <si>
    <t>NOK</t>
  </si>
  <si>
    <t>Viz</t>
  </si>
  <si>
    <t>Electricity</t>
  </si>
  <si>
    <t>Forward</t>
  </si>
  <si>
    <t>Active</t>
  </si>
  <si>
    <t>Base</t>
  </si>
  <si>
    <t>M11-11 - Base</t>
  </si>
  <si>
    <t>EUR</t>
  </si>
  <si>
    <t>NordPool</t>
  </si>
  <si>
    <t>Asian</t>
  </si>
  <si>
    <t>ASIC/A M11-11 335.00 - Base</t>
  </si>
  <si>
    <t>ICE TTF</t>
  </si>
  <si>
    <t>CET 06-06</t>
  </si>
  <si>
    <t>Gas</t>
  </si>
  <si>
    <t>Other Period</t>
  </si>
  <si>
    <t xml:space="preserve">Other Period - </t>
  </si>
  <si>
    <t>USD</t>
  </si>
  <si>
    <t>Currency</t>
  </si>
  <si>
    <t>Currency Forward</t>
  </si>
  <si>
    <t>USDEUR 07-Dec-11</t>
  </si>
  <si>
    <t>Physical</t>
  </si>
  <si>
    <t>Elcertificate</t>
  </si>
  <si>
    <t>SEK</t>
  </si>
  <si>
    <t>ECS Mar-12</t>
  </si>
  <si>
    <t>Real. P/L</t>
  </si>
  <si>
    <t>Unreal. P/L</t>
  </si>
  <si>
    <t>Net P/L</t>
  </si>
  <si>
    <t>Gross value</t>
  </si>
  <si>
    <t>MtM value</t>
  </si>
  <si>
    <t>CFs to Date</t>
  </si>
  <si>
    <t>Fwd CFs</t>
  </si>
  <si>
    <t>Net CFs</t>
  </si>
  <si>
    <t>Exp MW Yr</t>
  </si>
  <si>
    <t>Exp MWh</t>
  </si>
  <si>
    <t>Qty.</t>
  </si>
  <si>
    <t>Used Vol</t>
  </si>
  <si>
    <t>Hours</t>
  </si>
  <si>
    <t>Delta Qty.</t>
  </si>
  <si>
    <t>Strike</t>
  </si>
  <si>
    <t>U. price</t>
  </si>
  <si>
    <t>Volat.</t>
  </si>
  <si>
    <t>Delta</t>
  </si>
  <si>
    <t>Gamma</t>
  </si>
  <si>
    <t>Theta</t>
  </si>
  <si>
    <t>Vega</t>
  </si>
  <si>
    <t>Rho</t>
  </si>
  <si>
    <t>Bk. price</t>
  </si>
  <si>
    <t>Bk. value</t>
  </si>
  <si>
    <t>Mkt. price</t>
  </si>
  <si>
    <t>Forward period</t>
  </si>
  <si>
    <t>Trans id</t>
  </si>
  <si>
    <t>Date</t>
  </si>
  <si>
    <t>Hist EURNOK exchange rate</t>
  </si>
  <si>
    <t>NPS Base Spot price</t>
  </si>
  <si>
    <t>NPS Peak Spot price</t>
  </si>
  <si>
    <t>NPS Base NOK spot price</t>
  </si>
  <si>
    <t>NPS Peak NOK Spot price</t>
  </si>
  <si>
    <t>Hour code</t>
  </si>
  <si>
    <t>Hourly NOK spot prices</t>
  </si>
  <si>
    <t>Hourly EUR spot prices</t>
  </si>
  <si>
    <t>Peak average</t>
  </si>
  <si>
    <t>NPS Peak NOK Spot price from hour prices</t>
  </si>
  <si>
    <t>TTF NOK spot price</t>
  </si>
  <si>
    <t>Gas hours</t>
  </si>
  <si>
    <t>TTF gas day spot price</t>
  </si>
  <si>
    <t>TTF CET day spot price</t>
  </si>
  <si>
    <t>Instrument</t>
  </si>
  <si>
    <t>ASIC/A M11-11 335.00</t>
  </si>
  <si>
    <t>Nov-11 Gas</t>
  </si>
  <si>
    <t>Forward exchange rate contract curr to NOK</t>
  </si>
  <si>
    <t>Fwd price curve curr</t>
  </si>
  <si>
    <t>Book price contract curr</t>
  </si>
  <si>
    <t>Nov-11</t>
  </si>
  <si>
    <t>Values in green are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</si>
</sst>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d/mmm/yy;@"/>
    <numFmt numFmtId="165" formatCode="dd\-mmm\-yy"/>
    <numFmt numFmtId="166" formatCode="0.00000000"/>
    <numFmt numFmtId="171" formatCode="0.000"/>
    <numFmt numFmtId="172" formatCode="0.00000"/>
    <numFmt numFmtId="177" formatCode="dd/mmm/yy\ hh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49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/>
    <xf numFmtId="0" fontId="0" fillId="0" borderId="0" xfId="0"/>
    <xf numFmtId="49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/>
    <xf numFmtId="49" fontId="1" fillId="0" borderId="0" xfId="0" applyNumberFormat="1" applyFont="1"/>
    <xf numFmtId="0" fontId="0" fillId="0" borderId="0" xfId="0"/>
    <xf numFmtId="49" fontId="1" fillId="0" borderId="0" xfId="0" applyNumberFormat="1" applyFont="1"/>
    <xf numFmtId="0" fontId="0" fillId="2" borderId="0" xfId="0" applyFill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5" fontId="0" fillId="0" borderId="0" xfId="0" applyNumberFormat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/>
    <xf numFmtId="166" fontId="0" fillId="0" borderId="0" xfId="0" applyNumberFormat="1"/>
    <xf numFmtId="0" fontId="0" fillId="0" borderId="0" xfId="0"/>
    <xf numFmtId="49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2" fontId="0" fillId="0" borderId="0" xfId="0" applyNumberFormat="1"/>
    <xf numFmtId="0" fontId="2" fillId="2" borderId="0" xfId="0" applyFont="1" applyFill="1"/>
    <xf numFmtId="49" fontId="1" fillId="0" borderId="0" xfId="0" applyNumberFormat="1" applyFont="1" applyFill="1"/>
    <xf numFmtId="171" fontId="0" fillId="2" borderId="0" xfId="0" applyNumberFormat="1" applyFill="1"/>
    <xf numFmtId="0" fontId="0" fillId="0" borderId="0" xfId="0"/>
    <xf numFmtId="172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1" fillId="0" borderId="0" xfId="0" applyFont="1" applyAlignment="1">
      <alignment horizontal="center" vertical="center" wrapText="1"/>
    </xf>
    <xf numFmtId="15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0" xfId="0" quotePrefix="1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tabSelected="1" workbookViewId="0">
      <selection activeCell="D3" sqref="D3"/>
    </sheetView>
  </sheetViews>
  <sheetFormatPr defaultRowHeight="15" x14ac:dyDescent="0.25"/>
  <cols>
    <col min="5" max="5" width="14.140625" bestFit="1" customWidth="1"/>
    <col min="12" max="12" width="26.28515625" bestFit="1" customWidth="1"/>
    <col min="13" max="13" width="11.28515625" customWidth="1"/>
    <col min="14" max="14" width="15.28515625" customWidth="1"/>
    <col min="15" max="15" width="40.28515625" bestFit="1" customWidth="1"/>
    <col min="16" max="16" width="22" customWidth="1"/>
    <col min="17" max="17" width="23.140625" bestFit="1" customWidth="1"/>
    <col min="18" max="18" width="18.85546875" bestFit="1" customWidth="1"/>
    <col min="19" max="19" width="23.42578125" bestFit="1" customWidth="1"/>
    <col min="20" max="20" width="12.5703125" bestFit="1" customWidth="1"/>
    <col min="21" max="21" width="12.7109375" bestFit="1" customWidth="1"/>
    <col min="24" max="25" width="20.5703125" bestFit="1" customWidth="1"/>
    <col min="26" max="26" width="17.85546875" bestFit="1" customWidth="1"/>
    <col min="27" max="27" width="13.42578125" customWidth="1"/>
    <col min="28" max="28" width="12.5703125" bestFit="1" customWidth="1"/>
    <col min="38" max="38" width="12.7109375" bestFit="1" customWidth="1"/>
    <col min="39" max="39" width="9.85546875" customWidth="1"/>
    <col min="40" max="40" width="9.7109375" customWidth="1"/>
    <col min="45" max="45" width="9.85546875" customWidth="1"/>
    <col min="46" max="51" width="10" bestFit="1" customWidth="1"/>
    <col min="53" max="53" width="9.85546875" customWidth="1"/>
    <col min="54" max="59" width="10" bestFit="1" customWidth="1"/>
  </cols>
  <sheetData>
    <row r="1" spans="1:59" s="19" customFormat="1" x14ac:dyDescent="0.25">
      <c r="M1" s="21"/>
      <c r="N1" s="44" t="s">
        <v>58</v>
      </c>
      <c r="O1" s="43" t="s">
        <v>59</v>
      </c>
      <c r="P1" s="43" t="s">
        <v>60</v>
      </c>
      <c r="Q1" s="43" t="s">
        <v>62</v>
      </c>
      <c r="R1" s="43" t="s">
        <v>61</v>
      </c>
      <c r="S1" s="43" t="s">
        <v>63</v>
      </c>
      <c r="T1" s="43" t="s">
        <v>68</v>
      </c>
      <c r="U1" s="43"/>
      <c r="V1" s="43"/>
      <c r="W1" s="43"/>
      <c r="X1" s="43" t="s">
        <v>71</v>
      </c>
      <c r="Y1" s="43" t="s">
        <v>72</v>
      </c>
      <c r="Z1" s="43" t="s">
        <v>69</v>
      </c>
      <c r="AA1" s="43" t="s">
        <v>70</v>
      </c>
    </row>
    <row r="2" spans="1:59" s="19" customFormat="1" x14ac:dyDescent="0.25">
      <c r="M2" s="20"/>
      <c r="N2" s="22">
        <v>40848</v>
      </c>
      <c r="O2" s="19">
        <v>7.7454217666438998</v>
      </c>
      <c r="P2" s="23">
        <v>40.159999999999997</v>
      </c>
      <c r="Q2" s="19">
        <f t="shared" ref="Q2:Q8" si="0">P2*O2</f>
        <v>311.056138148419</v>
      </c>
      <c r="R2" s="26">
        <v>42.56</v>
      </c>
      <c r="S2" s="23">
        <f>R2*O2</f>
        <v>329.64515038836441</v>
      </c>
      <c r="T2" s="37">
        <f>BA29</f>
        <v>329.62</v>
      </c>
      <c r="U2" s="37"/>
      <c r="V2" s="37"/>
      <c r="W2" s="37"/>
      <c r="X2" s="41">
        <v>23.163</v>
      </c>
      <c r="Y2" s="19">
        <f>X2</f>
        <v>23.163</v>
      </c>
      <c r="Z2" s="42">
        <f>Y2*O2</f>
        <v>179.40720438077264</v>
      </c>
      <c r="AA2" s="41">
        <v>18</v>
      </c>
      <c r="AB2" s="42"/>
      <c r="AS2" s="19" t="s">
        <v>66</v>
      </c>
      <c r="BA2" s="19" t="s">
        <v>65</v>
      </c>
    </row>
    <row r="3" spans="1:59" s="19" customFormat="1" x14ac:dyDescent="0.25">
      <c r="A3" s="18" t="s">
        <v>80</v>
      </c>
      <c r="B3" s="18"/>
      <c r="C3" s="18"/>
      <c r="M3" s="20"/>
      <c r="N3" s="22">
        <v>40849</v>
      </c>
      <c r="O3" s="19">
        <v>7.7655349075475604</v>
      </c>
      <c r="P3" s="23">
        <v>40.94</v>
      </c>
      <c r="Q3" s="23">
        <f t="shared" si="0"/>
        <v>317.92099911499713</v>
      </c>
      <c r="R3" s="26">
        <v>43.75</v>
      </c>
      <c r="S3" s="26">
        <f t="shared" ref="S3:S8" si="1">R3*O3</f>
        <v>339.74215220520574</v>
      </c>
      <c r="T3" s="37">
        <f>BB29</f>
        <v>339.7</v>
      </c>
      <c r="U3" s="27"/>
      <c r="V3" s="26"/>
      <c r="X3" s="41">
        <v>23.449000000000002</v>
      </c>
      <c r="Y3" s="19">
        <f>(X2*6+X3*18)/24</f>
        <v>23.377500000000001</v>
      </c>
      <c r="Z3" s="42">
        <f t="shared" ref="Z3:Z8" si="2">Y3*O3</f>
        <v>181.5387923011931</v>
      </c>
      <c r="AA3" s="19">
        <v>24</v>
      </c>
      <c r="AB3" s="42"/>
      <c r="AR3" s="29" t="s">
        <v>64</v>
      </c>
      <c r="AS3" s="30">
        <v>40848</v>
      </c>
      <c r="AT3" s="30">
        <v>40849</v>
      </c>
      <c r="AU3" s="30">
        <v>40850</v>
      </c>
      <c r="AV3" s="30">
        <v>40851</v>
      </c>
      <c r="AW3" s="30">
        <v>40852</v>
      </c>
      <c r="AX3" s="30">
        <v>40853</v>
      </c>
      <c r="AY3" s="30">
        <v>40854</v>
      </c>
      <c r="BA3" s="36">
        <v>40848</v>
      </c>
      <c r="BB3" s="36">
        <v>40849</v>
      </c>
      <c r="BC3" s="36">
        <v>40850</v>
      </c>
      <c r="BD3" s="36">
        <v>40851</v>
      </c>
      <c r="BE3" s="36">
        <v>40852</v>
      </c>
      <c r="BF3" s="36">
        <v>40853</v>
      </c>
      <c r="BG3" s="36">
        <v>40854</v>
      </c>
    </row>
    <row r="4" spans="1:59" s="19" customFormat="1" x14ac:dyDescent="0.25">
      <c r="M4" s="20"/>
      <c r="N4" s="22">
        <v>40850</v>
      </c>
      <c r="O4" s="19">
        <v>7.7210099921515702</v>
      </c>
      <c r="P4" s="23">
        <v>39.93</v>
      </c>
      <c r="Q4" s="23">
        <f t="shared" si="0"/>
        <v>308.2999289866122</v>
      </c>
      <c r="R4" s="26">
        <v>42.4</v>
      </c>
      <c r="S4" s="26">
        <f t="shared" si="1"/>
        <v>327.37082366722655</v>
      </c>
      <c r="T4" s="37">
        <f>BC29</f>
        <v>327.39</v>
      </c>
      <c r="U4" s="27"/>
      <c r="V4" s="26"/>
      <c r="X4" s="41">
        <v>22.215</v>
      </c>
      <c r="Y4" s="41">
        <f t="shared" ref="Y4:Y8" si="3">(X3*6+X4*18)/24</f>
        <v>22.523500000000002</v>
      </c>
      <c r="Z4" s="42">
        <f t="shared" si="2"/>
        <v>173.9041685582259</v>
      </c>
      <c r="AA4" s="41">
        <v>24</v>
      </c>
      <c r="AB4" s="42"/>
      <c r="AR4" s="28">
        <v>0</v>
      </c>
      <c r="AS4" s="28">
        <v>37.520000000000003</v>
      </c>
      <c r="AT4" s="32">
        <v>35.659999999999997</v>
      </c>
      <c r="AU4" s="33">
        <v>36.14</v>
      </c>
      <c r="AV4" s="34">
        <v>36.24</v>
      </c>
      <c r="AY4" s="35">
        <v>38.11</v>
      </c>
      <c r="BA4" s="19">
        <f>AS4*$O$2</f>
        <v>290.60822468447913</v>
      </c>
      <c r="BB4" s="19">
        <f>AT4*$O$3</f>
        <v>276.918974803146</v>
      </c>
      <c r="BC4" s="35">
        <f>AU4*$O$4</f>
        <v>279.03730111635775</v>
      </c>
      <c r="BD4" s="35">
        <f>AV4*$O$5</f>
        <v>281.14993711340361</v>
      </c>
      <c r="BG4" s="35">
        <f>AY4*$O$8</f>
        <v>294.0338407493669</v>
      </c>
    </row>
    <row r="5" spans="1:59" s="19" customFormat="1" x14ac:dyDescent="0.25">
      <c r="M5" s="20"/>
      <c r="N5" s="22">
        <v>40851</v>
      </c>
      <c r="O5" s="19">
        <v>7.7580004722241602</v>
      </c>
      <c r="P5" s="23">
        <v>39.18</v>
      </c>
      <c r="Q5" s="23">
        <f t="shared" si="0"/>
        <v>303.9584585017426</v>
      </c>
      <c r="R5" s="26">
        <v>41.15</v>
      </c>
      <c r="S5" s="26">
        <f t="shared" si="1"/>
        <v>319.24171943202418</v>
      </c>
      <c r="T5" s="37">
        <f>BD29</f>
        <v>319.24</v>
      </c>
      <c r="U5" s="27"/>
      <c r="V5" s="26"/>
      <c r="X5" s="41">
        <v>22.611000000000001</v>
      </c>
      <c r="Y5" s="41">
        <f t="shared" si="3"/>
        <v>22.512</v>
      </c>
      <c r="Z5" s="42">
        <f t="shared" si="2"/>
        <v>174.64810663071029</v>
      </c>
      <c r="AA5" s="41">
        <v>24</v>
      </c>
      <c r="AB5" s="42"/>
      <c r="AR5" s="28">
        <v>100</v>
      </c>
      <c r="AS5" s="28">
        <v>37.1</v>
      </c>
      <c r="AT5" s="32">
        <v>34.36</v>
      </c>
      <c r="AU5" s="33">
        <v>35.14</v>
      </c>
      <c r="AV5" s="34">
        <v>34.53</v>
      </c>
      <c r="AY5" s="35">
        <v>37.11</v>
      </c>
      <c r="BA5" s="35">
        <f t="shared" ref="BA5:BA27" si="4">AS5*$O$2</f>
        <v>287.35514754248868</v>
      </c>
      <c r="BB5" s="35">
        <f t="shared" ref="BB5:BB27" si="5">AT5*$O$3</f>
        <v>266.82377942333414</v>
      </c>
      <c r="BC5" s="35">
        <f t="shared" ref="BC5:BC27" si="6">AU5*$O$4</f>
        <v>271.3162911242062</v>
      </c>
      <c r="BD5" s="35">
        <f t="shared" ref="BD5:BD27" si="7">AV5*$O$5</f>
        <v>267.88375630590025</v>
      </c>
      <c r="BG5" s="35">
        <f t="shared" ref="BG5:BG27" si="8">AY5*$O$8</f>
        <v>286.31844214665455</v>
      </c>
    </row>
    <row r="6" spans="1:59" s="19" customFormat="1" x14ac:dyDescent="0.25">
      <c r="M6" s="20"/>
      <c r="N6" s="22">
        <v>40852</v>
      </c>
      <c r="O6" s="19">
        <v>7.7580004722241602</v>
      </c>
      <c r="P6" s="23">
        <v>39.85</v>
      </c>
      <c r="Q6" s="23">
        <f t="shared" si="0"/>
        <v>309.15631881813277</v>
      </c>
      <c r="R6" s="26"/>
      <c r="S6" s="26"/>
      <c r="T6" s="37"/>
      <c r="U6" s="27"/>
      <c r="V6" s="26"/>
      <c r="X6" s="41">
        <v>22.512799999999999</v>
      </c>
      <c r="Y6" s="41">
        <f t="shared" si="3"/>
        <v>22.53735</v>
      </c>
      <c r="Z6" s="42">
        <f t="shared" si="2"/>
        <v>174.84477194268118</v>
      </c>
      <c r="AA6" s="41">
        <v>24</v>
      </c>
      <c r="AB6" s="42"/>
      <c r="AR6" s="28">
        <v>200</v>
      </c>
      <c r="AS6" s="28">
        <v>34.96</v>
      </c>
      <c r="AT6" s="32">
        <v>34.92</v>
      </c>
      <c r="AU6" s="33">
        <v>35.01</v>
      </c>
      <c r="AV6" s="34">
        <v>33.840000000000003</v>
      </c>
      <c r="AY6" s="35">
        <v>35.409999999999997</v>
      </c>
      <c r="BA6" s="35">
        <f t="shared" si="4"/>
        <v>270.77994496187074</v>
      </c>
      <c r="BB6" s="35">
        <f t="shared" si="5"/>
        <v>271.17247897156085</v>
      </c>
      <c r="BC6" s="35">
        <f t="shared" si="6"/>
        <v>270.31255982522646</v>
      </c>
      <c r="BD6" s="35">
        <f t="shared" si="7"/>
        <v>262.53073598006563</v>
      </c>
      <c r="BG6" s="35">
        <f t="shared" si="8"/>
        <v>273.20226452204361</v>
      </c>
    </row>
    <row r="7" spans="1:59" s="19" customFormat="1" x14ac:dyDescent="0.25">
      <c r="M7" s="20"/>
      <c r="N7" s="22">
        <v>40853</v>
      </c>
      <c r="O7" s="19">
        <v>7.7580004722241602</v>
      </c>
      <c r="P7" s="23">
        <v>39.97</v>
      </c>
      <c r="Q7" s="23">
        <f t="shared" si="0"/>
        <v>310.08727887479967</v>
      </c>
      <c r="R7" s="26"/>
      <c r="S7" s="26"/>
      <c r="T7" s="37"/>
      <c r="U7" s="27"/>
      <c r="V7" s="26"/>
      <c r="X7" s="41">
        <v>22.512799999999999</v>
      </c>
      <c r="Y7" s="41">
        <f t="shared" si="3"/>
        <v>22.512799999999999</v>
      </c>
      <c r="Z7" s="42">
        <f t="shared" si="2"/>
        <v>174.65431303108807</v>
      </c>
      <c r="AA7" s="41">
        <v>24</v>
      </c>
      <c r="AB7" s="42"/>
      <c r="AR7" s="28">
        <v>300</v>
      </c>
      <c r="AS7" s="28">
        <v>32.36</v>
      </c>
      <c r="AT7" s="32">
        <v>35.08</v>
      </c>
      <c r="AU7" s="33">
        <v>35.18</v>
      </c>
      <c r="AV7" s="34">
        <v>34.21</v>
      </c>
      <c r="AY7" s="35">
        <v>34.99</v>
      </c>
      <c r="BA7" s="35">
        <f t="shared" si="4"/>
        <v>250.64184836859658</v>
      </c>
      <c r="BB7" s="35">
        <f t="shared" si="5"/>
        <v>272.41496455676838</v>
      </c>
      <c r="BC7" s="35">
        <f t="shared" si="6"/>
        <v>271.62513152389226</v>
      </c>
      <c r="BD7" s="35">
        <f t="shared" si="7"/>
        <v>265.40119615478852</v>
      </c>
      <c r="BG7" s="35">
        <f t="shared" si="8"/>
        <v>269.96179710890448</v>
      </c>
    </row>
    <row r="8" spans="1:59" s="19" customFormat="1" x14ac:dyDescent="0.25">
      <c r="M8" s="20"/>
      <c r="N8" s="22">
        <v>40854</v>
      </c>
      <c r="O8" s="19">
        <v>7.7153986027123302</v>
      </c>
      <c r="P8" s="23">
        <v>42.9</v>
      </c>
      <c r="Q8" s="23">
        <f t="shared" si="0"/>
        <v>330.99060005635897</v>
      </c>
      <c r="R8" s="26">
        <v>46.33</v>
      </c>
      <c r="S8" s="26">
        <f t="shared" si="1"/>
        <v>357.45441726366226</v>
      </c>
      <c r="T8" s="37">
        <f>BG29</f>
        <v>357.48</v>
      </c>
      <c r="U8" s="27"/>
      <c r="V8" s="26"/>
      <c r="X8" s="41">
        <v>23.225000000000001</v>
      </c>
      <c r="Y8" s="41">
        <f t="shared" si="3"/>
        <v>23.046949999999999</v>
      </c>
      <c r="Z8" s="42">
        <f t="shared" si="2"/>
        <v>177.81640582678094</v>
      </c>
      <c r="AA8" s="41">
        <v>24</v>
      </c>
      <c r="AB8" s="42"/>
      <c r="AR8" s="28">
        <v>400</v>
      </c>
      <c r="AS8" s="28">
        <v>34.42</v>
      </c>
      <c r="AT8" s="32">
        <v>36.85</v>
      </c>
      <c r="AU8" s="33">
        <v>36.21</v>
      </c>
      <c r="AV8" s="34">
        <v>35.72</v>
      </c>
      <c r="AY8" s="35">
        <v>37.229999999999997</v>
      </c>
      <c r="BA8" s="35">
        <f t="shared" si="4"/>
        <v>266.59741720788304</v>
      </c>
      <c r="BB8" s="35">
        <f t="shared" si="5"/>
        <v>286.15996134312763</v>
      </c>
      <c r="BC8" s="35">
        <f t="shared" si="6"/>
        <v>279.57777181580838</v>
      </c>
      <c r="BD8" s="35">
        <f t="shared" si="7"/>
        <v>277.11577686784699</v>
      </c>
      <c r="BG8" s="35">
        <f t="shared" si="8"/>
        <v>287.24428997898002</v>
      </c>
    </row>
    <row r="9" spans="1:59" s="19" customFormat="1" x14ac:dyDescent="0.25">
      <c r="M9" s="20"/>
      <c r="N9" s="22"/>
      <c r="O9" s="19">
        <f>AVERAGE(O2:O8)</f>
        <v>7.7459095265325493</v>
      </c>
      <c r="Q9" s="23">
        <f>AVERAGE(Q2:Q8)</f>
        <v>313.06710321443745</v>
      </c>
      <c r="S9" s="26">
        <f>AVERAGE(S2:S8)</f>
        <v>334.69085259129668</v>
      </c>
      <c r="T9" s="35">
        <f>AVERAGE(T2:T8)</f>
        <v>334.68599999999998</v>
      </c>
      <c r="U9" s="26"/>
      <c r="V9" s="26"/>
      <c r="Z9" s="41"/>
      <c r="AA9" s="19">
        <f>SUM(AA2:AA8)</f>
        <v>162</v>
      </c>
      <c r="AB9" s="42"/>
      <c r="AR9" s="28">
        <v>500</v>
      </c>
      <c r="AS9" s="28">
        <v>37.06</v>
      </c>
      <c r="AT9" s="32">
        <v>38.200000000000003</v>
      </c>
      <c r="AU9" s="33">
        <v>37.520000000000003</v>
      </c>
      <c r="AV9" s="34">
        <v>37.520000000000003</v>
      </c>
      <c r="AY9" s="35">
        <v>38.979999999999997</v>
      </c>
      <c r="BA9" s="35">
        <f t="shared" si="4"/>
        <v>287.04533067182297</v>
      </c>
      <c r="BB9" s="35">
        <f t="shared" si="5"/>
        <v>296.6434334683168</v>
      </c>
      <c r="BC9" s="35">
        <f t="shared" si="6"/>
        <v>289.69229490552692</v>
      </c>
      <c r="BD9" s="35">
        <f t="shared" si="7"/>
        <v>291.08017771785052</v>
      </c>
      <c r="BG9" s="35">
        <f t="shared" si="8"/>
        <v>300.74623753372663</v>
      </c>
    </row>
    <row r="10" spans="1:59" s="16" customFormat="1" x14ac:dyDescent="0.25">
      <c r="A10" s="43" t="s">
        <v>57</v>
      </c>
      <c r="B10" s="43" t="s">
        <v>73</v>
      </c>
      <c r="M10" s="43" t="s">
        <v>56</v>
      </c>
      <c r="N10" s="43"/>
      <c r="O10" s="43" t="s">
        <v>76</v>
      </c>
      <c r="P10" s="43" t="s">
        <v>78</v>
      </c>
      <c r="Q10" s="43" t="s">
        <v>77</v>
      </c>
      <c r="AR10" s="28">
        <v>600</v>
      </c>
      <c r="AS10" s="28">
        <v>40.340000000000003</v>
      </c>
      <c r="AT10" s="32">
        <v>40.71</v>
      </c>
      <c r="AU10" s="33">
        <v>39.64</v>
      </c>
      <c r="AV10" s="34">
        <v>39.74</v>
      </c>
      <c r="AY10" s="35">
        <v>42.71</v>
      </c>
      <c r="BA10" s="35">
        <f t="shared" si="4"/>
        <v>312.45031406641493</v>
      </c>
      <c r="BB10" s="35">
        <f t="shared" si="5"/>
        <v>316.1349260862612</v>
      </c>
      <c r="BC10" s="35">
        <f t="shared" si="6"/>
        <v>306.06083608888827</v>
      </c>
      <c r="BD10" s="35">
        <f t="shared" si="7"/>
        <v>308.30293876618816</v>
      </c>
      <c r="BG10" s="35">
        <f t="shared" si="8"/>
        <v>329.52467432184363</v>
      </c>
    </row>
    <row r="11" spans="1:59" s="23" customFormat="1" x14ac:dyDescent="0.25">
      <c r="A11" s="23">
        <v>12411</v>
      </c>
      <c r="B11" s="41" t="s">
        <v>4</v>
      </c>
      <c r="M11" s="1">
        <v>40855</v>
      </c>
      <c r="N11" s="1">
        <v>40877</v>
      </c>
      <c r="O11" s="23">
        <v>7.86635090877098</v>
      </c>
      <c r="P11" s="23">
        <v>300</v>
      </c>
      <c r="Q11" s="23">
        <v>55.567415281201903</v>
      </c>
      <c r="AR11" s="28">
        <v>700</v>
      </c>
      <c r="AS11" s="28">
        <v>41.78</v>
      </c>
      <c r="AT11" s="32">
        <v>43.23</v>
      </c>
      <c r="AU11" s="33">
        <v>41.05</v>
      </c>
      <c r="AV11" s="34">
        <v>40.380000000000003</v>
      </c>
      <c r="AY11" s="35">
        <v>46.6</v>
      </c>
      <c r="BA11" s="35">
        <f t="shared" si="4"/>
        <v>323.60372141038215</v>
      </c>
      <c r="BB11" s="35">
        <f t="shared" si="5"/>
        <v>335.70407405328103</v>
      </c>
      <c r="BC11" s="35">
        <f t="shared" si="6"/>
        <v>316.94746017782194</v>
      </c>
      <c r="BD11" s="35">
        <f t="shared" si="7"/>
        <v>313.26805906841162</v>
      </c>
      <c r="BG11" s="35">
        <f t="shared" si="8"/>
        <v>359.53757488639462</v>
      </c>
    </row>
    <row r="12" spans="1:59" s="16" customFormat="1" x14ac:dyDescent="0.25">
      <c r="A12" s="16">
        <v>12409</v>
      </c>
      <c r="B12" s="24" t="s">
        <v>13</v>
      </c>
      <c r="M12" s="1">
        <v>40855</v>
      </c>
      <c r="N12" s="1">
        <v>40877</v>
      </c>
      <c r="O12" s="10">
        <v>7.86635090877098</v>
      </c>
      <c r="P12" s="16">
        <v>50.77</v>
      </c>
      <c r="Q12" s="16">
        <v>49.659516137892901</v>
      </c>
      <c r="AR12" s="28">
        <v>800</v>
      </c>
      <c r="AS12" s="28">
        <v>42.67</v>
      </c>
      <c r="AT12" s="32">
        <v>43.75</v>
      </c>
      <c r="AU12" s="33">
        <v>42.65</v>
      </c>
      <c r="AV12" s="34">
        <v>41.43</v>
      </c>
      <c r="AY12" s="35">
        <v>45.78</v>
      </c>
      <c r="BA12" s="35">
        <f t="shared" si="4"/>
        <v>330.49714678269521</v>
      </c>
      <c r="BB12" s="35">
        <f t="shared" si="5"/>
        <v>339.74215220520574</v>
      </c>
      <c r="BC12" s="35">
        <f t="shared" si="6"/>
        <v>329.30107616526448</v>
      </c>
      <c r="BD12" s="35">
        <f t="shared" si="7"/>
        <v>321.41395956424697</v>
      </c>
      <c r="BG12" s="35">
        <f t="shared" si="8"/>
        <v>353.21094803217051</v>
      </c>
    </row>
    <row r="13" spans="1:59" s="16" customFormat="1" x14ac:dyDescent="0.25">
      <c r="A13" s="16">
        <v>12415</v>
      </c>
      <c r="B13" s="41" t="s">
        <v>74</v>
      </c>
      <c r="M13" s="1"/>
      <c r="N13" s="1"/>
      <c r="AR13" s="28">
        <v>900</v>
      </c>
      <c r="AS13" s="28">
        <v>42.83</v>
      </c>
      <c r="AT13" s="32">
        <v>42.97</v>
      </c>
      <c r="AU13" s="33">
        <v>41.96</v>
      </c>
      <c r="AV13" s="34">
        <v>41.91</v>
      </c>
      <c r="AY13" s="35">
        <v>45.47</v>
      </c>
      <c r="BA13" s="35">
        <f t="shared" si="4"/>
        <v>331.73641426535823</v>
      </c>
      <c r="BB13" s="35">
        <f t="shared" si="5"/>
        <v>333.68503497731865</v>
      </c>
      <c r="BC13" s="35">
        <f t="shared" si="6"/>
        <v>323.97357927067992</v>
      </c>
      <c r="BD13" s="35">
        <f t="shared" si="7"/>
        <v>325.13779979091453</v>
      </c>
      <c r="BG13" s="35">
        <f t="shared" si="8"/>
        <v>350.81917446532964</v>
      </c>
    </row>
    <row r="14" spans="1:59" s="16" customFormat="1" x14ac:dyDescent="0.25">
      <c r="A14" s="16">
        <v>12413</v>
      </c>
      <c r="B14" s="16" t="s">
        <v>75</v>
      </c>
      <c r="M14" s="1">
        <v>40855</v>
      </c>
      <c r="N14" s="49">
        <v>40878.25</v>
      </c>
      <c r="O14" s="35">
        <v>7.8682513779371597</v>
      </c>
      <c r="P14" s="16">
        <v>60.66</v>
      </c>
      <c r="Q14" s="16">
        <v>24.263356542315101</v>
      </c>
      <c r="AR14" s="28">
        <v>1000</v>
      </c>
      <c r="AS14" s="28">
        <v>42.21</v>
      </c>
      <c r="AT14" s="32">
        <v>42.93</v>
      </c>
      <c r="AU14" s="33">
        <v>41.72</v>
      </c>
      <c r="AV14" s="34">
        <v>41.29</v>
      </c>
      <c r="AY14" s="35">
        <v>45.45</v>
      </c>
      <c r="BA14" s="35">
        <f t="shared" si="4"/>
        <v>326.934252770039</v>
      </c>
      <c r="BB14" s="35">
        <f t="shared" si="5"/>
        <v>333.37441358101677</v>
      </c>
      <c r="BC14" s="35">
        <f t="shared" si="6"/>
        <v>322.12053687256349</v>
      </c>
      <c r="BD14" s="35">
        <f t="shared" si="7"/>
        <v>320.32783949813557</v>
      </c>
      <c r="BG14" s="35">
        <f t="shared" si="8"/>
        <v>350.66486649327544</v>
      </c>
    </row>
    <row r="15" spans="1:59" s="16" customFormat="1" x14ac:dyDescent="0.25">
      <c r="A15" s="16">
        <v>12407</v>
      </c>
      <c r="B15" s="16" t="s">
        <v>26</v>
      </c>
      <c r="M15" s="1">
        <f>M23</f>
        <v>40884</v>
      </c>
      <c r="N15" s="1">
        <f>M15+1</f>
        <v>40885</v>
      </c>
      <c r="O15" s="16">
        <v>5.9199999999999804</v>
      </c>
      <c r="P15" s="16">
        <v>1.4443999999999999</v>
      </c>
      <c r="Q15" s="41">
        <v>1.3699999999999499</v>
      </c>
      <c r="AR15" s="28">
        <v>1100</v>
      </c>
      <c r="AS15" s="28">
        <v>42.14</v>
      </c>
      <c r="AT15" s="32">
        <v>42.99</v>
      </c>
      <c r="AU15" s="33">
        <v>41.79</v>
      </c>
      <c r="AV15" s="34">
        <v>40.729999999999997</v>
      </c>
      <c r="AY15" s="35">
        <v>46.05</v>
      </c>
      <c r="BA15" s="35">
        <f t="shared" si="4"/>
        <v>326.39207324637397</v>
      </c>
      <c r="BB15" s="35">
        <f t="shared" si="5"/>
        <v>333.84034567546962</v>
      </c>
      <c r="BC15" s="35">
        <f t="shared" si="6"/>
        <v>322.66100757201411</v>
      </c>
      <c r="BD15" s="35">
        <f t="shared" si="7"/>
        <v>315.98335923369001</v>
      </c>
      <c r="BG15" s="35">
        <f t="shared" si="8"/>
        <v>355.29410565490281</v>
      </c>
    </row>
    <row r="16" spans="1:59" s="19" customFormat="1" x14ac:dyDescent="0.25">
      <c r="A16" s="41">
        <v>12417</v>
      </c>
      <c r="B16" s="41" t="s">
        <v>30</v>
      </c>
      <c r="M16" s="1">
        <f>M24</f>
        <v>40984</v>
      </c>
      <c r="N16" s="1">
        <f>M16+1</f>
        <v>40985</v>
      </c>
      <c r="O16" s="19">
        <v>0.84648844063080297</v>
      </c>
      <c r="P16" s="19">
        <v>144.16999999999999</v>
      </c>
      <c r="Q16" s="47">
        <v>232.63558938933801</v>
      </c>
      <c r="R16" s="45"/>
      <c r="AR16" s="28">
        <v>1200</v>
      </c>
      <c r="AS16" s="28">
        <v>41.82</v>
      </c>
      <c r="AT16" s="32">
        <v>43.44</v>
      </c>
      <c r="AU16" s="33">
        <v>41.7</v>
      </c>
      <c r="AV16" s="34">
        <v>40.369999999999997</v>
      </c>
      <c r="AY16" s="35">
        <v>46.07</v>
      </c>
      <c r="BA16" s="35">
        <f t="shared" si="4"/>
        <v>323.91353828104792</v>
      </c>
      <c r="BB16" s="35">
        <f t="shared" si="5"/>
        <v>337.33483638386599</v>
      </c>
      <c r="BC16" s="35">
        <f t="shared" si="6"/>
        <v>321.96611667272049</v>
      </c>
      <c r="BD16" s="35">
        <f t="shared" si="7"/>
        <v>313.19047906368934</v>
      </c>
      <c r="BG16" s="35">
        <f t="shared" si="8"/>
        <v>355.44841362695706</v>
      </c>
    </row>
    <row r="17" spans="1:59" x14ac:dyDescent="0.25">
      <c r="O17" s="41"/>
      <c r="Q17" s="46"/>
      <c r="R17" s="47"/>
      <c r="AR17" s="28">
        <v>1300</v>
      </c>
      <c r="AS17" s="28">
        <v>41.45</v>
      </c>
      <c r="AT17" s="32">
        <v>43.42</v>
      </c>
      <c r="AU17" s="33">
        <v>41.2</v>
      </c>
      <c r="AV17" s="34">
        <v>40.049999999999997</v>
      </c>
      <c r="AY17" s="35">
        <v>45.6</v>
      </c>
      <c r="BA17" s="35">
        <f t="shared" si="4"/>
        <v>321.04773222738964</v>
      </c>
      <c r="BB17" s="35">
        <f t="shared" si="5"/>
        <v>337.17952568571508</v>
      </c>
      <c r="BC17" s="35">
        <f t="shared" si="6"/>
        <v>318.10561167664474</v>
      </c>
      <c r="BD17" s="35">
        <f t="shared" si="7"/>
        <v>310.70791891257761</v>
      </c>
      <c r="BG17" s="35">
        <f t="shared" si="8"/>
        <v>351.82217628368227</v>
      </c>
    </row>
    <row r="18" spans="1:59" x14ac:dyDescent="0.25">
      <c r="Q18" s="2" t="s">
        <v>31</v>
      </c>
      <c r="R18" s="2" t="s">
        <v>32</v>
      </c>
      <c r="S18" s="2" t="s">
        <v>33</v>
      </c>
      <c r="T18" s="3" t="s">
        <v>34</v>
      </c>
      <c r="U18" s="3" t="s">
        <v>35</v>
      </c>
      <c r="V18" s="4" t="s">
        <v>36</v>
      </c>
      <c r="W18" s="4" t="s">
        <v>37</v>
      </c>
      <c r="X18" s="4" t="s">
        <v>38</v>
      </c>
      <c r="Y18" s="5" t="s">
        <v>39</v>
      </c>
      <c r="Z18" s="5" t="s">
        <v>40</v>
      </c>
      <c r="AA18" s="6" t="s">
        <v>41</v>
      </c>
      <c r="AB18" s="7" t="s">
        <v>42</v>
      </c>
      <c r="AC18" s="8" t="s">
        <v>43</v>
      </c>
      <c r="AD18" s="9" t="s">
        <v>44</v>
      </c>
      <c r="AE18" s="11" t="s">
        <v>45</v>
      </c>
      <c r="AF18" s="11" t="s">
        <v>49</v>
      </c>
      <c r="AG18" s="11" t="s">
        <v>50</v>
      </c>
      <c r="AH18" s="11" t="s">
        <v>51</v>
      </c>
      <c r="AI18" s="11" t="s">
        <v>52</v>
      </c>
      <c r="AJ18" s="11" t="s">
        <v>48</v>
      </c>
      <c r="AK18" s="12" t="s">
        <v>53</v>
      </c>
      <c r="AL18" s="13" t="s">
        <v>54</v>
      </c>
      <c r="AM18" s="14" t="s">
        <v>55</v>
      </c>
      <c r="AN18" s="15" t="s">
        <v>46</v>
      </c>
      <c r="AO18" s="17" t="s">
        <v>47</v>
      </c>
      <c r="AR18" s="28">
        <v>1400</v>
      </c>
      <c r="AS18" s="28">
        <v>41.25</v>
      </c>
      <c r="AT18" s="32">
        <v>43.29</v>
      </c>
      <c r="AU18" s="33">
        <v>41.63</v>
      </c>
      <c r="AV18" s="34">
        <v>39.72</v>
      </c>
      <c r="AY18" s="35">
        <v>45.68</v>
      </c>
      <c r="BA18" s="35">
        <f t="shared" si="4"/>
        <v>319.49864787406085</v>
      </c>
      <c r="BB18" s="35">
        <f t="shared" si="5"/>
        <v>336.17000614773389</v>
      </c>
      <c r="BC18" s="35">
        <f t="shared" si="6"/>
        <v>321.42564597326987</v>
      </c>
      <c r="BD18" s="35">
        <f t="shared" si="7"/>
        <v>308.14777875674366</v>
      </c>
      <c r="BG18" s="35">
        <f t="shared" si="8"/>
        <v>352.43940817189923</v>
      </c>
    </row>
    <row r="19" spans="1:59" s="24" customFormat="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4</v>
      </c>
      <c r="M19" s="1">
        <v>40848</v>
      </c>
      <c r="N19" s="1">
        <v>40877</v>
      </c>
      <c r="O19" t="s">
        <v>11</v>
      </c>
      <c r="P19">
        <v>0</v>
      </c>
      <c r="Q19" s="38">
        <f>(T9-P11)*AB19</f>
        <v>20811.599999999988</v>
      </c>
      <c r="R19" s="18">
        <f>(AM19-AK19)*AA19*AC19</f>
        <v>279710.08689848753</v>
      </c>
      <c r="S19" s="18">
        <f>Q19+R19</f>
        <v>300521.6868984875</v>
      </c>
      <c r="T19" s="18">
        <f>AM19*AC19*AA19</f>
        <v>891710.08689848753</v>
      </c>
      <c r="U19" s="18">
        <f>(AM19-AK19)*AA19*AC19</f>
        <v>279710.08689848753</v>
      </c>
      <c r="V19" s="18">
        <f>(T9-P11)*AB19</f>
        <v>20811.599999999988</v>
      </c>
      <c r="W19" s="18">
        <f>(AM19-AK19)*AA19*AC19</f>
        <v>279710.08689848753</v>
      </c>
      <c r="X19" s="18">
        <f>V19+W19</f>
        <v>300521.6868984875</v>
      </c>
      <c r="Y19" s="18">
        <f>(Z19/24)/365</f>
        <v>0.23287671232876711</v>
      </c>
      <c r="Z19">
        <v>2040</v>
      </c>
      <c r="AA19">
        <v>10</v>
      </c>
      <c r="AB19">
        <v>600</v>
      </c>
      <c r="AC19">
        <v>204</v>
      </c>
      <c r="AD19">
        <v>10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300</v>
      </c>
      <c r="AL19" s="18">
        <f>-AA19*AC19*AK19</f>
        <v>-612000</v>
      </c>
      <c r="AM19" s="18">
        <f>Q11*O11</f>
        <v>437.11278769533703</v>
      </c>
      <c r="AN19">
        <v>0</v>
      </c>
      <c r="AO19">
        <v>0</v>
      </c>
      <c r="AR19" s="28">
        <v>1500</v>
      </c>
      <c r="AS19" s="28">
        <v>41.32</v>
      </c>
      <c r="AT19" s="32">
        <v>43.05</v>
      </c>
      <c r="AU19" s="33">
        <v>41.71</v>
      </c>
      <c r="AV19" s="34">
        <v>39.729999999999997</v>
      </c>
      <c r="AY19" s="35">
        <v>45.83</v>
      </c>
      <c r="BA19" s="35">
        <f t="shared" si="4"/>
        <v>320.04082739772593</v>
      </c>
      <c r="BB19" s="35">
        <f t="shared" si="5"/>
        <v>334.30627776992247</v>
      </c>
      <c r="BC19" s="35">
        <f t="shared" si="6"/>
        <v>322.04332677264199</v>
      </c>
      <c r="BD19" s="35">
        <f t="shared" si="7"/>
        <v>308.22535876146588</v>
      </c>
      <c r="BG19" s="35">
        <f t="shared" si="8"/>
        <v>353.59671796230606</v>
      </c>
    </row>
    <row r="20" spans="1:59" x14ac:dyDescent="0.25">
      <c r="A20" s="24" t="s">
        <v>12</v>
      </c>
      <c r="B20" s="24" t="s">
        <v>1</v>
      </c>
      <c r="C20" s="24" t="s">
        <v>2</v>
      </c>
      <c r="D20" s="24" t="s">
        <v>3</v>
      </c>
      <c r="E20" s="24" t="s">
        <v>13</v>
      </c>
      <c r="F20" s="24" t="s">
        <v>5</v>
      </c>
      <c r="G20" s="24" t="s">
        <v>6</v>
      </c>
      <c r="H20" s="24" t="s">
        <v>14</v>
      </c>
      <c r="I20" s="24" t="s">
        <v>8</v>
      </c>
      <c r="J20" s="24" t="s">
        <v>9</v>
      </c>
      <c r="K20" s="24" t="s">
        <v>10</v>
      </c>
      <c r="L20" s="24" t="s">
        <v>13</v>
      </c>
      <c r="M20" s="25">
        <v>40848</v>
      </c>
      <c r="N20" s="25">
        <v>40877</v>
      </c>
      <c r="O20" s="24" t="s">
        <v>11</v>
      </c>
      <c r="P20" s="24">
        <v>0</v>
      </c>
      <c r="Q20" s="18">
        <f>(Q9-O9*P12)*AB20</f>
        <v>-134723.77539200176</v>
      </c>
      <c r="R20" s="18">
        <f>(AM20-AK20)*AA20*AC20</f>
        <v>-48219.715672996499</v>
      </c>
      <c r="S20" s="18">
        <f>Q20+R20</f>
        <v>-182943.49106499826</v>
      </c>
      <c r="T20" s="18">
        <f>AM20*AC20*AA20</f>
        <v>2156328.273050434</v>
      </c>
      <c r="U20" s="18">
        <f>(AM20-AK20)*AA20*AC20</f>
        <v>-48219.715672996499</v>
      </c>
      <c r="V20" s="18">
        <f>(Q9-O9*P12)*AB20</f>
        <v>-134723.77539200176</v>
      </c>
      <c r="W20" s="18">
        <f>(AM20-AK20)*AA20*AC20</f>
        <v>-48219.715672996499</v>
      </c>
      <c r="X20" s="18">
        <f>V20+W20</f>
        <v>-182943.49106499826</v>
      </c>
      <c r="Y20" s="18">
        <f>(Z20/24)/365</f>
        <v>0.63013698630136983</v>
      </c>
      <c r="Z20" s="24">
        <f>AA20*AC20</f>
        <v>5520</v>
      </c>
      <c r="AA20" s="24">
        <v>10</v>
      </c>
      <c r="AB20" s="24">
        <v>1680</v>
      </c>
      <c r="AC20" s="24">
        <v>552</v>
      </c>
      <c r="AD20" s="24">
        <v>10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18">
        <f>P12*O12</f>
        <v>399.37463563830266</v>
      </c>
      <c r="AL20" s="18">
        <f>-AA20*AC20*AK20</f>
        <v>-2204547.9887234308</v>
      </c>
      <c r="AM20" s="18">
        <f>Q12*O12</f>
        <v>390.63917990044098</v>
      </c>
      <c r="AN20" s="24">
        <v>0</v>
      </c>
      <c r="AO20" s="24">
        <v>0</v>
      </c>
      <c r="AR20" s="28">
        <v>1600</v>
      </c>
      <c r="AS20" s="28">
        <v>42.39</v>
      </c>
      <c r="AT20" s="32">
        <v>45.18</v>
      </c>
      <c r="AU20" s="33">
        <v>43.27</v>
      </c>
      <c r="AV20" s="34">
        <v>40.630000000000003</v>
      </c>
      <c r="AY20" s="35">
        <v>47.23</v>
      </c>
      <c r="BA20" s="35">
        <f t="shared" si="4"/>
        <v>328.32842868803493</v>
      </c>
      <c r="BB20" s="35">
        <f t="shared" si="5"/>
        <v>350.84686712299879</v>
      </c>
      <c r="BC20" s="35">
        <f t="shared" si="6"/>
        <v>334.08810236039847</v>
      </c>
      <c r="BD20" s="35">
        <f t="shared" si="7"/>
        <v>315.20755918646768</v>
      </c>
      <c r="BG20" s="35">
        <f t="shared" si="8"/>
        <v>364.39827600610334</v>
      </c>
    </row>
    <row r="21" spans="1:59" x14ac:dyDescent="0.25">
      <c r="A21" t="s">
        <v>12</v>
      </c>
      <c r="B21" t="s">
        <v>1</v>
      </c>
      <c r="C21" t="s">
        <v>2</v>
      </c>
      <c r="D21" t="s">
        <v>3</v>
      </c>
      <c r="E21" t="s">
        <v>13</v>
      </c>
      <c r="F21" t="s">
        <v>5</v>
      </c>
      <c r="G21" t="s">
        <v>6</v>
      </c>
      <c r="H21" t="s">
        <v>7</v>
      </c>
      <c r="I21" t="s">
        <v>15</v>
      </c>
      <c r="J21" t="s">
        <v>9</v>
      </c>
      <c r="K21" t="s">
        <v>16</v>
      </c>
      <c r="L21" t="s">
        <v>17</v>
      </c>
      <c r="M21" s="1">
        <v>40848</v>
      </c>
      <c r="N21" s="1">
        <v>40877</v>
      </c>
      <c r="O21" t="s">
        <v>11</v>
      </c>
      <c r="P21">
        <v>0</v>
      </c>
      <c r="Q21" s="18">
        <f>-AK21*AA21*AC21</f>
        <v>-8388</v>
      </c>
      <c r="R21" s="18">
        <f>AM21*AA21*AC21</f>
        <v>149700.07304472756</v>
      </c>
      <c r="S21" s="18">
        <f>Q21+R21</f>
        <v>141312.07304472756</v>
      </c>
      <c r="T21" s="18">
        <f>AM21*AC21*AA21</f>
        <v>149700.07304472756</v>
      </c>
      <c r="U21" s="18">
        <f>AM21*AA21*AC21</f>
        <v>149700.07304472756</v>
      </c>
      <c r="V21" s="18">
        <f>-AK21*AA21*AC21</f>
        <v>-8388</v>
      </c>
      <c r="W21" s="18">
        <f>AM21*AA21*AC21</f>
        <v>149700.07304472756</v>
      </c>
      <c r="X21" s="18">
        <f>V21+W21</f>
        <v>141312.07304472756</v>
      </c>
      <c r="Y21" s="24">
        <v>0</v>
      </c>
      <c r="Z21" s="24">
        <v>0</v>
      </c>
      <c r="AA21" s="24">
        <v>5</v>
      </c>
      <c r="AB21" s="24">
        <v>0</v>
      </c>
      <c r="AC21" s="24">
        <v>720</v>
      </c>
      <c r="AD21" s="24">
        <f>AJ21*AA21</f>
        <v>3.2017693436902448</v>
      </c>
      <c r="AE21" s="24">
        <v>335</v>
      </c>
      <c r="AF21" s="24">
        <v>3.2699655394023601E-3</v>
      </c>
      <c r="AG21" s="24">
        <v>-0.233574866075905</v>
      </c>
      <c r="AH21" s="24">
        <v>18.504376156741301</v>
      </c>
      <c r="AI21" s="24">
        <v>-2.6203209132638801</v>
      </c>
      <c r="AJ21" s="24">
        <v>0.640353868738049</v>
      </c>
      <c r="AK21" s="24">
        <v>2.33</v>
      </c>
      <c r="AL21" s="18">
        <f>-AK21*AA21*AC21</f>
        <v>-8388</v>
      </c>
      <c r="AM21" s="35">
        <f>54.2391569002636*552/AC21</f>
        <v>41.58335362353543</v>
      </c>
      <c r="AN21" s="18">
        <f>Q12*O12</f>
        <v>390.63917990044098</v>
      </c>
      <c r="AO21" s="24">
        <v>0.58849760765987102</v>
      </c>
      <c r="AR21" s="28">
        <v>1700</v>
      </c>
      <c r="AS21" s="28">
        <v>45.16</v>
      </c>
      <c r="AT21" s="32">
        <v>45.67</v>
      </c>
      <c r="AU21" s="33">
        <v>45.44</v>
      </c>
      <c r="AV21" s="34">
        <v>43.97</v>
      </c>
      <c r="AY21" s="35">
        <v>48.63</v>
      </c>
      <c r="BA21" s="35">
        <f t="shared" si="4"/>
        <v>349.78324698163851</v>
      </c>
      <c r="BB21" s="35">
        <f t="shared" si="5"/>
        <v>354.6519792276971</v>
      </c>
      <c r="BC21" s="35">
        <f t="shared" si="6"/>
        <v>350.84269404336732</v>
      </c>
      <c r="BD21" s="35">
        <f t="shared" si="7"/>
        <v>341.11928076369634</v>
      </c>
      <c r="BG21" s="35">
        <f t="shared" si="8"/>
        <v>375.19983404990063</v>
      </c>
    </row>
    <row r="22" spans="1:59" x14ac:dyDescent="0.25">
      <c r="A22" t="s">
        <v>12</v>
      </c>
      <c r="B22" t="s">
        <v>1</v>
      </c>
      <c r="C22" t="s">
        <v>18</v>
      </c>
      <c r="D22" t="s">
        <v>3</v>
      </c>
      <c r="E22" t="s">
        <v>3</v>
      </c>
      <c r="F22" t="s">
        <v>5</v>
      </c>
      <c r="G22" t="s">
        <v>19</v>
      </c>
      <c r="H22" t="s">
        <v>14</v>
      </c>
      <c r="I22" t="s">
        <v>8</v>
      </c>
      <c r="J22" t="s">
        <v>20</v>
      </c>
      <c r="K22" t="s">
        <v>10</v>
      </c>
      <c r="L22" s="48" t="s">
        <v>79</v>
      </c>
      <c r="M22" s="1">
        <v>40848</v>
      </c>
      <c r="N22" s="1">
        <v>40877</v>
      </c>
      <c r="O22" t="s">
        <v>11</v>
      </c>
      <c r="P22">
        <v>0</v>
      </c>
      <c r="Q22" s="18">
        <f>(SUMPRODUCT(Z2:Z8,AA2:AA8)-SUMPRODUCT(O2:O8,AA2:AA8)*P14)*AB22/AA9</f>
        <v>-989823.41024441831</v>
      </c>
      <c r="R22" s="18">
        <f>(AM22-AK22)*AA22*AC22/24</f>
        <v>-3329143.552944269</v>
      </c>
      <c r="S22" s="18">
        <f>Q22+R22</f>
        <v>-4318966.9631886873</v>
      </c>
      <c r="T22" s="18">
        <f>AM22*AC22*AA22/24</f>
        <v>2219330.9418641222</v>
      </c>
      <c r="U22" s="18">
        <f>(AM22-AK22)*AA22*AC22/24</f>
        <v>-3329143.552944269</v>
      </c>
      <c r="V22" s="18">
        <f>Q22</f>
        <v>-989823.41024441831</v>
      </c>
      <c r="W22" s="18">
        <f>(AM22-AK22)*AA22*AC22/24</f>
        <v>-3329143.552944269</v>
      </c>
      <c r="X22" s="18">
        <f>V22+W22</f>
        <v>-4318966.9631886873</v>
      </c>
      <c r="Y22" s="24">
        <v>0</v>
      </c>
      <c r="Z22" s="24">
        <v>0</v>
      </c>
      <c r="AA22" s="24">
        <v>500</v>
      </c>
      <c r="AB22" s="18">
        <f>(720-AC22)*AA22/24</f>
        <v>3375</v>
      </c>
      <c r="AC22" s="24">
        <v>558</v>
      </c>
      <c r="AD22" s="24">
        <v>500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18">
        <f>P14*O14</f>
        <v>477.28812858566806</v>
      </c>
      <c r="AL22" s="40">
        <f>-AA22*AC22*AK22/24</f>
        <v>-5548474.4948083917</v>
      </c>
      <c r="AM22" s="18">
        <f>Q14*O14</f>
        <v>190.91018854745138</v>
      </c>
      <c r="AN22">
        <v>0</v>
      </c>
      <c r="AO22">
        <v>0</v>
      </c>
      <c r="AR22" s="28">
        <v>1800</v>
      </c>
      <c r="AS22" s="28">
        <v>44.57</v>
      </c>
      <c r="AT22" s="32">
        <v>45.32</v>
      </c>
      <c r="AU22" s="33">
        <v>44.11</v>
      </c>
      <c r="AV22" s="34">
        <v>42.98</v>
      </c>
      <c r="AY22" s="35">
        <v>48.76</v>
      </c>
      <c r="BA22" s="35">
        <f t="shared" si="4"/>
        <v>345.21344813931864</v>
      </c>
      <c r="BB22" s="35">
        <f t="shared" si="5"/>
        <v>351.93404201005546</v>
      </c>
      <c r="BC22" s="35">
        <f t="shared" si="6"/>
        <v>340.57375075380577</v>
      </c>
      <c r="BD22" s="35">
        <f t="shared" si="7"/>
        <v>333.43886029619438</v>
      </c>
      <c r="BG22" s="35">
        <f t="shared" si="8"/>
        <v>376.2028358682532</v>
      </c>
    </row>
    <row r="23" spans="1:59" x14ac:dyDescent="0.25">
      <c r="B23" t="s">
        <v>1</v>
      </c>
      <c r="D23" t="s">
        <v>21</v>
      </c>
      <c r="E23" t="s">
        <v>22</v>
      </c>
      <c r="F23" t="s">
        <v>5</v>
      </c>
      <c r="G23" t="s">
        <v>6</v>
      </c>
      <c r="H23" t="s">
        <v>23</v>
      </c>
      <c r="I23" t="s">
        <v>8</v>
      </c>
      <c r="J23" t="s">
        <v>24</v>
      </c>
      <c r="K23" t="s">
        <v>25</v>
      </c>
      <c r="L23" t="s">
        <v>26</v>
      </c>
      <c r="M23" s="1">
        <v>40884</v>
      </c>
      <c r="N23" s="1">
        <v>40884</v>
      </c>
      <c r="O23" t="s">
        <v>11</v>
      </c>
      <c r="P23">
        <v>0</v>
      </c>
      <c r="Q23" s="24">
        <v>0</v>
      </c>
      <c r="R23" s="18">
        <f>(AM23-AK23)*AA23</f>
        <v>-440448.00000029482</v>
      </c>
      <c r="S23" s="18">
        <f>Q23+R23</f>
        <v>-440448.00000029482</v>
      </c>
      <c r="T23" s="18">
        <f>AM23*AA23</f>
        <v>8110399.9999996768</v>
      </c>
      <c r="U23" s="18">
        <f>(AM23-AK23)*AA23</f>
        <v>-440448.00000029482</v>
      </c>
      <c r="V23" s="24">
        <v>0</v>
      </c>
      <c r="W23" s="18">
        <f>(AM23-AK23)*AA23</f>
        <v>-440448.00000029482</v>
      </c>
      <c r="X23" s="18">
        <f>V23+W23</f>
        <v>-440448.00000029482</v>
      </c>
      <c r="Y23" s="24">
        <v>0</v>
      </c>
      <c r="Z23" s="24">
        <v>0</v>
      </c>
      <c r="AA23" s="24">
        <v>1000000</v>
      </c>
      <c r="AB23" s="24">
        <v>0</v>
      </c>
      <c r="AC23" s="24">
        <v>0</v>
      </c>
      <c r="AD23" s="24">
        <v>1000000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18">
        <f>P15*O15</f>
        <v>8.5508479999999718</v>
      </c>
      <c r="AL23" s="18">
        <f>-AK23*AA23</f>
        <v>-8550847.9999999721</v>
      </c>
      <c r="AM23" s="18">
        <f>Q15*O15</f>
        <v>8.110399999999677</v>
      </c>
      <c r="AN23" s="24">
        <v>0</v>
      </c>
      <c r="AO23" s="24">
        <v>0</v>
      </c>
      <c r="AR23" s="28">
        <v>1900</v>
      </c>
      <c r="AS23" s="28">
        <v>42.87</v>
      </c>
      <c r="AT23" s="32">
        <v>42.93</v>
      </c>
      <c r="AU23" s="33">
        <v>41.65</v>
      </c>
      <c r="AV23" s="34">
        <v>40.99</v>
      </c>
      <c r="AY23" s="35">
        <v>45.45</v>
      </c>
      <c r="BA23" s="35">
        <f t="shared" si="4"/>
        <v>332.04623113602395</v>
      </c>
      <c r="BB23" s="35">
        <f t="shared" si="5"/>
        <v>333.37441358101677</v>
      </c>
      <c r="BC23" s="35">
        <f t="shared" si="6"/>
        <v>321.58006617311287</v>
      </c>
      <c r="BD23" s="35">
        <f t="shared" si="7"/>
        <v>318.00043935646835</v>
      </c>
      <c r="BG23" s="35">
        <f t="shared" si="8"/>
        <v>350.66486649327544</v>
      </c>
    </row>
    <row r="24" spans="1:59" x14ac:dyDescent="0.25">
      <c r="B24" t="s">
        <v>27</v>
      </c>
      <c r="C24" t="s">
        <v>28</v>
      </c>
      <c r="D24" t="s">
        <v>21</v>
      </c>
      <c r="E24" t="s">
        <v>22</v>
      </c>
      <c r="F24" t="s">
        <v>5</v>
      </c>
      <c r="G24" t="s">
        <v>6</v>
      </c>
      <c r="H24" t="s">
        <v>29</v>
      </c>
      <c r="I24" t="s">
        <v>8</v>
      </c>
      <c r="J24" t="s">
        <v>28</v>
      </c>
      <c r="K24" t="s">
        <v>10</v>
      </c>
      <c r="L24" t="s">
        <v>30</v>
      </c>
      <c r="M24" s="1">
        <v>40984</v>
      </c>
      <c r="N24" s="1">
        <v>40984</v>
      </c>
      <c r="O24" t="s">
        <v>11</v>
      </c>
      <c r="P24">
        <v>0</v>
      </c>
      <c r="Q24" s="24">
        <v>0</v>
      </c>
      <c r="R24" s="18">
        <f>(AM24-AK24)*AA24*AC24</f>
        <v>3744254.9405832822</v>
      </c>
      <c r="S24" s="18">
        <f>Q24+R24</f>
        <v>3744254.9405832822</v>
      </c>
      <c r="T24" s="18">
        <f>AM24*AC24*AA24</f>
        <v>9846166.8648704253</v>
      </c>
      <c r="U24" s="18">
        <f>(AM24-AK24)*AA24*AC24</f>
        <v>3744254.9405832822</v>
      </c>
      <c r="V24" s="24">
        <v>0</v>
      </c>
      <c r="W24" s="18">
        <f>AL24</f>
        <v>-6101911.9242871422</v>
      </c>
      <c r="X24" s="18">
        <f>V24+W24</f>
        <v>-6101911.9242871422</v>
      </c>
      <c r="Y24">
        <v>0</v>
      </c>
      <c r="Z24">
        <v>0</v>
      </c>
      <c r="AA24">
        <v>50000</v>
      </c>
      <c r="AB24">
        <v>0</v>
      </c>
      <c r="AC24">
        <v>1</v>
      </c>
      <c r="AD24">
        <v>50000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18">
        <f>P16*O16</f>
        <v>122.03823848574285</v>
      </c>
      <c r="AL24" s="18">
        <f>-AA24*AC24*AK24</f>
        <v>-6101911.9242871422</v>
      </c>
      <c r="AM24" s="18">
        <f>Q16*O16</f>
        <v>196.92333729740849</v>
      </c>
      <c r="AN24">
        <v>0</v>
      </c>
      <c r="AO24">
        <v>0</v>
      </c>
      <c r="AR24" s="28">
        <v>2000</v>
      </c>
      <c r="AS24" s="28">
        <v>40.99</v>
      </c>
      <c r="AT24" s="32">
        <v>41.35</v>
      </c>
      <c r="AU24" s="33">
        <v>40.01</v>
      </c>
      <c r="AV24" s="34">
        <v>39.64</v>
      </c>
      <c r="AY24" s="35">
        <v>42</v>
      </c>
      <c r="BA24" s="35">
        <f t="shared" si="4"/>
        <v>317.48483821473349</v>
      </c>
      <c r="BB24" s="35">
        <f t="shared" si="5"/>
        <v>321.10486842709162</v>
      </c>
      <c r="BC24" s="35">
        <f t="shared" si="6"/>
        <v>308.91760978598433</v>
      </c>
      <c r="BD24" s="35">
        <f t="shared" si="7"/>
        <v>307.52713871896572</v>
      </c>
      <c r="BG24" s="35">
        <f t="shared" si="8"/>
        <v>324.04674131391789</v>
      </c>
    </row>
    <row r="25" spans="1:59" x14ac:dyDescent="0.25">
      <c r="AR25" s="28">
        <v>2100</v>
      </c>
      <c r="AS25" s="28">
        <v>40.299999999999997</v>
      </c>
      <c r="AT25" s="32">
        <v>40.32</v>
      </c>
      <c r="AU25" s="33">
        <v>39.19</v>
      </c>
      <c r="AV25" s="34">
        <v>39.26</v>
      </c>
      <c r="AY25" s="35">
        <v>40.96</v>
      </c>
      <c r="BA25" s="35">
        <f t="shared" si="4"/>
        <v>312.14049719574916</v>
      </c>
      <c r="BB25" s="35">
        <f t="shared" si="5"/>
        <v>313.10636747231763</v>
      </c>
      <c r="BC25" s="35">
        <f t="shared" si="6"/>
        <v>302.58638159242003</v>
      </c>
      <c r="BD25" s="35">
        <f t="shared" si="7"/>
        <v>304.57909853952049</v>
      </c>
      <c r="BG25" s="35">
        <f t="shared" si="8"/>
        <v>316.02272676709703</v>
      </c>
    </row>
    <row r="26" spans="1:59" x14ac:dyDescent="0.25"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9"/>
      <c r="AF26" s="39"/>
      <c r="AG26" s="39"/>
      <c r="AH26" s="24"/>
      <c r="AI26" s="24"/>
      <c r="AJ26" s="24"/>
      <c r="AK26" s="24"/>
      <c r="AL26" s="24"/>
      <c r="AM26" s="24"/>
      <c r="AR26" s="28">
        <v>2200</v>
      </c>
      <c r="AS26" s="28">
        <v>39.04</v>
      </c>
      <c r="AT26" s="32">
        <v>39.29</v>
      </c>
      <c r="AU26" s="33">
        <v>37.9</v>
      </c>
      <c r="AV26" s="34">
        <v>38.21</v>
      </c>
      <c r="AY26" s="35">
        <v>40.47</v>
      </c>
      <c r="BA26" s="35">
        <f t="shared" si="4"/>
        <v>302.38126576977783</v>
      </c>
      <c r="BB26" s="35">
        <f t="shared" si="5"/>
        <v>305.10786651754364</v>
      </c>
      <c r="BC26" s="35">
        <f t="shared" si="6"/>
        <v>292.62627870254448</v>
      </c>
      <c r="BD26" s="35">
        <f t="shared" si="7"/>
        <v>296.43319804368519</v>
      </c>
      <c r="BG26" s="35">
        <f t="shared" si="8"/>
        <v>312.24218145176798</v>
      </c>
    </row>
    <row r="27" spans="1:59" x14ac:dyDescent="0.25">
      <c r="AE27" s="10"/>
      <c r="AF27" s="10"/>
      <c r="AG27" s="10"/>
      <c r="AH27" s="10"/>
      <c r="AI27" s="10"/>
      <c r="AJ27" s="10"/>
      <c r="AK27" s="10"/>
      <c r="AL27" s="24"/>
      <c r="AR27" s="28">
        <v>2300</v>
      </c>
      <c r="AS27" s="28">
        <v>37.21</v>
      </c>
      <c r="AT27" s="32">
        <v>37.700000000000003</v>
      </c>
      <c r="AU27" s="33">
        <v>36.549999999999997</v>
      </c>
      <c r="AV27" s="34">
        <v>37.28</v>
      </c>
      <c r="AY27" s="35">
        <v>39.11</v>
      </c>
      <c r="BA27" s="35">
        <f t="shared" si="4"/>
        <v>288.20714393681953</v>
      </c>
      <c r="BB27" s="35">
        <f t="shared" si="5"/>
        <v>292.76066601454306</v>
      </c>
      <c r="BC27" s="35">
        <f t="shared" si="6"/>
        <v>282.20291521313987</v>
      </c>
      <c r="BD27" s="35">
        <f t="shared" si="7"/>
        <v>289.21825760451668</v>
      </c>
      <c r="BG27" s="35">
        <f t="shared" si="8"/>
        <v>301.74923935207926</v>
      </c>
    </row>
    <row r="28" spans="1:59" x14ac:dyDescent="0.25">
      <c r="AE28" s="10"/>
      <c r="AF28" s="10"/>
      <c r="AG28" s="10"/>
      <c r="AH28" s="10"/>
      <c r="AI28" s="10"/>
      <c r="AJ28" s="10"/>
      <c r="AK28" s="10"/>
      <c r="AL28" s="10"/>
    </row>
    <row r="29" spans="1:59" x14ac:dyDescent="0.25">
      <c r="A29" s="10"/>
      <c r="AE29" s="10"/>
      <c r="AF29" s="10"/>
      <c r="AG29" s="10"/>
      <c r="AH29" s="10"/>
      <c r="AI29" s="10"/>
      <c r="AJ29" s="10"/>
      <c r="AZ29" s="31" t="s">
        <v>67</v>
      </c>
      <c r="BA29" s="37">
        <f>ROUND(AVERAGE(BA12:BA23),2)</f>
        <v>329.62</v>
      </c>
      <c r="BB29" s="37">
        <f t="shared" ref="BB29:BG29" si="9">ROUND(AVERAGE(BB12:BB23),2)</f>
        <v>339.7</v>
      </c>
      <c r="BC29" s="37">
        <f t="shared" si="9"/>
        <v>327.39</v>
      </c>
      <c r="BD29" s="37">
        <f t="shared" si="9"/>
        <v>319.24</v>
      </c>
      <c r="BE29" s="37"/>
      <c r="BF29" s="37"/>
      <c r="BG29" s="37">
        <f t="shared" si="9"/>
        <v>357.48</v>
      </c>
    </row>
    <row r="30" spans="1:59" x14ac:dyDescent="0.25">
      <c r="AE30" s="10"/>
      <c r="AF30" s="10"/>
      <c r="AG30" s="10"/>
      <c r="AH30" s="10"/>
      <c r="AI30" s="10"/>
      <c r="AJ30" s="10"/>
      <c r="AK30" s="10"/>
      <c r="AL30" s="10"/>
    </row>
    <row r="31" spans="1:59" x14ac:dyDescent="0.25">
      <c r="AE31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Oeistein Stemme</dc:creator>
  <cp:lastModifiedBy>Oeistein Stemme</cp:lastModifiedBy>
  <dcterms:created xsi:type="dcterms:W3CDTF">2015-08-21T09:37:04Z</dcterms:created>
  <dcterms:modified xsi:type="dcterms:W3CDTF">2015-08-26T12:12:00Z</dcterms:modified>
</cp:coreProperties>
</file>