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ressioni tests\"/>
    </mc:Choice>
  </mc:AlternateContent>
  <bookViews>
    <workbookView xWindow="0" yWindow="0" windowWidth="21570" windowHeight="8895"/>
  </bookViews>
  <sheets>
    <sheet name="Compare and report date" sheetId="1" r:id="rId1"/>
    <sheet name="Forecast-&gt;Realized" sheetId="2" r:id="rId2"/>
    <sheet name="Market curve" sheetId="3" r:id="rId3"/>
    <sheet name="Exchange curv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H25" i="3"/>
  <c r="I25" i="3" s="1"/>
  <c r="N5" i="2"/>
  <c r="J3" i="2"/>
  <c r="N6" i="2"/>
  <c r="K4" i="2"/>
  <c r="J4" i="2"/>
  <c r="Q44" i="1"/>
  <c r="J5" i="2"/>
  <c r="D14" i="3"/>
  <c r="D14" i="2"/>
  <c r="C6" i="3"/>
  <c r="F7" i="3" s="1"/>
  <c r="C5" i="3"/>
  <c r="F6" i="3" s="1"/>
  <c r="H24" i="3"/>
  <c r="I24" i="3" s="1"/>
  <c r="D29" i="3" s="1"/>
  <c r="J6" i="3"/>
  <c r="N7" i="3" s="1"/>
  <c r="N5" i="3"/>
  <c r="J5" i="3"/>
  <c r="N6" i="3" s="1"/>
  <c r="F5" i="3"/>
  <c r="D29" i="2"/>
  <c r="T37" i="1"/>
  <c r="W37" i="1" s="1"/>
  <c r="T15" i="1"/>
  <c r="D75" i="1"/>
  <c r="G75" i="1"/>
  <c r="C75" i="1"/>
  <c r="F75" i="1"/>
  <c r="I24" i="2"/>
  <c r="H24" i="2"/>
  <c r="D17" i="2"/>
  <c r="N7" i="2"/>
  <c r="J6" i="2"/>
  <c r="F6" i="2"/>
  <c r="F9" i="2" s="1"/>
  <c r="F5" i="2"/>
  <c r="C6" i="2"/>
  <c r="F7" i="2" s="1"/>
  <c r="C5" i="2"/>
  <c r="X48" i="1"/>
  <c r="X45" i="1"/>
  <c r="W38" i="1"/>
  <c r="W36" i="1"/>
  <c r="Q39" i="1"/>
  <c r="J27" i="1"/>
  <c r="L26" i="1"/>
  <c r="J16" i="1"/>
  <c r="J26" i="1"/>
  <c r="J28" i="1"/>
  <c r="D44" i="1"/>
  <c r="X23" i="1"/>
  <c r="W16" i="1"/>
  <c r="W14" i="1"/>
  <c r="Q35" i="1"/>
  <c r="L15" i="1"/>
  <c r="J19" i="1"/>
  <c r="X26" i="1" s="1"/>
  <c r="J17" i="1"/>
  <c r="J15" i="1"/>
  <c r="D39" i="1"/>
  <c r="D35" i="1"/>
  <c r="I7" i="1"/>
  <c r="I6" i="1"/>
  <c r="H2" i="1"/>
  <c r="I2" i="1" s="1"/>
  <c r="J25" i="3" l="1"/>
  <c r="F9" i="3"/>
  <c r="D17" i="3" s="1"/>
  <c r="N9" i="3"/>
  <c r="W15" i="1"/>
  <c r="X18" i="1" s="1"/>
  <c r="X22" i="1" s="1"/>
  <c r="X24" i="1" s="1"/>
  <c r="X28" i="1" s="1"/>
  <c r="X29" i="1" s="1"/>
  <c r="D2" i="1" s="1"/>
  <c r="J2" i="1" s="1"/>
  <c r="N9" i="2"/>
  <c r="X40" i="1"/>
  <c r="X44" i="1" s="1"/>
  <c r="X46" i="1" s="1"/>
  <c r="X50" i="1" s="1"/>
  <c r="X51" i="1" s="1"/>
  <c r="J30" i="1"/>
  <c r="D13" i="3" l="1"/>
  <c r="D13" i="2"/>
  <c r="D7" i="1"/>
  <c r="J7" i="1" s="1"/>
  <c r="D6" i="1"/>
  <c r="J6" i="1" s="1"/>
  <c r="D15" i="3" l="1"/>
  <c r="D19" i="3" s="1"/>
  <c r="D20" i="3" s="1"/>
  <c r="D24" i="3" s="1"/>
  <c r="D15" i="2"/>
  <c r="D19" i="2" s="1"/>
  <c r="D20" i="2" s="1"/>
  <c r="D24" i="2" s="1"/>
  <c r="D30" i="2" s="1"/>
  <c r="D31" i="2" s="1"/>
  <c r="D30" i="3" l="1"/>
  <c r="D31" i="3" s="1"/>
  <c r="J24" i="3"/>
  <c r="J24" i="2"/>
</calcChain>
</file>

<file path=xl/sharedStrings.xml><?xml version="1.0" encoding="utf-8"?>
<sst xmlns="http://schemas.openxmlformats.org/spreadsheetml/2006/main" count="249" uniqueCount="100">
  <si>
    <t>Float 01-Jan-12-01-Feb-12</t>
  </si>
  <si>
    <t>Volume</t>
  </si>
  <si>
    <t>Amount</t>
  </si>
  <si>
    <t>Hours</t>
  </si>
  <si>
    <t>Unrealized Comp date</t>
  </si>
  <si>
    <t>Unrealized Report date</t>
  </si>
  <si>
    <t>Index pris</t>
  </si>
  <si>
    <t>NP System</t>
  </si>
  <si>
    <t>Margin</t>
  </si>
  <si>
    <t>Compare date index price</t>
  </si>
  <si>
    <t>Brn Settlement</t>
  </si>
  <si>
    <t>03.10.2011</t>
  </si>
  <si>
    <t>04.10.2011</t>
  </si>
  <si>
    <t>05.10.2011</t>
  </si>
  <si>
    <t>06.10.2011</t>
  </si>
  <si>
    <t>07.10.2011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</si>
  <si>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</si>
  <si>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</si>
  <si>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</si>
  <si>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</si>
  <si>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</si>
  <si>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</si>
  <si>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</si>
  <si>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</si>
  <si>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</si>
  <si>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</si>
  <si>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</si>
  <si>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</si>
  <si>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</si>
  <si>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</si>
  <si>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</si>
  <si>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</si>
  <si>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01.11.2011</t>
  </si>
  <si>
    <t>02.11.2011</t>
  </si>
  <si>
    <t>03.11.2011</t>
  </si>
  <si>
    <t>04.11.2011</t>
  </si>
  <si>
    <t>07.11.2011</t>
  </si>
  <si>
    <t>08.11.2011</t>
  </si>
  <si>
    <t>09.11.2011</t>
  </si>
  <si>
    <t>10.11.2011</t>
  </si>
  <si>
    <t>11.11.2011</t>
  </si>
  <si>
    <t>Average so far this month</t>
  </si>
  <si>
    <t>Brent oil(BRN)</t>
  </si>
  <si>
    <t>07.11.2011-30.11.2011</t>
  </si>
  <si>
    <t>01.12.2011-31.12.2011</t>
  </si>
  <si>
    <t>Montly prises</t>
  </si>
  <si>
    <t>October</t>
  </si>
  <si>
    <t>November</t>
  </si>
  <si>
    <t>December</t>
  </si>
  <si>
    <t>Days</t>
  </si>
  <si>
    <t>All(BrentOil,3,0,1)</t>
  </si>
  <si>
    <t>Currency USD/EUR</t>
  </si>
  <si>
    <t>USD/EUR</t>
  </si>
  <si>
    <t>14.11.2011</t>
  </si>
  <si>
    <t>Currency USD/EUR settlement</t>
  </si>
  <si>
    <t>Compare date currency usd/EUR</t>
  </si>
  <si>
    <t>All(USD/EUR,3,0,1)</t>
  </si>
  <si>
    <t>0.2 * ALL(USD/EUR,3,0,1)</t>
  </si>
  <si>
    <t>0.8*Currency</t>
  </si>
  <si>
    <t>Sum</t>
  </si>
  <si>
    <t>Brent/currency</t>
  </si>
  <si>
    <t>1.05 * brent/currency</t>
  </si>
  <si>
    <t>Report date index price</t>
  </si>
  <si>
    <t>14.11.2011-30.11.2011</t>
  </si>
  <si>
    <t>Forecast to realized:</t>
  </si>
  <si>
    <t>Use historic values until report date, but keep the original curves and exchange rates</t>
  </si>
  <si>
    <t>Currency Montly prises</t>
  </si>
  <si>
    <t>14.11-2011-30.11.2011</t>
  </si>
  <si>
    <t>Report date currency usd/EUR</t>
  </si>
  <si>
    <t>Exchange rate forward curve compare date</t>
  </si>
  <si>
    <t>12.11.2011</t>
  </si>
  <si>
    <t>13.11.2011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</si>
  <si>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</si>
  <si>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</si>
  <si>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</si>
  <si>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</si>
  <si>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</si>
  <si>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</si>
  <si>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</si>
  <si>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</si>
  <si>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</si>
  <si>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</si>
  <si>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</si>
  <si>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</si>
  <si>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</si>
  <si>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</si>
  <si>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</si>
  <si>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</si>
  <si>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Exchange rate forward curve report date</t>
  </si>
  <si>
    <t>Note that Forecast-&gt;Realized is assumed already done</t>
  </si>
  <si>
    <t>Note that Forecast-&gt;Realized and market curve is assumed already done</t>
  </si>
  <si>
    <t>Component based calculations:</t>
  </si>
  <si>
    <t>Market</t>
  </si>
  <si>
    <t>Book</t>
  </si>
  <si>
    <t>Market price</t>
  </si>
  <si>
    <t>Use historic values until report date, keep the original exchange rates but use new curve</t>
  </si>
  <si>
    <t>Equal to report date caluclations so no need to calculate this, just compare with report date</t>
  </si>
  <si>
    <t>01.10.2011-31.10.2011</t>
  </si>
  <si>
    <t>01.11.2011-13.11.2011</t>
  </si>
  <si>
    <t>BRENT_301_8020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</si>
</sst>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.000000000000"/>
    <numFmt numFmtId="171" formatCode="0.00000000000000"/>
    <numFmt numFmtId="172" formatCode="0.000000000000000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169" fontId="0" fillId="0" borderId="0" xfId="0" applyNumberFormat="1"/>
    <xf numFmtId="172" fontId="0" fillId="0" borderId="0" xfId="0" applyNumberFormat="1"/>
    <xf numFmtId="173" fontId="0" fillId="0" borderId="0" xfId="0" applyNumberFormat="1"/>
    <xf numFmtId="171" fontId="1" fillId="2" borderId="0" xfId="1" applyNumberFormat="1"/>
  </cellXfs>
  <cellStyles count="3">
    <cellStyle name="God" xfId="1" builtinId="26"/>
    <cellStyle name="Normal" xfId="0" builtinId="0"/>
    <cellStyle name="Nøy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workbookViewId="0">
      <selection activeCell="C3" sqref="C3"/>
    </sheetView>
  </sheetViews>
  <sheetFormatPr baseColWidth="10" defaultRowHeight="15" x14ac:dyDescent="0.25"/>
  <cols>
    <col min="1" max="1" width="15.7109375" bestFit="1" customWidth="1"/>
    <col min="3" max="3" width="29.7109375" customWidth="1"/>
    <col min="4" max="4" width="25.28515625" customWidth="1"/>
    <col min="5" max="5" width="21.42578125" customWidth="1"/>
    <col min="6" max="6" width="21.42578125" bestFit="1" customWidth="1"/>
    <col min="15" max="15" width="27.85546875" bestFit="1" customWidth="1"/>
    <col min="17" max="17" width="23.85546875" bestFit="1" customWidth="1"/>
    <col min="19" max="19" width="21.28515625" customWidth="1"/>
  </cols>
  <sheetData>
    <row r="1" spans="1:24" x14ac:dyDescent="0.25">
      <c r="A1" s="1" t="s">
        <v>99</v>
      </c>
      <c r="B1" t="s">
        <v>4</v>
      </c>
      <c r="D1" t="s">
        <v>6</v>
      </c>
      <c r="E1" t="s">
        <v>8</v>
      </c>
      <c r="F1" t="s">
        <v>7</v>
      </c>
      <c r="G1" t="s">
        <v>2</v>
      </c>
      <c r="H1" t="s">
        <v>3</v>
      </c>
      <c r="I1" t="s">
        <v>1</v>
      </c>
    </row>
    <row r="2" spans="1:24" x14ac:dyDescent="0.25">
      <c r="B2" t="s">
        <v>0</v>
      </c>
      <c r="D2">
        <f>X29</f>
        <v>85.363945971527585</v>
      </c>
      <c r="E2">
        <v>1.25</v>
      </c>
      <c r="F2">
        <v>51.3</v>
      </c>
      <c r="G2">
        <v>10</v>
      </c>
      <c r="H2">
        <f>31*24</f>
        <v>744</v>
      </c>
      <c r="I2">
        <f>G2*H2</f>
        <v>7440</v>
      </c>
      <c r="J2">
        <f>(F2-(D2+E2))*I2</f>
        <v>-262735.75802816526</v>
      </c>
    </row>
    <row r="5" spans="1:24" x14ac:dyDescent="0.25">
      <c r="B5" t="s">
        <v>5</v>
      </c>
    </row>
    <row r="6" spans="1:24" x14ac:dyDescent="0.25">
      <c r="D6">
        <f>X51</f>
        <v>85.62348395720548</v>
      </c>
      <c r="E6">
        <v>1.25</v>
      </c>
      <c r="F6">
        <v>47.3</v>
      </c>
      <c r="G6">
        <v>10</v>
      </c>
      <c r="H6">
        <v>744</v>
      </c>
      <c r="I6">
        <f>G6*H6</f>
        <v>7440</v>
      </c>
      <c r="J6">
        <f>(F6-(D6+E6))*I6</f>
        <v>-294426.72064160882</v>
      </c>
    </row>
    <row r="7" spans="1:24" x14ac:dyDescent="0.25">
      <c r="D7">
        <f>X51</f>
        <v>85.62348395720548</v>
      </c>
      <c r="E7">
        <v>1.25</v>
      </c>
      <c r="F7">
        <v>47.3</v>
      </c>
      <c r="G7">
        <v>-5</v>
      </c>
      <c r="H7">
        <v>744</v>
      </c>
      <c r="I7">
        <f>G7*H7</f>
        <v>-3720</v>
      </c>
      <c r="J7">
        <f>(F7-(D7+E7))*I7</f>
        <v>147213.36032080441</v>
      </c>
    </row>
    <row r="10" spans="1:24" x14ac:dyDescent="0.25">
      <c r="A10" t="s">
        <v>52</v>
      </c>
      <c r="B10" t="s">
        <v>36</v>
      </c>
      <c r="C10" s="2">
        <v>1.3715319674197399</v>
      </c>
    </row>
    <row r="11" spans="1:24" x14ac:dyDescent="0.25">
      <c r="B11" t="s">
        <v>53</v>
      </c>
      <c r="C11" s="3">
        <v>1.3635561790491799</v>
      </c>
    </row>
    <row r="13" spans="1:24" x14ac:dyDescent="0.25">
      <c r="F13" s="2" t="s">
        <v>9</v>
      </c>
      <c r="G13" s="2"/>
      <c r="H13" s="2"/>
      <c r="I13" s="2"/>
      <c r="J13" s="2"/>
      <c r="K13" s="2"/>
      <c r="L13" s="2" t="s">
        <v>51</v>
      </c>
      <c r="M13" s="2"/>
      <c r="S13" s="2" t="s">
        <v>55</v>
      </c>
      <c r="T13" s="2"/>
      <c r="U13" s="2"/>
      <c r="V13" s="2" t="s">
        <v>45</v>
      </c>
      <c r="W13" s="2"/>
      <c r="X13" s="2"/>
    </row>
    <row r="14" spans="1:24" x14ac:dyDescent="0.25">
      <c r="B14" s="1" t="s">
        <v>10</v>
      </c>
      <c r="C14" s="1"/>
      <c r="D14" s="1" t="s">
        <v>41</v>
      </c>
      <c r="E14" s="1" t="s">
        <v>49</v>
      </c>
      <c r="F14" s="2" t="s">
        <v>42</v>
      </c>
      <c r="G14" s="2"/>
      <c r="H14" s="2" t="s">
        <v>49</v>
      </c>
      <c r="I14" s="2" t="s">
        <v>45</v>
      </c>
      <c r="J14" s="2"/>
      <c r="K14" s="2"/>
      <c r="L14" s="2"/>
      <c r="M14" s="2"/>
      <c r="O14" t="s">
        <v>54</v>
      </c>
      <c r="Q14" t="s">
        <v>41</v>
      </c>
      <c r="R14" t="s">
        <v>49</v>
      </c>
      <c r="S14" s="2"/>
      <c r="T14" s="2"/>
      <c r="U14" s="2"/>
      <c r="V14" s="2" t="s">
        <v>46</v>
      </c>
      <c r="W14" s="2">
        <f>Q35</f>
        <v>1.3706333333333334</v>
      </c>
      <c r="X14" s="2"/>
    </row>
    <row r="15" spans="1:24" x14ac:dyDescent="0.25">
      <c r="B15" t="s">
        <v>11</v>
      </c>
      <c r="C15">
        <v>103.3</v>
      </c>
      <c r="F15" s="2" t="s">
        <v>43</v>
      </c>
      <c r="G15" s="2">
        <v>111.79</v>
      </c>
      <c r="H15" s="2">
        <v>24</v>
      </c>
      <c r="I15" s="2" t="s">
        <v>46</v>
      </c>
      <c r="J15" s="2">
        <f>D35</f>
        <v>108.52999999999999</v>
      </c>
      <c r="K15" s="2"/>
      <c r="L15" s="2">
        <f>C10</f>
        <v>1.3715319674197399</v>
      </c>
      <c r="M15" s="2"/>
      <c r="O15" t="s">
        <v>11</v>
      </c>
      <c r="P15">
        <v>1.3327</v>
      </c>
      <c r="S15" s="2" t="s">
        <v>43</v>
      </c>
      <c r="T15" s="2">
        <f>D75</f>
        <v>1.3738790827737108</v>
      </c>
      <c r="U15" s="2">
        <v>24</v>
      </c>
      <c r="V15" s="2" t="s">
        <v>47</v>
      </c>
      <c r="W15" s="2">
        <f>(Q39*R39+T15*U15)/(U15+R39)</f>
        <v>1.3739749280917519</v>
      </c>
      <c r="X15" s="2"/>
    </row>
    <row r="16" spans="1:24" x14ac:dyDescent="0.25">
      <c r="B16" t="s">
        <v>12</v>
      </c>
      <c r="C16">
        <v>102.17</v>
      </c>
      <c r="F16" s="2" t="s">
        <v>44</v>
      </c>
      <c r="G16" s="2">
        <v>114.55999999997201</v>
      </c>
      <c r="H16" s="2"/>
      <c r="I16" s="2" t="s">
        <v>47</v>
      </c>
      <c r="J16" s="2">
        <f>(D39*E39 + G15*H15) / (H15+E39)</f>
        <v>111.46785714285714</v>
      </c>
      <c r="K16" s="2"/>
      <c r="L16" s="2"/>
      <c r="M16" s="2"/>
      <c r="O16" t="s">
        <v>12</v>
      </c>
      <c r="P16">
        <v>1.3181</v>
      </c>
      <c r="S16" s="2" t="s">
        <v>44</v>
      </c>
      <c r="T16" s="2">
        <v>1.3727761544334001</v>
      </c>
      <c r="U16" s="2"/>
      <c r="V16" s="2" t="s">
        <v>48</v>
      </c>
      <c r="W16" s="2">
        <f>T16</f>
        <v>1.3727761544334001</v>
      </c>
      <c r="X16" s="2"/>
    </row>
    <row r="17" spans="2:24" x14ac:dyDescent="0.25">
      <c r="B17" t="s">
        <v>13</v>
      </c>
      <c r="C17">
        <v>100.72</v>
      </c>
      <c r="F17" s="2"/>
      <c r="G17" s="2"/>
      <c r="H17" s="2"/>
      <c r="I17" s="2" t="s">
        <v>48</v>
      </c>
      <c r="J17" s="2">
        <f>G16</f>
        <v>114.55999999997201</v>
      </c>
      <c r="K17" s="2"/>
      <c r="L17" s="2"/>
      <c r="M17" s="2"/>
      <c r="O17" t="s">
        <v>13</v>
      </c>
      <c r="P17">
        <v>1.3337000000000001</v>
      </c>
      <c r="V17" s="2"/>
      <c r="W17" s="2"/>
      <c r="X17" s="2"/>
    </row>
    <row r="18" spans="2:24" x14ac:dyDescent="0.25">
      <c r="B18" t="s">
        <v>14</v>
      </c>
      <c r="C18">
        <v>102.04</v>
      </c>
      <c r="F18" s="2"/>
      <c r="G18" s="2"/>
      <c r="H18" s="2"/>
      <c r="I18" s="2"/>
      <c r="J18" s="2"/>
      <c r="K18" s="2"/>
      <c r="L18" s="2"/>
      <c r="M18" s="2"/>
      <c r="O18" t="s">
        <v>14</v>
      </c>
      <c r="P18">
        <v>1.3269</v>
      </c>
      <c r="V18" s="2" t="s">
        <v>56</v>
      </c>
      <c r="W18" s="2"/>
      <c r="X18" s="2">
        <f>AVERAGE(W14:W16)</f>
        <v>1.3724614719528285</v>
      </c>
    </row>
    <row r="19" spans="2:24" x14ac:dyDescent="0.25">
      <c r="B19" t="s">
        <v>15</v>
      </c>
      <c r="C19">
        <v>103.75</v>
      </c>
      <c r="F19" s="2"/>
      <c r="G19" s="2"/>
      <c r="H19" s="2" t="s">
        <v>50</v>
      </c>
      <c r="I19" s="2"/>
      <c r="J19" s="2">
        <f>AVERAGE(J15:J17)</f>
        <v>111.51928571427636</v>
      </c>
      <c r="K19" s="2"/>
      <c r="L19" s="2"/>
      <c r="M19" s="2"/>
      <c r="O19" t="s">
        <v>15</v>
      </c>
      <c r="P19">
        <v>1.3433999999999999</v>
      </c>
      <c r="V19" s="2"/>
      <c r="W19" s="2"/>
      <c r="X19" s="2"/>
    </row>
    <row r="20" spans="2:24" x14ac:dyDescent="0.25">
      <c r="B20" t="s">
        <v>16</v>
      </c>
      <c r="C20">
        <v>105.7</v>
      </c>
      <c r="F20" s="2" t="s">
        <v>67</v>
      </c>
      <c r="G20" s="2">
        <v>111.79</v>
      </c>
      <c r="H20" s="2"/>
      <c r="I20" s="2"/>
      <c r="J20" s="2"/>
      <c r="K20" s="2"/>
      <c r="L20" s="2"/>
      <c r="M20" s="2"/>
      <c r="O20" t="s">
        <v>16</v>
      </c>
      <c r="P20">
        <v>1.3593</v>
      </c>
      <c r="V20" s="2"/>
      <c r="W20" s="2"/>
      <c r="X20" s="2"/>
    </row>
    <row r="21" spans="2:24" x14ac:dyDescent="0.25">
      <c r="B21" t="s">
        <v>17</v>
      </c>
      <c r="C21">
        <v>107.94</v>
      </c>
      <c r="O21" t="s">
        <v>17</v>
      </c>
      <c r="P21">
        <v>1.3607</v>
      </c>
      <c r="V21" s="2"/>
      <c r="W21" s="2"/>
      <c r="X21" s="2"/>
    </row>
    <row r="22" spans="2:24" x14ac:dyDescent="0.25">
      <c r="B22" t="s">
        <v>18</v>
      </c>
      <c r="C22">
        <v>109.24</v>
      </c>
      <c r="O22" t="s">
        <v>18</v>
      </c>
      <c r="P22">
        <v>1.3766</v>
      </c>
      <c r="V22" s="2" t="s">
        <v>57</v>
      </c>
      <c r="W22" s="2"/>
      <c r="X22" s="2">
        <f>0.2*X18</f>
        <v>0.27449229439056572</v>
      </c>
    </row>
    <row r="23" spans="2:24" x14ac:dyDescent="0.25">
      <c r="B23" t="s">
        <v>19</v>
      </c>
      <c r="C23">
        <v>111.9</v>
      </c>
      <c r="O23" t="s">
        <v>19</v>
      </c>
      <c r="P23">
        <v>1.3727</v>
      </c>
      <c r="V23" s="2" t="s">
        <v>58</v>
      </c>
      <c r="W23" s="2"/>
      <c r="X23" s="2">
        <f>0.8*L15</f>
        <v>1.0972255739357919</v>
      </c>
    </row>
    <row r="24" spans="2:24" x14ac:dyDescent="0.25">
      <c r="B24" t="s">
        <v>20</v>
      </c>
      <c r="C24">
        <v>110.67</v>
      </c>
      <c r="F24" s="3" t="s">
        <v>62</v>
      </c>
      <c r="G24" s="3"/>
      <c r="H24" s="3"/>
      <c r="I24" s="3"/>
      <c r="J24" s="3"/>
      <c r="K24" s="3"/>
      <c r="L24" s="3" t="s">
        <v>51</v>
      </c>
      <c r="M24" s="3"/>
      <c r="O24" t="s">
        <v>20</v>
      </c>
      <c r="P24">
        <v>1.3807</v>
      </c>
      <c r="V24" s="2" t="s">
        <v>59</v>
      </c>
      <c r="W24" s="2"/>
      <c r="X24" s="2">
        <f>X22+X23</f>
        <v>1.3717178683263576</v>
      </c>
    </row>
    <row r="25" spans="2:24" x14ac:dyDescent="0.25">
      <c r="B25" t="s">
        <v>21</v>
      </c>
      <c r="C25">
        <v>114.53</v>
      </c>
      <c r="F25" s="3" t="s">
        <v>42</v>
      </c>
      <c r="G25" s="3"/>
      <c r="H25" s="3" t="s">
        <v>49</v>
      </c>
      <c r="I25" s="3" t="s">
        <v>45</v>
      </c>
      <c r="J25" s="3"/>
      <c r="K25" s="3"/>
      <c r="L25" s="3"/>
      <c r="M25" s="3"/>
      <c r="O25" t="s">
        <v>21</v>
      </c>
      <c r="P25">
        <v>1.3775999999999999</v>
      </c>
      <c r="V25" s="2"/>
      <c r="W25" s="2"/>
      <c r="X25" s="2"/>
    </row>
    <row r="26" spans="2:24" x14ac:dyDescent="0.25">
      <c r="B26" t="s">
        <v>22</v>
      </c>
      <c r="C26">
        <v>111.64</v>
      </c>
      <c r="F26" s="3" t="s">
        <v>63</v>
      </c>
      <c r="G26" s="3">
        <v>114.16</v>
      </c>
      <c r="H26" s="3">
        <v>17</v>
      </c>
      <c r="I26" s="3" t="s">
        <v>46</v>
      </c>
      <c r="J26" s="3">
        <f>D35</f>
        <v>108.52999999999999</v>
      </c>
      <c r="K26" s="3"/>
      <c r="L26" s="3">
        <f>C11</f>
        <v>1.3635561790491799</v>
      </c>
      <c r="M26" s="3"/>
      <c r="O26" t="s">
        <v>22</v>
      </c>
      <c r="P26">
        <v>1.3675999999999999</v>
      </c>
      <c r="V26" s="2" t="s">
        <v>50</v>
      </c>
      <c r="W26" s="2"/>
      <c r="X26" s="2">
        <f>J19</f>
        <v>111.51928571427636</v>
      </c>
    </row>
    <row r="27" spans="2:24" x14ac:dyDescent="0.25">
      <c r="B27" t="s">
        <v>23</v>
      </c>
      <c r="C27">
        <v>110.13</v>
      </c>
      <c r="F27" s="3" t="s">
        <v>44</v>
      </c>
      <c r="G27" s="3">
        <v>111.890000000014</v>
      </c>
      <c r="H27" s="3"/>
      <c r="I27" s="3" t="s">
        <v>47</v>
      </c>
      <c r="J27" s="3">
        <f>(D44*E44 + G26*H26) / (E44+H26)</f>
        <v>113.36038461538462</v>
      </c>
      <c r="K27" s="3"/>
      <c r="L27" s="3"/>
      <c r="M27" s="3"/>
      <c r="O27" t="s">
        <v>23</v>
      </c>
      <c r="P27">
        <v>1.3828</v>
      </c>
      <c r="V27" s="2"/>
      <c r="W27" s="2"/>
      <c r="X27" s="2"/>
    </row>
    <row r="28" spans="2:24" x14ac:dyDescent="0.25">
      <c r="B28" t="s">
        <v>24</v>
      </c>
      <c r="C28">
        <v>110.5</v>
      </c>
      <c r="F28" s="3"/>
      <c r="G28" s="3"/>
      <c r="H28" s="3"/>
      <c r="I28" s="3" t="s">
        <v>48</v>
      </c>
      <c r="J28" s="3">
        <f>G27</f>
        <v>111.890000000014</v>
      </c>
      <c r="K28" s="3"/>
      <c r="L28" s="3"/>
      <c r="M28" s="3"/>
      <c r="O28" t="s">
        <v>24</v>
      </c>
      <c r="P28">
        <v>1.3807</v>
      </c>
      <c r="V28" s="2" t="s">
        <v>60</v>
      </c>
      <c r="W28" s="2"/>
      <c r="X28" s="2">
        <f>X26/X24</f>
        <v>81.298996163359604</v>
      </c>
    </row>
    <row r="29" spans="2:24" x14ac:dyDescent="0.25">
      <c r="B29" t="s">
        <v>25</v>
      </c>
      <c r="C29">
        <v>109.34</v>
      </c>
      <c r="F29" s="3"/>
      <c r="G29" s="3"/>
      <c r="H29" s="3"/>
      <c r="I29" s="3"/>
      <c r="J29" s="3"/>
      <c r="K29" s="3"/>
      <c r="L29" s="3"/>
      <c r="M29" s="3"/>
      <c r="O29" t="s">
        <v>25</v>
      </c>
      <c r="P29">
        <v>1.3797999999999999</v>
      </c>
      <c r="V29" s="2" t="s">
        <v>61</v>
      </c>
      <c r="W29" s="2"/>
      <c r="X29" s="2">
        <f>1.05*X28</f>
        <v>85.363945971527585</v>
      </c>
    </row>
    <row r="30" spans="2:24" x14ac:dyDescent="0.25">
      <c r="B30" t="s">
        <v>26</v>
      </c>
      <c r="C30">
        <v>110.51</v>
      </c>
      <c r="F30" s="3"/>
      <c r="G30" s="3"/>
      <c r="H30" s="3" t="s">
        <v>50</v>
      </c>
      <c r="I30" s="3"/>
      <c r="J30" s="3">
        <f>AVERAGE(J26:J28)</f>
        <v>111.26012820513286</v>
      </c>
      <c r="K30" s="3"/>
      <c r="L30" s="3"/>
      <c r="M30" s="3"/>
      <c r="O30" t="s">
        <v>26</v>
      </c>
      <c r="P30">
        <v>1.3855999999999999</v>
      </c>
    </row>
    <row r="31" spans="2:24" x14ac:dyDescent="0.25">
      <c r="B31" t="s">
        <v>27</v>
      </c>
      <c r="C31">
        <v>110.84</v>
      </c>
      <c r="F31" s="3"/>
      <c r="G31" s="3"/>
      <c r="H31" s="3"/>
      <c r="I31" s="3"/>
      <c r="J31" s="3"/>
      <c r="K31" s="3"/>
      <c r="L31" s="3"/>
      <c r="M31" s="3"/>
      <c r="O31" t="s">
        <v>27</v>
      </c>
      <c r="P31">
        <v>1.3917999999999999</v>
      </c>
    </row>
    <row r="32" spans="2:24" x14ac:dyDescent="0.25">
      <c r="B32" t="s">
        <v>28</v>
      </c>
      <c r="C32">
        <v>111.45</v>
      </c>
      <c r="O32" t="s">
        <v>28</v>
      </c>
      <c r="P32">
        <v>1.3927</v>
      </c>
    </row>
    <row r="33" spans="2:24" x14ac:dyDescent="0.25">
      <c r="B33" t="s">
        <v>29</v>
      </c>
      <c r="C33">
        <v>110.41</v>
      </c>
      <c r="O33" t="s">
        <v>29</v>
      </c>
      <c r="P33">
        <v>1.4037999999999999</v>
      </c>
    </row>
    <row r="34" spans="2:24" x14ac:dyDescent="0.25">
      <c r="B34" t="s">
        <v>30</v>
      </c>
      <c r="C34">
        <v>111.74</v>
      </c>
      <c r="O34" t="s">
        <v>30</v>
      </c>
      <c r="P34">
        <v>1.4159999999999999</v>
      </c>
    </row>
    <row r="35" spans="2:24" x14ac:dyDescent="0.25">
      <c r="B35" t="s">
        <v>31</v>
      </c>
      <c r="C35">
        <v>110.61</v>
      </c>
      <c r="D35">
        <f>AVERAGE(C15:C35)</f>
        <v>108.52999999999999</v>
      </c>
      <c r="O35" t="s">
        <v>31</v>
      </c>
      <c r="P35">
        <v>1.4000999999999999</v>
      </c>
      <c r="Q35">
        <f>AVERAGE(P15:P35)</f>
        <v>1.3706333333333334</v>
      </c>
      <c r="S35" s="3" t="s">
        <v>68</v>
      </c>
      <c r="T35" s="3"/>
      <c r="U35" s="3"/>
      <c r="V35" s="3" t="s">
        <v>45</v>
      </c>
      <c r="W35" s="3"/>
      <c r="X35" s="3"/>
    </row>
    <row r="36" spans="2:24" x14ac:dyDescent="0.25">
      <c r="B36" t="s">
        <v>32</v>
      </c>
      <c r="C36">
        <v>109.26</v>
      </c>
      <c r="O36" t="s">
        <v>32</v>
      </c>
      <c r="P36">
        <v>1.3627</v>
      </c>
      <c r="S36" s="3"/>
      <c r="T36" s="3"/>
      <c r="U36" s="3"/>
      <c r="V36" s="3" t="s">
        <v>46</v>
      </c>
      <c r="W36" s="3">
        <f>Q35</f>
        <v>1.3706333333333334</v>
      </c>
      <c r="X36" s="3"/>
    </row>
    <row r="37" spans="2:24" x14ac:dyDescent="0.25">
      <c r="B37" t="s">
        <v>33</v>
      </c>
      <c r="C37">
        <v>107.96</v>
      </c>
      <c r="O37" t="s">
        <v>33</v>
      </c>
      <c r="P37">
        <v>1.3809</v>
      </c>
      <c r="S37" s="3" t="s">
        <v>63</v>
      </c>
      <c r="T37" s="3">
        <f>G75</f>
        <v>1.365717089866002</v>
      </c>
      <c r="U37" s="3">
        <v>17</v>
      </c>
      <c r="V37" s="3" t="s">
        <v>47</v>
      </c>
      <c r="W37" s="3">
        <f>(Q44*R44+T37*U37)/(U37+R44)</f>
        <v>1.3676265587585399</v>
      </c>
      <c r="X37" s="3"/>
    </row>
    <row r="38" spans="2:24" x14ac:dyDescent="0.25">
      <c r="B38" t="s">
        <v>34</v>
      </c>
      <c r="C38">
        <v>110.58</v>
      </c>
      <c r="O38" t="s">
        <v>34</v>
      </c>
      <c r="P38">
        <v>1.3773</v>
      </c>
      <c r="S38" s="3" t="s">
        <v>44</v>
      </c>
      <c r="T38" s="3">
        <v>1.36479496547081</v>
      </c>
      <c r="U38" s="3"/>
      <c r="V38" s="3" t="s">
        <v>48</v>
      </c>
      <c r="W38" s="3">
        <f>T38</f>
        <v>1.36479496547081</v>
      </c>
      <c r="X38" s="3"/>
    </row>
    <row r="39" spans="2:24" x14ac:dyDescent="0.25">
      <c r="B39" t="s">
        <v>35</v>
      </c>
      <c r="C39">
        <v>110.34</v>
      </c>
      <c r="D39">
        <f>AVERAGE(C36:C39)</f>
        <v>109.535</v>
      </c>
      <c r="E39">
        <v>4</v>
      </c>
      <c r="O39" t="s">
        <v>35</v>
      </c>
      <c r="P39">
        <v>1.3773</v>
      </c>
      <c r="Q39">
        <f>AVERAGE(P36:P39)</f>
        <v>1.3745499999999999</v>
      </c>
      <c r="R39">
        <v>4</v>
      </c>
      <c r="V39" s="3"/>
      <c r="W39" s="3"/>
      <c r="X39" s="3"/>
    </row>
    <row r="40" spans="2:24" x14ac:dyDescent="0.25">
      <c r="B40" t="s">
        <v>36</v>
      </c>
      <c r="C40">
        <v>111.79</v>
      </c>
      <c r="O40" t="s">
        <v>36</v>
      </c>
      <c r="P40">
        <v>1.3742000000000001</v>
      </c>
      <c r="V40" s="3" t="s">
        <v>56</v>
      </c>
      <c r="W40" s="3"/>
      <c r="X40" s="3">
        <f>AVERAGE(W36:W38)</f>
        <v>1.3676849525208945</v>
      </c>
    </row>
    <row r="41" spans="2:24" x14ac:dyDescent="0.25">
      <c r="B41" t="s">
        <v>37</v>
      </c>
      <c r="C41">
        <v>113.78</v>
      </c>
      <c r="O41" t="s">
        <v>37</v>
      </c>
      <c r="P41">
        <v>1.3788</v>
      </c>
      <c r="V41" s="3"/>
      <c r="W41" s="3"/>
      <c r="X41" s="3"/>
    </row>
    <row r="42" spans="2:24" x14ac:dyDescent="0.25">
      <c r="B42" t="s">
        <v>38</v>
      </c>
      <c r="C42">
        <v>115.75</v>
      </c>
      <c r="O42" t="s">
        <v>38</v>
      </c>
      <c r="P42">
        <v>1.3633</v>
      </c>
      <c r="V42" s="3"/>
      <c r="W42" s="3"/>
      <c r="X42" s="3"/>
    </row>
    <row r="43" spans="2:24" x14ac:dyDescent="0.25">
      <c r="B43" t="s">
        <v>39</v>
      </c>
      <c r="C43">
        <v>113.81</v>
      </c>
      <c r="O43" t="s">
        <v>39</v>
      </c>
      <c r="P43">
        <v>1.3615999999999999</v>
      </c>
      <c r="V43" s="3"/>
      <c r="W43" s="3"/>
      <c r="X43" s="3"/>
    </row>
    <row r="44" spans="2:24" x14ac:dyDescent="0.25">
      <c r="B44" t="s">
        <v>40</v>
      </c>
      <c r="C44">
        <v>113.38</v>
      </c>
      <c r="D44">
        <f>AVERAGE(C36:C44)</f>
        <v>111.85</v>
      </c>
      <c r="E44">
        <v>9</v>
      </c>
      <c r="O44" t="s">
        <v>40</v>
      </c>
      <c r="P44">
        <v>1.365</v>
      </c>
      <c r="Q44">
        <f>AVERAGE(P36:P44)</f>
        <v>1.3712333333333335</v>
      </c>
      <c r="R44">
        <v>9</v>
      </c>
      <c r="V44" s="3" t="s">
        <v>57</v>
      </c>
      <c r="W44" s="3"/>
      <c r="X44" s="3">
        <f>0.2*X40</f>
        <v>0.2735369905041789</v>
      </c>
    </row>
    <row r="45" spans="2:24" x14ac:dyDescent="0.25">
      <c r="V45" s="3" t="s">
        <v>58</v>
      </c>
      <c r="W45" s="3"/>
      <c r="X45" s="3">
        <f>0.8*L26</f>
        <v>1.0908449432393439</v>
      </c>
    </row>
    <row r="46" spans="2:24" x14ac:dyDescent="0.25">
      <c r="V46" s="3" t="s">
        <v>59</v>
      </c>
      <c r="W46" s="3"/>
      <c r="X46" s="3">
        <f>X44+X45</f>
        <v>1.3643819337435228</v>
      </c>
    </row>
    <row r="47" spans="2:24" x14ac:dyDescent="0.25">
      <c r="V47" s="3"/>
      <c r="W47" s="3"/>
      <c r="X47" s="3"/>
    </row>
    <row r="48" spans="2:24" x14ac:dyDescent="0.25">
      <c r="V48" s="3" t="s">
        <v>50</v>
      </c>
      <c r="W48" s="3"/>
      <c r="X48" s="3">
        <f>J30</f>
        <v>111.26012820513286</v>
      </c>
    </row>
    <row r="49" spans="2:24" x14ac:dyDescent="0.25">
      <c r="B49" t="s">
        <v>69</v>
      </c>
      <c r="E49" t="s">
        <v>88</v>
      </c>
      <c r="V49" s="3"/>
      <c r="W49" s="3"/>
      <c r="X49" s="3"/>
    </row>
    <row r="50" spans="2:24" x14ac:dyDescent="0.25">
      <c r="B50" t="s">
        <v>36</v>
      </c>
      <c r="C50">
        <v>0.72766659375787801</v>
      </c>
      <c r="D50">
        <v>1.3742557492377301</v>
      </c>
      <c r="V50" s="3" t="s">
        <v>60</v>
      </c>
      <c r="W50" s="3"/>
      <c r="X50" s="3">
        <f>X48/X46</f>
        <v>81.546175197338542</v>
      </c>
    </row>
    <row r="51" spans="2:24" x14ac:dyDescent="0.25">
      <c r="B51" t="s">
        <v>37</v>
      </c>
      <c r="C51">
        <v>0.72768115391726795</v>
      </c>
      <c r="D51">
        <v>1.3742282517786499</v>
      </c>
      <c r="V51" s="3" t="s">
        <v>61</v>
      </c>
      <c r="W51" s="3"/>
      <c r="X51" s="3">
        <f>1.05*X50</f>
        <v>85.62348395720548</v>
      </c>
    </row>
    <row r="52" spans="2:24" x14ac:dyDescent="0.25">
      <c r="B52" t="s">
        <v>38</v>
      </c>
      <c r="C52">
        <v>0.72769611408219803</v>
      </c>
      <c r="D52">
        <v>1.3742000000388099</v>
      </c>
    </row>
    <row r="53" spans="2:24" x14ac:dyDescent="0.25">
      <c r="B53" t="s">
        <v>39</v>
      </c>
      <c r="C53">
        <v>0.72771147377193601</v>
      </c>
      <c r="D53">
        <v>1.3741709950190999</v>
      </c>
    </row>
    <row r="54" spans="2:24" x14ac:dyDescent="0.25">
      <c r="B54" t="s">
        <v>40</v>
      </c>
      <c r="C54">
        <v>0.72772723164390096</v>
      </c>
      <c r="D54">
        <v>1.37414123935014</v>
      </c>
    </row>
    <row r="55" spans="2:24" x14ac:dyDescent="0.25">
      <c r="B55" t="s">
        <v>70</v>
      </c>
      <c r="C55">
        <v>0.72774338534787497</v>
      </c>
      <c r="D55">
        <v>1.3741107375671699</v>
      </c>
    </row>
    <row r="56" spans="2:24" x14ac:dyDescent="0.25">
      <c r="B56" t="s">
        <v>71</v>
      </c>
      <c r="C56">
        <v>0.72775993086357904</v>
      </c>
      <c r="D56">
        <v>1.3740794973603101</v>
      </c>
    </row>
    <row r="57" spans="2:24" x14ac:dyDescent="0.25">
      <c r="B57" t="s">
        <v>53</v>
      </c>
      <c r="C57">
        <v>0.72777686239835704</v>
      </c>
      <c r="D57">
        <v>1.3740475297669501</v>
      </c>
      <c r="E57" t="s">
        <v>53</v>
      </c>
      <c r="F57">
        <v>0.73209083295149302</v>
      </c>
      <c r="G57">
        <v>1.3659507194870999</v>
      </c>
    </row>
    <row r="58" spans="2:24" x14ac:dyDescent="0.25">
      <c r="B58" t="s">
        <v>72</v>
      </c>
      <c r="C58">
        <v>0.72779417309666605</v>
      </c>
      <c r="D58">
        <v>1.37401484783141</v>
      </c>
      <c r="E58" t="s">
        <v>72</v>
      </c>
      <c r="F58">
        <v>0.73210418931335797</v>
      </c>
      <c r="G58">
        <v>1.36592579935638</v>
      </c>
    </row>
    <row r="59" spans="2:24" x14ac:dyDescent="0.25">
      <c r="B59" t="s">
        <v>73</v>
      </c>
      <c r="C59">
        <v>0.72781185921759295</v>
      </c>
      <c r="D59">
        <v>1.37398145871793</v>
      </c>
      <c r="E59" t="s">
        <v>73</v>
      </c>
      <c r="F59">
        <v>0.73211801740517701</v>
      </c>
      <c r="G59">
        <v>1.3659000000358801</v>
      </c>
    </row>
    <row r="60" spans="2:24" x14ac:dyDescent="0.25">
      <c r="B60" t="s">
        <v>74</v>
      </c>
      <c r="C60">
        <v>0.727829917241266</v>
      </c>
      <c r="D60">
        <v>1.37394736917432</v>
      </c>
      <c r="E60" t="s">
        <v>74</v>
      </c>
      <c r="F60">
        <v>0.73213231665526801</v>
      </c>
      <c r="G60">
        <v>1.36587332269183</v>
      </c>
    </row>
    <row r="61" spans="2:24" x14ac:dyDescent="0.25">
      <c r="B61" t="s">
        <v>75</v>
      </c>
      <c r="C61">
        <v>0.72784834275335997</v>
      </c>
      <c r="D61">
        <v>1.3739125876375899</v>
      </c>
      <c r="E61" t="s">
        <v>75</v>
      </c>
      <c r="F61">
        <v>0.73214708549301299</v>
      </c>
      <c r="G61">
        <v>1.36584577035722</v>
      </c>
    </row>
    <row r="62" spans="2:24" x14ac:dyDescent="0.25">
      <c r="B62" t="s">
        <v>76</v>
      </c>
      <c r="C62">
        <v>0.72786713022146299</v>
      </c>
      <c r="D62">
        <v>1.3738771246556201</v>
      </c>
      <c r="E62" t="s">
        <v>76</v>
      </c>
      <c r="F62">
        <v>0.73216232101189405</v>
      </c>
      <c r="G62">
        <v>1.36581734856</v>
      </c>
    </row>
    <row r="63" spans="2:24" x14ac:dyDescent="0.25">
      <c r="B63" t="s">
        <v>77</v>
      </c>
      <c r="C63">
        <v>0.72788627305595199</v>
      </c>
      <c r="D63">
        <v>1.37384099277159</v>
      </c>
      <c r="E63" t="s">
        <v>77</v>
      </c>
      <c r="F63">
        <v>0.732178018498437</v>
      </c>
      <c r="G63">
        <v>1.3657880662011901</v>
      </c>
    </row>
    <row r="64" spans="2:24" x14ac:dyDescent="0.25">
      <c r="B64" t="s">
        <v>78</v>
      </c>
      <c r="C64">
        <v>0.72790576348617197</v>
      </c>
      <c r="D64">
        <v>1.37380420675704</v>
      </c>
      <c r="E64" t="s">
        <v>78</v>
      </c>
      <c r="F64">
        <v>0.73219417095913497</v>
      </c>
      <c r="G64">
        <v>1.36575793643652</v>
      </c>
    </row>
    <row r="65" spans="2:7" x14ac:dyDescent="0.25">
      <c r="B65" t="s">
        <v>79</v>
      </c>
      <c r="C65">
        <v>0.72792559233750498</v>
      </c>
      <c r="D65">
        <v>1.3737667840318899</v>
      </c>
      <c r="E65" t="s">
        <v>79</v>
      </c>
      <c r="F65">
        <v>0.73221077018270897</v>
      </c>
      <c r="G65">
        <v>1.3657269746940099</v>
      </c>
    </row>
    <row r="66" spans="2:7" x14ac:dyDescent="0.25">
      <c r="B66" t="s">
        <v>80</v>
      </c>
      <c r="C66">
        <v>0.72794574912976495</v>
      </c>
      <c r="D66">
        <v>1.3737287444778199</v>
      </c>
      <c r="E66" t="s">
        <v>80</v>
      </c>
      <c r="F66">
        <v>0.73222781171424201</v>
      </c>
      <c r="G66">
        <v>1.36569518939586</v>
      </c>
    </row>
    <row r="67" spans="2:7" x14ac:dyDescent="0.25">
      <c r="B67" t="s">
        <v>81</v>
      </c>
      <c r="C67">
        <v>0.72796622185058302</v>
      </c>
      <c r="D67">
        <v>1.37369011086513</v>
      </c>
      <c r="E67" t="s">
        <v>81</v>
      </c>
      <c r="F67">
        <v>0.73224529132918803</v>
      </c>
      <c r="G67">
        <v>1.36566258853612</v>
      </c>
    </row>
    <row r="68" spans="2:7" x14ac:dyDescent="0.25">
      <c r="B68" t="s">
        <v>82</v>
      </c>
      <c r="C68">
        <v>0.727986996884745</v>
      </c>
      <c r="D68">
        <v>1.37365090898501</v>
      </c>
      <c r="E68" t="s">
        <v>82</v>
      </c>
      <c r="F68">
        <v>0.73226320374462806</v>
      </c>
      <c r="G68">
        <v>1.3656291820840201</v>
      </c>
    </row>
    <row r="69" spans="2:7" x14ac:dyDescent="0.25">
      <c r="B69" t="s">
        <v>83</v>
      </c>
      <c r="C69">
        <v>0.72800805892290099</v>
      </c>
      <c r="D69">
        <v>1.3736111678207501</v>
      </c>
      <c r="E69" t="s">
        <v>83</v>
      </c>
      <c r="F69">
        <v>0.73228154234159604</v>
      </c>
      <c r="G69">
        <v>1.3655949825013001</v>
      </c>
    </row>
    <row r="70" spans="2:7" x14ac:dyDescent="0.25">
      <c r="B70" t="s">
        <v>84</v>
      </c>
      <c r="C70">
        <v>0.72802939086212504</v>
      </c>
      <c r="D70">
        <v>1.3735709197341699</v>
      </c>
      <c r="E70" t="s">
        <v>84</v>
      </c>
      <c r="F70">
        <v>0.73230029926402596</v>
      </c>
      <c r="G70">
        <v>1.3655600045569001</v>
      </c>
    </row>
    <row r="71" spans="2:7" x14ac:dyDescent="0.25">
      <c r="B71" t="s">
        <v>85</v>
      </c>
      <c r="C71">
        <v>0.72805097369643201</v>
      </c>
      <c r="D71">
        <v>1.3735302006710299</v>
      </c>
      <c r="E71" t="s">
        <v>85</v>
      </c>
      <c r="F71">
        <v>0.73231946520082503</v>
      </c>
      <c r="G71">
        <v>1.3655242657325399</v>
      </c>
    </row>
    <row r="72" spans="2:7" x14ac:dyDescent="0.25">
      <c r="B72" t="s">
        <v>86</v>
      </c>
      <c r="C72">
        <v>0.72807278647806595</v>
      </c>
      <c r="D72">
        <v>1.37348905023265</v>
      </c>
      <c r="E72" t="s">
        <v>86</v>
      </c>
      <c r="F72">
        <v>0.73233902920103999</v>
      </c>
      <c r="G72">
        <v>1.36548778656652</v>
      </c>
    </row>
    <row r="73" spans="2:7" x14ac:dyDescent="0.25">
      <c r="B73" t="s">
        <v>87</v>
      </c>
      <c r="C73">
        <v>0.728094806099298</v>
      </c>
      <c r="D73">
        <v>1.3734475120862499</v>
      </c>
      <c r="E73" t="s">
        <v>87</v>
      </c>
      <c r="F73">
        <v>0.73235897874037303</v>
      </c>
      <c r="G73">
        <v>1.36545059052865</v>
      </c>
    </row>
    <row r="75" spans="2:7" x14ac:dyDescent="0.25">
      <c r="C75">
        <f>AVERAGE(C50:C73)</f>
        <v>0.72786611587987016</v>
      </c>
      <c r="D75">
        <f>AVERAGE(D50:D73)</f>
        <v>1.3738790827737108</v>
      </c>
      <c r="F75">
        <f>AVERAGE(F57:F73)</f>
        <v>0.73221607905920016</v>
      </c>
      <c r="G75">
        <f>AVERAGE(G57:G73)</f>
        <v>1.365717089866002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workbookViewId="0">
      <selection activeCell="F15" sqref="F15"/>
    </sheetView>
  </sheetViews>
  <sheetFormatPr baseColWidth="10" defaultRowHeight="15" x14ac:dyDescent="0.25"/>
  <cols>
    <col min="2" max="2" width="14" customWidth="1"/>
    <col min="4" max="4" width="17.7109375" bestFit="1" customWidth="1"/>
    <col min="6" max="6" width="34.5703125" customWidth="1"/>
    <col min="9" max="9" width="20.140625" bestFit="1" customWidth="1"/>
  </cols>
  <sheetData>
    <row r="2" spans="2:14" x14ac:dyDescent="0.25">
      <c r="B2" t="s">
        <v>64</v>
      </c>
      <c r="D2" t="s">
        <v>65</v>
      </c>
    </row>
    <row r="3" spans="2:14" x14ac:dyDescent="0.25">
      <c r="I3" t="s">
        <v>97</v>
      </c>
      <c r="J3">
        <f>'Compare and report date'!Q35</f>
        <v>1.3706333333333334</v>
      </c>
    </row>
    <row r="4" spans="2:14" x14ac:dyDescent="0.25">
      <c r="B4" t="s">
        <v>42</v>
      </c>
      <c r="D4" t="s">
        <v>49</v>
      </c>
      <c r="E4" t="s">
        <v>45</v>
      </c>
      <c r="I4" t="s">
        <v>98</v>
      </c>
      <c r="J4" s="2">
        <f>'Compare and report date'!Q44</f>
        <v>1.3712333333333335</v>
      </c>
      <c r="K4">
        <f>'Compare and report date'!R44</f>
        <v>9</v>
      </c>
      <c r="M4" t="s">
        <v>66</v>
      </c>
    </row>
    <row r="5" spans="2:14" x14ac:dyDescent="0.25">
      <c r="B5" t="s">
        <v>63</v>
      </c>
      <c r="C5" s="2">
        <f>'Compare and report date'!G15</f>
        <v>111.79</v>
      </c>
      <c r="D5">
        <v>17</v>
      </c>
      <c r="E5" t="s">
        <v>46</v>
      </c>
      <c r="F5">
        <f>'Compare and report date'!D35</f>
        <v>108.52999999999999</v>
      </c>
      <c r="I5" t="s">
        <v>63</v>
      </c>
      <c r="J5" s="2">
        <f>AVERAGE('Compare and report date'!D57:D73)</f>
        <v>1.3737595009539501</v>
      </c>
      <c r="K5">
        <v>17</v>
      </c>
      <c r="M5" t="s">
        <v>46</v>
      </c>
      <c r="N5">
        <f>J3</f>
        <v>1.3706333333333334</v>
      </c>
    </row>
    <row r="6" spans="2:14" x14ac:dyDescent="0.25">
      <c r="B6" t="s">
        <v>44</v>
      </c>
      <c r="C6" s="2">
        <f>'Compare and report date'!G16</f>
        <v>114.55999999997201</v>
      </c>
      <c r="E6" t="s">
        <v>47</v>
      </c>
      <c r="F6" s="4">
        <f>(C5*D5+'Compare and report date'!D44*'Compare and report date'!E44)/('Compare and report date'!E44+'Forecast-&gt;Realized'!D5)</f>
        <v>111.81076923076922</v>
      </c>
      <c r="I6" t="s">
        <v>44</v>
      </c>
      <c r="J6" s="2">
        <f>'Compare and report date'!T16</f>
        <v>1.3727761544334001</v>
      </c>
      <c r="M6" t="s">
        <v>47</v>
      </c>
      <c r="N6">
        <f>(J5*K5+J4*K4)/(K4+K5)</f>
        <v>1.3728850583160441</v>
      </c>
    </row>
    <row r="7" spans="2:14" x14ac:dyDescent="0.25">
      <c r="E7" t="s">
        <v>48</v>
      </c>
      <c r="F7" s="6">
        <f>C6</f>
        <v>114.55999999997201</v>
      </c>
      <c r="M7" t="s">
        <v>48</v>
      </c>
      <c r="N7">
        <f>J6</f>
        <v>1.3727761544334001</v>
      </c>
    </row>
    <row r="9" spans="2:14" x14ac:dyDescent="0.25">
      <c r="D9" t="s">
        <v>50</v>
      </c>
      <c r="F9" s="5">
        <f>AVERAGE(F5:F7)</f>
        <v>111.6335897435804</v>
      </c>
      <c r="L9" t="s">
        <v>56</v>
      </c>
      <c r="N9">
        <f>AVERAGE(N5:N7)</f>
        <v>1.3720981820275926</v>
      </c>
    </row>
    <row r="13" spans="2:14" x14ac:dyDescent="0.25">
      <c r="B13" t="s">
        <v>57</v>
      </c>
      <c r="D13">
        <f>0.2*N9</f>
        <v>0.27441963640551853</v>
      </c>
    </row>
    <row r="14" spans="2:14" x14ac:dyDescent="0.25">
      <c r="B14" t="s">
        <v>58</v>
      </c>
      <c r="D14" s="7">
        <f>0.8*'Compare and report date'!C10</f>
        <v>1.0972255739357919</v>
      </c>
    </row>
    <row r="15" spans="2:14" x14ac:dyDescent="0.25">
      <c r="B15" t="s">
        <v>59</v>
      </c>
      <c r="D15">
        <f>D13+D14</f>
        <v>1.3716452103413104</v>
      </c>
    </row>
    <row r="17" spans="2:10" x14ac:dyDescent="0.25">
      <c r="B17" t="s">
        <v>50</v>
      </c>
      <c r="D17">
        <f>F9</f>
        <v>111.6335897435804</v>
      </c>
    </row>
    <row r="19" spans="2:10" x14ac:dyDescent="0.25">
      <c r="B19" t="s">
        <v>60</v>
      </c>
      <c r="D19">
        <f>D17/D15</f>
        <v>81.386636210250245</v>
      </c>
    </row>
    <row r="20" spans="2:10" x14ac:dyDescent="0.25">
      <c r="B20" t="s">
        <v>61</v>
      </c>
      <c r="D20">
        <f>1.05*D19</f>
        <v>85.455968020762768</v>
      </c>
    </row>
    <row r="23" spans="2:10" x14ac:dyDescent="0.25">
      <c r="B23" t="s">
        <v>4</v>
      </c>
      <c r="D23" t="s">
        <v>6</v>
      </c>
      <c r="E23" t="s">
        <v>8</v>
      </c>
      <c r="F23" t="s">
        <v>7</v>
      </c>
      <c r="G23" t="s">
        <v>2</v>
      </c>
      <c r="H23" t="s">
        <v>3</v>
      </c>
      <c r="I23" t="s">
        <v>1</v>
      </c>
    </row>
    <row r="24" spans="2:10" x14ac:dyDescent="0.25">
      <c r="B24" t="s">
        <v>0</v>
      </c>
      <c r="D24">
        <f>D20</f>
        <v>85.455968020762768</v>
      </c>
      <c r="E24">
        <v>1.25</v>
      </c>
      <c r="F24">
        <v>51.3</v>
      </c>
      <c r="G24">
        <v>10</v>
      </c>
      <c r="H24">
        <f>31*24</f>
        <v>744</v>
      </c>
      <c r="I24">
        <f>G24*H24</f>
        <v>7440</v>
      </c>
      <c r="J24">
        <f>(F24-(D24+E24))*I24</f>
        <v>-263420.40207447502</v>
      </c>
    </row>
    <row r="28" spans="2:10" x14ac:dyDescent="0.25">
      <c r="B28" t="s">
        <v>91</v>
      </c>
    </row>
    <row r="29" spans="2:10" x14ac:dyDescent="0.25">
      <c r="C29" t="s">
        <v>92</v>
      </c>
      <c r="D29">
        <f>F24*I24</f>
        <v>381672</v>
      </c>
    </row>
    <row r="30" spans="2:10" x14ac:dyDescent="0.25">
      <c r="C30" t="s">
        <v>93</v>
      </c>
      <c r="D30">
        <f>(D24+E24)*I24</f>
        <v>645092.40207447496</v>
      </c>
    </row>
    <row r="31" spans="2:10" x14ac:dyDescent="0.25">
      <c r="D31">
        <f>D29-D30</f>
        <v>-263420.40207447496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15" sqref="I15"/>
    </sheetView>
  </sheetViews>
  <sheetFormatPr baseColWidth="10" defaultRowHeight="15" x14ac:dyDescent="0.25"/>
  <sheetData>
    <row r="1" spans="1:14" x14ac:dyDescent="0.25">
      <c r="A1" t="s">
        <v>89</v>
      </c>
    </row>
    <row r="2" spans="1:14" x14ac:dyDescent="0.25">
      <c r="B2" t="s">
        <v>94</v>
      </c>
      <c r="D2" t="s">
        <v>95</v>
      </c>
    </row>
    <row r="4" spans="1:14" x14ac:dyDescent="0.25">
      <c r="B4" t="s">
        <v>42</v>
      </c>
      <c r="D4" t="s">
        <v>49</v>
      </c>
      <c r="E4" t="s">
        <v>45</v>
      </c>
      <c r="M4" t="s">
        <v>66</v>
      </c>
    </row>
    <row r="5" spans="1:14" x14ac:dyDescent="0.25">
      <c r="B5" t="s">
        <v>63</v>
      </c>
      <c r="C5" s="3">
        <f>'Compare and report date'!G26</f>
        <v>114.16</v>
      </c>
      <c r="D5">
        <v>17</v>
      </c>
      <c r="E5" t="s">
        <v>46</v>
      </c>
      <c r="F5">
        <f>'Compare and report date'!D35</f>
        <v>108.52999999999999</v>
      </c>
      <c r="I5" t="s">
        <v>63</v>
      </c>
      <c r="J5" s="2">
        <f>AVERAGE('Compare and report date'!D57:D73)</f>
        <v>1.3737595009539501</v>
      </c>
      <c r="K5">
        <v>17</v>
      </c>
      <c r="M5" t="s">
        <v>46</v>
      </c>
      <c r="N5">
        <f>'Compare and report date'!Q35</f>
        <v>1.3706333333333334</v>
      </c>
    </row>
    <row r="6" spans="1:14" x14ac:dyDescent="0.25">
      <c r="B6" t="s">
        <v>44</v>
      </c>
      <c r="C6" s="3">
        <f>'Compare and report date'!G27</f>
        <v>111.890000000014</v>
      </c>
      <c r="E6" t="s">
        <v>47</v>
      </c>
      <c r="F6">
        <f>(C5*D5+'Compare and report date'!D44*'Compare and report date'!E44)/('Compare and report date'!E44+'Forecast-&gt;Realized'!D5)</f>
        <v>113.36038461538462</v>
      </c>
      <c r="I6" t="s">
        <v>44</v>
      </c>
      <c r="J6" s="2">
        <f>'Compare and report date'!T16</f>
        <v>1.3727761544334001</v>
      </c>
      <c r="M6" t="s">
        <v>47</v>
      </c>
      <c r="N6">
        <f>(J5*K5+'Compare and report date'!Q44*'Compare and report date'!R44)/(K5+'Compare and report date'!R44)</f>
        <v>1.3728850583160441</v>
      </c>
    </row>
    <row r="7" spans="1:14" x14ac:dyDescent="0.25">
      <c r="E7" t="s">
        <v>48</v>
      </c>
      <c r="F7">
        <f>C6</f>
        <v>111.890000000014</v>
      </c>
      <c r="M7" t="s">
        <v>48</v>
      </c>
      <c r="N7">
        <f>J6</f>
        <v>1.3727761544334001</v>
      </c>
    </row>
    <row r="9" spans="1:14" x14ac:dyDescent="0.25">
      <c r="D9" t="s">
        <v>50</v>
      </c>
      <c r="F9">
        <f>AVERAGE(F5:F7)</f>
        <v>111.26012820513286</v>
      </c>
      <c r="L9" t="s">
        <v>56</v>
      </c>
      <c r="N9">
        <f>AVERAGE(N5:N7)</f>
        <v>1.3720981820275926</v>
      </c>
    </row>
    <row r="13" spans="1:14" x14ac:dyDescent="0.25">
      <c r="B13" t="s">
        <v>57</v>
      </c>
      <c r="D13">
        <f>0.2*N9</f>
        <v>0.27441963640551853</v>
      </c>
    </row>
    <row r="14" spans="1:14" x14ac:dyDescent="0.25">
      <c r="B14" t="s">
        <v>58</v>
      </c>
      <c r="D14" s="2">
        <f>0.8*'Compare and report date'!C10</f>
        <v>1.0972255739357919</v>
      </c>
    </row>
    <row r="15" spans="1:14" x14ac:dyDescent="0.25">
      <c r="B15" t="s">
        <v>59</v>
      </c>
      <c r="D15">
        <f>D13+D14</f>
        <v>1.3716452103413104</v>
      </c>
    </row>
    <row r="17" spans="2:10" x14ac:dyDescent="0.25">
      <c r="B17" t="s">
        <v>50</v>
      </c>
      <c r="D17">
        <f>F9</f>
        <v>111.26012820513286</v>
      </c>
    </row>
    <row r="19" spans="2:10" x14ac:dyDescent="0.25">
      <c r="B19" t="s">
        <v>60</v>
      </c>
      <c r="D19">
        <f>D17/D15</f>
        <v>81.114363514926495</v>
      </c>
    </row>
    <row r="20" spans="2:10" x14ac:dyDescent="0.25">
      <c r="B20" t="s">
        <v>61</v>
      </c>
      <c r="D20">
        <f>1.05*D19</f>
        <v>85.170081690672831</v>
      </c>
    </row>
    <row r="23" spans="2:10" x14ac:dyDescent="0.25">
      <c r="B23" t="s">
        <v>4</v>
      </c>
      <c r="D23" t="s">
        <v>6</v>
      </c>
      <c r="E23" t="s">
        <v>8</v>
      </c>
      <c r="F23" t="s">
        <v>7</v>
      </c>
      <c r="G23" t="s">
        <v>2</v>
      </c>
      <c r="H23" t="s">
        <v>3</v>
      </c>
      <c r="I23" t="s">
        <v>1</v>
      </c>
    </row>
    <row r="24" spans="2:10" x14ac:dyDescent="0.25">
      <c r="B24" t="s">
        <v>0</v>
      </c>
      <c r="D24">
        <f>D20</f>
        <v>85.170081690672831</v>
      </c>
      <c r="E24">
        <v>1.25</v>
      </c>
      <c r="F24">
        <v>47.3</v>
      </c>
      <c r="G24">
        <v>10</v>
      </c>
      <c r="H24">
        <f>31*24</f>
        <v>744</v>
      </c>
      <c r="I24">
        <f>G24*H24</f>
        <v>7440</v>
      </c>
      <c r="J24">
        <f>(F24-(D24+E24))*I24</f>
        <v>-291053.40777860588</v>
      </c>
    </row>
    <row r="25" spans="2:10" x14ac:dyDescent="0.25">
      <c r="B25" t="s">
        <v>0</v>
      </c>
      <c r="D25">
        <f>D20</f>
        <v>85.170081690672831</v>
      </c>
      <c r="E25">
        <v>1.25</v>
      </c>
      <c r="F25">
        <v>47.3</v>
      </c>
      <c r="G25">
        <v>-5</v>
      </c>
      <c r="H25">
        <f>31*24</f>
        <v>744</v>
      </c>
      <c r="I25">
        <f>G25*H25</f>
        <v>-3720</v>
      </c>
      <c r="J25">
        <f>(F25-(D25+E25))*I25</f>
        <v>145526.70388930294</v>
      </c>
    </row>
    <row r="28" spans="2:10" x14ac:dyDescent="0.25">
      <c r="B28" t="s">
        <v>91</v>
      </c>
    </row>
    <row r="29" spans="2:10" x14ac:dyDescent="0.25">
      <c r="C29" t="s">
        <v>92</v>
      </c>
      <c r="D29">
        <f>F24*I24</f>
        <v>351912</v>
      </c>
    </row>
    <row r="30" spans="2:10" x14ac:dyDescent="0.25">
      <c r="C30" t="s">
        <v>93</v>
      </c>
      <c r="D30">
        <f>(D24+E24)*I24</f>
        <v>642965.40777860582</v>
      </c>
    </row>
    <row r="31" spans="2:10" x14ac:dyDescent="0.25">
      <c r="D31">
        <f>D29-D30</f>
        <v>-291053.40777860582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90</v>
      </c>
    </row>
    <row r="3" spans="1:2" x14ac:dyDescent="0.25">
      <c r="B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Compare and report date</vt:lpstr>
      <vt:lpstr>Forecast-&gt;Realized</vt:lpstr>
      <vt:lpstr>Market curve</vt:lpstr>
      <vt:lpstr>Exchange 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2015-04-28T07:16:11Z</dcterms:created>
  <dcterms:modified xsi:type="dcterms:W3CDTF">2015-04-29T08:00:35Z</dcterms:modified>
</cp:coreProperties>
</file>