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olo_\Documents\MEGAsync\quinto semestre\maquinas termicas\diseñp 3\"/>
    </mc:Choice>
  </mc:AlternateContent>
  <xr:revisionPtr revIDLastSave="0" documentId="13_ncr:1_{1510B418-4062-4CAC-93C2-1B06737D6A03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Compresor" sheetId="1" r:id="rId1"/>
    <sheet name="Camara_Combustion" sheetId="2" r:id="rId2"/>
    <sheet name="Turbina" sheetId="3" r:id="rId3"/>
    <sheet name="Presentacion de resultado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D32" i="3" l="1"/>
  <c r="C32" i="3"/>
  <c r="F2" i="3"/>
  <c r="F9" i="3"/>
  <c r="Q9" i="1" l="1"/>
  <c r="Q10" i="1" s="1"/>
  <c r="O9" i="1"/>
  <c r="Q8" i="1"/>
  <c r="Q7" i="1"/>
  <c r="Q4" i="1"/>
  <c r="O54" i="3" l="1"/>
  <c r="O51" i="3"/>
  <c r="O52" i="3"/>
  <c r="O53" i="3"/>
  <c r="O50" i="3"/>
  <c r="M51" i="3"/>
  <c r="M52" i="3"/>
  <c r="M53" i="3"/>
  <c r="M54" i="3"/>
  <c r="M50" i="3"/>
  <c r="C50" i="3" l="1"/>
  <c r="D50" i="3" s="1"/>
  <c r="J50" i="3" s="1"/>
  <c r="L50" i="3" s="1"/>
  <c r="C51" i="3"/>
  <c r="D51" i="3" s="1"/>
  <c r="J51" i="3" s="1"/>
  <c r="L51" i="3" s="1"/>
  <c r="C52" i="3"/>
  <c r="D52" i="3" s="1"/>
  <c r="J52" i="3" s="1"/>
  <c r="L52" i="3" s="1"/>
  <c r="C53" i="3"/>
  <c r="D53" i="3" s="1"/>
  <c r="J53" i="3" s="1"/>
  <c r="L53" i="3" s="1"/>
  <c r="C54" i="3"/>
  <c r="D54" i="3" s="1"/>
  <c r="J54" i="3" s="1"/>
  <c r="L54" i="3" s="1"/>
  <c r="C41" i="3"/>
  <c r="D35" i="3"/>
  <c r="D36" i="3"/>
  <c r="D33" i="3"/>
  <c r="D34" i="3"/>
  <c r="C33" i="3"/>
  <c r="C34" i="3"/>
  <c r="C35" i="3"/>
  <c r="C36" i="3"/>
  <c r="B42" i="3"/>
  <c r="B43" i="3"/>
  <c r="B44" i="3"/>
  <c r="B45" i="3"/>
  <c r="B41" i="3"/>
  <c r="A42" i="3"/>
  <c r="A43" i="3"/>
  <c r="A44" i="3"/>
  <c r="A41" i="3"/>
  <c r="F13" i="3"/>
  <c r="B10" i="3"/>
  <c r="F51" i="3" l="1"/>
  <c r="E51" i="3" s="1"/>
  <c r="G51" i="3" s="1"/>
  <c r="I51" i="3" s="1"/>
  <c r="K51" i="3" s="1"/>
  <c r="F50" i="3"/>
  <c r="E50" i="3" s="1"/>
  <c r="G50" i="3" s="1"/>
  <c r="I50" i="3" s="1"/>
  <c r="K50" i="3" s="1"/>
  <c r="F52" i="3"/>
  <c r="E52" i="3" s="1"/>
  <c r="G52" i="3" s="1"/>
  <c r="I52" i="3" s="1"/>
  <c r="K52" i="3" s="1"/>
  <c r="F54" i="3"/>
  <c r="E54" i="3" s="1"/>
  <c r="G54" i="3" s="1"/>
  <c r="I54" i="3" s="1"/>
  <c r="K54" i="3" s="1"/>
  <c r="F53" i="3"/>
  <c r="E53" i="3" s="1"/>
  <c r="G53" i="3" s="1"/>
  <c r="I53" i="3" s="1"/>
  <c r="K53" i="3" s="1"/>
  <c r="E36" i="3"/>
  <c r="E35" i="3"/>
  <c r="E33" i="3"/>
  <c r="E32" i="3"/>
  <c r="E34" i="3"/>
  <c r="F33" i="3"/>
  <c r="F35" i="3"/>
  <c r="F36" i="3"/>
  <c r="F32" i="3"/>
  <c r="F34" i="3"/>
  <c r="B28" i="3"/>
  <c r="B29" i="3" s="1"/>
  <c r="F10" i="2" l="1"/>
  <c r="F5" i="2"/>
  <c r="O17" i="1"/>
  <c r="G17" i="1"/>
  <c r="B27" i="3" l="1"/>
  <c r="O22" i="1" l="1" a="1"/>
  <c r="O22" i="1" s="1"/>
  <c r="B3" i="3" l="1"/>
  <c r="O32" i="3" s="1"/>
  <c r="G21" i="1"/>
  <c r="G31" i="1" l="1"/>
  <c r="Q5" i="1"/>
  <c r="K45" i="1"/>
  <c r="G22" i="1"/>
  <c r="G30" i="1"/>
  <c r="K26" i="1" s="1"/>
  <c r="G29" i="1"/>
  <c r="K46" i="1" l="1"/>
  <c r="B11" i="2"/>
  <c r="C21" i="1"/>
  <c r="C14" i="1"/>
  <c r="K21" i="1" s="1"/>
  <c r="F7" i="2" l="1"/>
  <c r="F4" i="2"/>
  <c r="G23" i="1"/>
  <c r="C20" i="1"/>
  <c r="C15" i="1"/>
  <c r="C16" i="1" l="1"/>
  <c r="G20" i="1" s="1"/>
  <c r="G24" i="1"/>
  <c r="G34" i="1" l="1"/>
  <c r="O21" i="1" a="1"/>
  <c r="O21" i="1" s="1"/>
  <c r="G16" i="1" s="1"/>
  <c r="K41" i="1" s="1"/>
  <c r="G25" i="1"/>
  <c r="G26" i="1" s="1"/>
  <c r="O27" i="1"/>
  <c r="K22" i="1"/>
  <c r="K23" i="1" s="1"/>
  <c r="K28" i="1"/>
  <c r="O20" i="1" l="1"/>
  <c r="B12" i="3"/>
  <c r="O13" i="1"/>
  <c r="O14" i="1" s="1"/>
  <c r="K18" i="1"/>
  <c r="O23" i="1" s="1"/>
  <c r="O31" i="1"/>
  <c r="O32" i="1" s="1"/>
  <c r="O30" i="1"/>
  <c r="O29" i="1"/>
  <c r="K31" i="1"/>
  <c r="K30" i="1"/>
  <c r="K29" i="1"/>
  <c r="K32" i="1" s="1"/>
  <c r="G45" i="3" l="1"/>
  <c r="G42" i="3"/>
  <c r="G43" i="3"/>
  <c r="G41" i="3"/>
  <c r="G44" i="3"/>
  <c r="O33" i="1"/>
  <c r="O28" i="1"/>
  <c r="O35" i="1" a="1"/>
  <c r="O35" i="1" s="1"/>
  <c r="O34" i="1" s="1"/>
  <c r="O25" i="1"/>
  <c r="O24" i="1" a="1"/>
  <c r="O24" i="1" s="1"/>
  <c r="K33" i="1"/>
  <c r="Q6" i="1" s="1"/>
  <c r="K34" i="1"/>
  <c r="F6" i="2"/>
  <c r="K38" i="1" l="1"/>
  <c r="K43" i="1"/>
  <c r="O26" i="1"/>
  <c r="O15" i="1"/>
  <c r="O18" i="1" l="1"/>
  <c r="O16" i="1"/>
  <c r="B7" i="2"/>
  <c r="B8" i="2"/>
  <c r="F11" i="2"/>
  <c r="B12" i="2"/>
  <c r="F12" i="2"/>
  <c r="F13" i="2"/>
  <c r="B14" i="2"/>
  <c r="O3" i="1"/>
  <c r="O4" i="1"/>
  <c r="O5" i="1"/>
  <c r="O6" i="1"/>
  <c r="O7" i="1"/>
  <c r="O8" i="1"/>
  <c r="O10" i="1"/>
  <c r="K39" i="1"/>
  <c r="O39" i="1"/>
  <c r="K40" i="1"/>
  <c r="K44" i="1"/>
  <c r="M44" i="1"/>
  <c r="B2" i="3"/>
  <c r="F3" i="3"/>
  <c r="B4" i="3" a="1"/>
  <c r="B4" i="3"/>
  <c r="B6" i="3"/>
  <c r="G32" i="3"/>
  <c r="H32" i="3"/>
  <c r="I32" i="3"/>
  <c r="J32" i="3"/>
  <c r="K32" i="3"/>
  <c r="L32" i="3"/>
  <c r="M32" i="3"/>
  <c r="N32" i="3"/>
  <c r="P32" i="3"/>
  <c r="Q32" i="3"/>
  <c r="R32" i="3"/>
  <c r="S32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Q38" i="3"/>
  <c r="D41" i="3"/>
  <c r="E41" i="3"/>
  <c r="F41" i="3"/>
  <c r="H41" i="3"/>
  <c r="I41" i="3"/>
  <c r="J41" i="3"/>
  <c r="C42" i="3"/>
  <c r="D42" i="3"/>
  <c r="E42" i="3"/>
  <c r="F42" i="3"/>
  <c r="H42" i="3"/>
  <c r="I42" i="3"/>
  <c r="J42" i="3"/>
  <c r="C43" i="3"/>
  <c r="D43" i="3"/>
  <c r="E43" i="3"/>
  <c r="F43" i="3"/>
  <c r="H43" i="3"/>
  <c r="I43" i="3"/>
  <c r="J43" i="3"/>
  <c r="C44" i="3"/>
  <c r="D44" i="3"/>
  <c r="E44" i="3"/>
  <c r="F44" i="3"/>
  <c r="H44" i="3"/>
  <c r="I44" i="3"/>
  <c r="J44" i="3"/>
  <c r="C45" i="3"/>
  <c r="D45" i="3"/>
  <c r="E45" i="3"/>
  <c r="F45" i="3"/>
  <c r="H45" i="3"/>
  <c r="I45" i="3"/>
  <c r="J45" i="3"/>
  <c r="R50" i="3"/>
  <c r="R54" i="3"/>
  <c r="T54" i="3" a="1"/>
  <c r="T54" i="3"/>
  <c r="R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<sst xmlns="http://schemas.openxmlformats.org/spreadsheetml/2006/main" count="404" uniqueCount="231">
  <si>
    <t>Datos entrada</t>
  </si>
  <si>
    <t xml:space="preserve">valores </t>
  </si>
  <si>
    <t>unidades</t>
  </si>
  <si>
    <t>valor</t>
  </si>
  <si>
    <t>m</t>
  </si>
  <si>
    <t>kg/s</t>
  </si>
  <si>
    <t>K</t>
  </si>
  <si>
    <t>Kpa</t>
  </si>
  <si>
    <t>mm</t>
  </si>
  <si>
    <t>z</t>
  </si>
  <si>
    <t>J/(kg K)</t>
  </si>
  <si>
    <t>°</t>
  </si>
  <si>
    <t>valores</t>
  </si>
  <si>
    <t>Datos figura 2</t>
  </si>
  <si>
    <t>N</t>
  </si>
  <si>
    <t>rpm</t>
  </si>
  <si>
    <t>Calculo de potenica</t>
  </si>
  <si>
    <t>Valor</t>
  </si>
  <si>
    <t>J/kgK</t>
  </si>
  <si>
    <t>Diametro ojo</t>
  </si>
  <si>
    <t>m/s</t>
  </si>
  <si>
    <t>mm^2</t>
  </si>
  <si>
    <t xml:space="preserve">Datos de entrada </t>
  </si>
  <si>
    <t>Combustible</t>
  </si>
  <si>
    <t>PETROLEO DE AVIACION</t>
  </si>
  <si>
    <t>Poder calorifico Inferior</t>
  </si>
  <si>
    <t>KJ/KG</t>
  </si>
  <si>
    <t>Rendimiento de combustión</t>
  </si>
  <si>
    <t>%</t>
  </si>
  <si>
    <t>Relacion Aire-Combustible</t>
  </si>
  <si>
    <t>31:1</t>
  </si>
  <si>
    <t>R</t>
  </si>
  <si>
    <t>Parametros absolutos entrada</t>
  </si>
  <si>
    <t>kg/m3</t>
  </si>
  <si>
    <r>
      <t>M</t>
    </r>
    <r>
      <rPr>
        <vertAlign val="subscript"/>
        <sz val="10"/>
        <rFont val="Arial"/>
        <family val="2"/>
      </rPr>
      <t>1</t>
    </r>
  </si>
  <si>
    <r>
      <t>W</t>
    </r>
    <r>
      <rPr>
        <vertAlign val="subscript"/>
        <sz val="10"/>
        <rFont val="Arial"/>
        <family val="2"/>
      </rPr>
      <t>r2</t>
    </r>
    <r>
      <rPr>
        <sz val="10"/>
        <rFont val="Arial"/>
      </rPr>
      <t>/U</t>
    </r>
    <r>
      <rPr>
        <vertAlign val="subscript"/>
        <sz val="10"/>
        <rFont val="Arial"/>
        <family val="2"/>
      </rPr>
      <t>2</t>
    </r>
  </si>
  <si>
    <t>γ</t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</si>
  <si>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</si>
  <si>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0</t>
    </r>
  </si>
  <si>
    <r>
      <t>a</t>
    </r>
    <r>
      <rPr>
        <vertAlign val="subscript"/>
        <sz val="10"/>
        <rFont val="Arial"/>
        <family val="2"/>
      </rPr>
      <t>2</t>
    </r>
  </si>
  <si>
    <r>
      <t>a</t>
    </r>
    <r>
      <rPr>
        <vertAlign val="subscript"/>
        <sz val="10"/>
        <rFont val="Arial"/>
        <family val="2"/>
      </rPr>
      <t>3</t>
    </r>
  </si>
  <si>
    <r>
      <t>a</t>
    </r>
    <r>
      <rPr>
        <vertAlign val="subscript"/>
        <sz val="10"/>
        <rFont val="Arial"/>
        <family val="2"/>
      </rPr>
      <t>4</t>
    </r>
  </si>
  <si>
    <r>
      <rPr>
        <sz val="10"/>
        <rFont val="Calibri"/>
        <family val="2"/>
      </rPr>
      <t>π</t>
    </r>
    <r>
      <rPr>
        <vertAlign val="subscript"/>
        <sz val="10"/>
        <rFont val="Arial"/>
        <family val="2"/>
      </rPr>
      <t>M</t>
    </r>
  </si>
  <si>
    <t>ξ</t>
  </si>
  <si>
    <r>
      <rPr>
        <sz val="10"/>
        <rFont val="Calibri"/>
        <family val="2"/>
      </rPr>
      <t>η</t>
    </r>
    <r>
      <rPr>
        <vertAlign val="subscript"/>
        <sz val="10"/>
        <rFont val="Arial"/>
        <family val="2"/>
      </rPr>
      <t>total</t>
    </r>
  </si>
  <si>
    <r>
      <t>η</t>
    </r>
    <r>
      <rPr>
        <vertAlign val="subscript"/>
        <sz val="10"/>
        <rFont val="Arial"/>
        <family val="2"/>
      </rPr>
      <t>pc</t>
    </r>
  </si>
  <si>
    <r>
      <t>Cp</t>
    </r>
    <r>
      <rPr>
        <vertAlign val="subscript"/>
        <sz val="10"/>
        <rFont val="Arial"/>
        <family val="2"/>
      </rPr>
      <t>M</t>
    </r>
  </si>
  <si>
    <t>Pot</t>
  </si>
  <si>
    <r>
      <t>C</t>
    </r>
    <r>
      <rPr>
        <vertAlign val="subscript"/>
        <sz val="10"/>
        <rFont val="Arial"/>
        <family val="2"/>
      </rPr>
      <t>x</t>
    </r>
  </si>
  <si>
    <r>
      <t>A</t>
    </r>
    <r>
      <rPr>
        <vertAlign val="subscript"/>
        <sz val="10"/>
        <rFont val="Arial"/>
        <family val="2"/>
      </rPr>
      <t>E</t>
    </r>
  </si>
  <si>
    <r>
      <t>D</t>
    </r>
    <r>
      <rPr>
        <vertAlign val="subscript"/>
        <sz val="10"/>
        <rFont val="Arial"/>
        <family val="2"/>
      </rPr>
      <t>tip</t>
    </r>
  </si>
  <si>
    <r>
      <t>D</t>
    </r>
    <r>
      <rPr>
        <vertAlign val="subscript"/>
        <sz val="10"/>
        <rFont val="Arial"/>
        <family val="2"/>
      </rPr>
      <t>shorud</t>
    </r>
  </si>
  <si>
    <t>(γ-1)/γ</t>
  </si>
  <si>
    <t>γ/(γ-1)</t>
  </si>
  <si>
    <r>
      <t>η</t>
    </r>
    <r>
      <rPr>
        <vertAlign val="subscript"/>
        <sz val="10"/>
        <color rgb="FF000000"/>
        <rFont val="Arial"/>
        <family val="2"/>
      </rPr>
      <t>total obtenido</t>
    </r>
  </si>
  <si>
    <r>
      <t>P</t>
    </r>
    <r>
      <rPr>
        <vertAlign val="subscript"/>
        <sz val="10"/>
        <rFont val="Arial"/>
        <family val="2"/>
      </rPr>
      <t>02c</t>
    </r>
    <r>
      <rPr>
        <sz val="10"/>
        <rFont val="Arial"/>
      </rPr>
      <t>/P</t>
    </r>
    <r>
      <rPr>
        <vertAlign val="subscript"/>
        <sz val="10"/>
        <rFont val="Arial"/>
        <family val="2"/>
      </rPr>
      <t>01c</t>
    </r>
  </si>
  <si>
    <r>
      <t>P</t>
    </r>
    <r>
      <rPr>
        <vertAlign val="subscript"/>
        <sz val="10"/>
        <rFont val="Arial"/>
        <family val="2"/>
      </rPr>
      <t>01c</t>
    </r>
  </si>
  <si>
    <r>
      <t>T</t>
    </r>
    <r>
      <rPr>
        <vertAlign val="subscript"/>
        <sz val="10"/>
        <rFont val="Arial"/>
        <family val="2"/>
      </rPr>
      <t>01c</t>
    </r>
  </si>
  <si>
    <r>
      <t>T</t>
    </r>
    <r>
      <rPr>
        <vertAlign val="subscript"/>
        <sz val="10"/>
        <rFont val="Arial"/>
        <family val="2"/>
      </rPr>
      <t>1c</t>
    </r>
  </si>
  <si>
    <r>
      <t>P</t>
    </r>
    <r>
      <rPr>
        <vertAlign val="subscript"/>
        <sz val="10"/>
        <rFont val="Arial"/>
        <family val="2"/>
      </rPr>
      <t>1c</t>
    </r>
  </si>
  <si>
    <r>
      <rPr>
        <sz val="10"/>
        <rFont val="Calibri"/>
        <family val="2"/>
      </rPr>
      <t>ρ</t>
    </r>
    <r>
      <rPr>
        <vertAlign val="subscript"/>
        <sz val="10"/>
        <rFont val="Arial"/>
        <family val="2"/>
      </rPr>
      <t>1c</t>
    </r>
  </si>
  <si>
    <r>
      <t>T</t>
    </r>
    <r>
      <rPr>
        <vertAlign val="subscript"/>
        <sz val="10"/>
        <rFont val="Arial"/>
        <family val="2"/>
      </rPr>
      <t>02c</t>
    </r>
  </si>
  <si>
    <r>
      <t>Cp</t>
    </r>
    <r>
      <rPr>
        <vertAlign val="subscript"/>
        <sz val="10"/>
        <rFont val="Arial"/>
        <family val="2"/>
      </rPr>
      <t>10</t>
    </r>
  </si>
  <si>
    <r>
      <t>Cp</t>
    </r>
    <r>
      <rPr>
        <vertAlign val="subscript"/>
        <sz val="10"/>
        <rFont val="Arial"/>
        <family val="2"/>
      </rPr>
      <t>20</t>
    </r>
  </si>
  <si>
    <r>
      <t>Δh</t>
    </r>
    <r>
      <rPr>
        <vertAlign val="subscript"/>
        <sz val="10"/>
        <rFont val="Arial"/>
        <family val="2"/>
      </rPr>
      <t>0</t>
    </r>
  </si>
  <si>
    <t>m2/s2</t>
  </si>
  <si>
    <t>kW</t>
  </si>
  <si>
    <r>
      <t>a</t>
    </r>
    <r>
      <rPr>
        <vertAlign val="subscript"/>
        <sz val="10"/>
        <rFont val="Arial"/>
        <family val="2"/>
      </rPr>
      <t>01</t>
    </r>
  </si>
  <si>
    <t>Indice Mach/U2</t>
  </si>
  <si>
    <r>
      <t>U</t>
    </r>
    <r>
      <rPr>
        <vertAlign val="subscript"/>
        <sz val="10"/>
        <color theme="1"/>
        <rFont val="Calibri"/>
        <family val="2"/>
      </rPr>
      <t>2</t>
    </r>
  </si>
  <si>
    <r>
      <t>α</t>
    </r>
    <r>
      <rPr>
        <vertAlign val="subscript"/>
        <sz val="10"/>
        <rFont val="Calibri"/>
        <family val="2"/>
      </rPr>
      <t>1</t>
    </r>
  </si>
  <si>
    <r>
      <t>β</t>
    </r>
    <r>
      <rPr>
        <vertAlign val="subscript"/>
        <sz val="10"/>
        <rFont val="Arial"/>
        <family val="2"/>
      </rPr>
      <t>2</t>
    </r>
  </si>
  <si>
    <r>
      <t>w</t>
    </r>
    <r>
      <rPr>
        <vertAlign val="subscript"/>
        <sz val="10"/>
        <rFont val="Arial"/>
        <family val="2"/>
      </rPr>
      <t>r2</t>
    </r>
  </si>
  <si>
    <r>
      <t>w</t>
    </r>
    <r>
      <rPr>
        <vertAlign val="subscript"/>
        <sz val="10"/>
        <color rgb="FF000000"/>
        <rFont val="Arial"/>
        <family val="2"/>
      </rPr>
      <t>Θ2</t>
    </r>
  </si>
  <si>
    <r>
      <t>w</t>
    </r>
    <r>
      <rPr>
        <vertAlign val="subscript"/>
        <sz val="10"/>
        <color rgb="FF000000"/>
        <rFont val="Arial"/>
        <family val="2"/>
      </rPr>
      <t>2</t>
    </r>
  </si>
  <si>
    <r>
      <t>C</t>
    </r>
    <r>
      <rPr>
        <vertAlign val="subscript"/>
        <sz val="10"/>
        <color rgb="FF000000"/>
        <rFont val="Arial"/>
        <family val="2"/>
      </rPr>
      <t>r2</t>
    </r>
  </si>
  <si>
    <r>
      <t>C</t>
    </r>
    <r>
      <rPr>
        <vertAlign val="subscript"/>
        <sz val="10"/>
        <color rgb="FF000000"/>
        <rFont val="Arial"/>
        <family val="2"/>
      </rPr>
      <t>Θ2</t>
    </r>
  </si>
  <si>
    <r>
      <t>C</t>
    </r>
    <r>
      <rPr>
        <vertAlign val="subscript"/>
        <sz val="10"/>
        <color rgb="FF000000"/>
        <rFont val="Arial"/>
        <family val="2"/>
      </rPr>
      <t>2</t>
    </r>
  </si>
  <si>
    <r>
      <t>α</t>
    </r>
    <r>
      <rPr>
        <vertAlign val="subscript"/>
        <sz val="10"/>
        <color rgb="FF000000"/>
        <rFont val="Arial"/>
        <family val="2"/>
      </rPr>
      <t>2</t>
    </r>
  </si>
  <si>
    <t>Velocidades salida</t>
  </si>
  <si>
    <t>Parametros salida</t>
  </si>
  <si>
    <r>
      <t>Cp</t>
    </r>
    <r>
      <rPr>
        <vertAlign val="subscript"/>
        <sz val="10"/>
        <color rgb="FF000000"/>
        <rFont val="Arial"/>
        <family val="2"/>
      </rPr>
      <t>2</t>
    </r>
  </si>
  <si>
    <r>
      <t>T</t>
    </r>
    <r>
      <rPr>
        <vertAlign val="subscript"/>
        <sz val="10"/>
        <color rgb="FF000000"/>
        <rFont val="Arial"/>
        <family val="2"/>
      </rPr>
      <t>2</t>
    </r>
  </si>
  <si>
    <r>
      <t>M</t>
    </r>
    <r>
      <rPr>
        <vertAlign val="subscript"/>
        <sz val="10"/>
        <color rgb="FF000000"/>
        <rFont val="Arial"/>
        <family val="2"/>
      </rPr>
      <t>2</t>
    </r>
  </si>
  <si>
    <t>DATOS AIRE</t>
  </si>
  <si>
    <r>
      <t>a</t>
    </r>
    <r>
      <rPr>
        <vertAlign val="subscript"/>
        <sz val="10"/>
        <color rgb="FF000000"/>
        <rFont val="Arial"/>
        <family val="2"/>
      </rPr>
      <t>2</t>
    </r>
  </si>
  <si>
    <r>
      <t>P</t>
    </r>
    <r>
      <rPr>
        <vertAlign val="subscript"/>
        <sz val="10"/>
        <color rgb="FF000000"/>
        <rFont val="Arial"/>
        <family val="2"/>
      </rPr>
      <t>2</t>
    </r>
  </si>
  <si>
    <t>KPa</t>
  </si>
  <si>
    <t>b2</t>
  </si>
  <si>
    <r>
      <t>ρ</t>
    </r>
    <r>
      <rPr>
        <vertAlign val="subscript"/>
        <sz val="10"/>
        <color rgb="FF000000"/>
        <rFont val="Arial"/>
        <family val="2"/>
      </rPr>
      <t>2</t>
    </r>
  </si>
  <si>
    <t>D2</t>
  </si>
  <si>
    <t>Cp/R para T&lt;1000</t>
  </si>
  <si>
    <t>Cp/R para T&gt;1000</t>
  </si>
  <si>
    <t>Q</t>
  </si>
  <si>
    <t>m3/s</t>
  </si>
  <si>
    <t>Ns obtenido</t>
  </si>
  <si>
    <t>Ns propuesto</t>
  </si>
  <si>
    <t>Limitaciones</t>
  </si>
  <si>
    <t xml:space="preserve">unidad </t>
  </si>
  <si>
    <t>w</t>
  </si>
  <si>
    <t>rad/s</t>
  </si>
  <si>
    <t>U_tip</t>
  </si>
  <si>
    <t>beta1_tip</t>
  </si>
  <si>
    <t>Delta_T</t>
  </si>
  <si>
    <t>cp</t>
  </si>
  <si>
    <t>Datos de entrada de la turbina</t>
  </si>
  <si>
    <t>T01</t>
  </si>
  <si>
    <t>P01</t>
  </si>
  <si>
    <t>rho01</t>
  </si>
  <si>
    <t>gamma</t>
  </si>
  <si>
    <t>Eficiencia politropica</t>
  </si>
  <si>
    <t>\alpha_2</t>
  </si>
  <si>
    <t xml:space="preserve">valor </t>
  </si>
  <si>
    <t>J/kg*K</t>
  </si>
  <si>
    <t>Kg/m3</t>
  </si>
  <si>
    <t>T0 inicio</t>
  </si>
  <si>
    <t>KJ/kg*K</t>
  </si>
  <si>
    <t>D0_ojo</t>
  </si>
  <si>
    <t>w1</t>
  </si>
  <si>
    <t>beta1</t>
  </si>
  <si>
    <t>Ma_1_r</t>
  </si>
  <si>
    <t>U2</t>
  </si>
  <si>
    <t>Indice de Mach:2</t>
  </si>
  <si>
    <t>c_theta_2</t>
  </si>
  <si>
    <t>w2</t>
  </si>
  <si>
    <t>cr2</t>
  </si>
  <si>
    <t>Beta2</t>
  </si>
  <si>
    <t>alpha2</t>
  </si>
  <si>
    <t>c2</t>
  </si>
  <si>
    <t>Primeros Parametros</t>
  </si>
  <si>
    <t>rp</t>
  </si>
  <si>
    <t>eta_c</t>
  </si>
  <si>
    <t>gamma-1/gamma</t>
  </si>
  <si>
    <t>(gamma-1)/(gamma*eficiencia_pt)</t>
  </si>
  <si>
    <t>w1tip</t>
  </si>
  <si>
    <t>a1</t>
  </si>
  <si>
    <t>M1_r</t>
  </si>
  <si>
    <t>Difusor</t>
  </si>
  <si>
    <t>alfa2</t>
  </si>
  <si>
    <t>alfa*</t>
  </si>
  <si>
    <t>r*</t>
  </si>
  <si>
    <t>r2</t>
  </si>
  <si>
    <t>alfa3</t>
  </si>
  <si>
    <t>M3</t>
  </si>
  <si>
    <t>r3</t>
  </si>
  <si>
    <t>T03</t>
  </si>
  <si>
    <t>T3</t>
  </si>
  <si>
    <t>Delta Testimado</t>
  </si>
  <si>
    <t>cp_medio</t>
  </si>
  <si>
    <t>DeltaTestimado</t>
  </si>
  <si>
    <t>cp_inicio</t>
  </si>
  <si>
    <t>cp_final</t>
  </si>
  <si>
    <t>KJ / Kg·K</t>
  </si>
  <si>
    <t>KJ/KG K</t>
  </si>
  <si>
    <t xml:space="preserve">KJ/KG K </t>
  </si>
  <si>
    <t>unidad</t>
  </si>
  <si>
    <t>T0final</t>
  </si>
  <si>
    <t>Para menor a mil</t>
  </si>
  <si>
    <t>T0_limite superior</t>
  </si>
  <si>
    <t>Para mayor a mil</t>
  </si>
  <si>
    <t>rango de T</t>
  </si>
  <si>
    <t>Delta_T0</t>
  </si>
  <si>
    <t>Unidad</t>
  </si>
  <si>
    <t xml:space="preserve">Coeficiente de Flujo </t>
  </si>
  <si>
    <t>fi</t>
  </si>
  <si>
    <t>Parametros de la salida</t>
  </si>
  <si>
    <t>Peso</t>
  </si>
  <si>
    <t>Etapa</t>
  </si>
  <si>
    <t>c2(m/s)</t>
  </si>
  <si>
    <t>Parametros geometricos</t>
  </si>
  <si>
    <t>entre 65 y 77</t>
  </si>
  <si>
    <t xml:space="preserve">Datos de la Figura </t>
  </si>
  <si>
    <t xml:space="preserve">unidades </t>
  </si>
  <si>
    <t>observación</t>
  </si>
  <si>
    <t>psi</t>
  </si>
  <si>
    <t>turbina de impuslo</t>
  </si>
  <si>
    <t>c_teta2(m/s)</t>
  </si>
  <si>
    <t>w2(m/s)</t>
  </si>
  <si>
    <t>epsilon_R</t>
  </si>
  <si>
    <t>Eta_tt</t>
  </si>
  <si>
    <t>figura 4</t>
  </si>
  <si>
    <t>cx</t>
  </si>
  <si>
    <t>um</t>
  </si>
  <si>
    <t>fi=cx/u</t>
  </si>
  <si>
    <t>w_theta2(m/s)</t>
  </si>
  <si>
    <t>T2[K]</t>
  </si>
  <si>
    <t>T03[K]</t>
  </si>
  <si>
    <t>T1[K]</t>
  </si>
  <si>
    <t>T01[K]</t>
  </si>
  <si>
    <t>Delta_T0_etapa [K]</t>
  </si>
  <si>
    <t>cp_max(J/kgK)</t>
  </si>
  <si>
    <t>cp_min(J/kgK)</t>
  </si>
  <si>
    <t>cp_medi(J/kgK)</t>
  </si>
  <si>
    <t>T01=T02</t>
  </si>
  <si>
    <t>P_01(Kpa)</t>
  </si>
  <si>
    <t>P03/P01</t>
  </si>
  <si>
    <t>P03 (Kpa)</t>
  </si>
  <si>
    <t>(gamma*eficiencia_pt)/(gamma-1)</t>
  </si>
  <si>
    <t>rho[k/m3]</t>
  </si>
  <si>
    <t>P2[Kpa]</t>
  </si>
  <si>
    <t>P02[Kpa]</t>
  </si>
  <si>
    <t>A[mm2]</t>
  </si>
  <si>
    <t>r_tip [mm]</t>
  </si>
  <si>
    <t>r_hub [mm]</t>
  </si>
  <si>
    <t>Velocidad de Giro</t>
  </si>
  <si>
    <t>r_m [mm]</t>
  </si>
  <si>
    <t>r_tip/r_hub</t>
  </si>
  <si>
    <t xml:space="preserve">Eficiencia total </t>
  </si>
  <si>
    <t>epsilon_n</t>
  </si>
  <si>
    <t>beta_2</t>
  </si>
  <si>
    <t>beta_3</t>
  </si>
  <si>
    <t>epsilon_r</t>
  </si>
  <si>
    <t>alfa_2 [°]</t>
  </si>
  <si>
    <t xml:space="preserve">alfa_3[°] </t>
  </si>
  <si>
    <t>b/H</t>
  </si>
  <si>
    <t>epsilon_r*</t>
  </si>
  <si>
    <t>epsilon_n*</t>
  </si>
  <si>
    <t>epsilon_epsilon_R</t>
  </si>
  <si>
    <t>epsilon_epsilon_N</t>
  </si>
  <si>
    <t>Re1</t>
  </si>
  <si>
    <t>mu_1</t>
  </si>
  <si>
    <t>mu_2</t>
  </si>
  <si>
    <t>datp</t>
  </si>
  <si>
    <t>x1</t>
  </si>
  <si>
    <t>Re2</t>
  </si>
  <si>
    <t>x2</t>
  </si>
  <si>
    <t>M2_rel</t>
  </si>
  <si>
    <t>M2_abs</t>
  </si>
  <si>
    <t>eta_total_toal</t>
  </si>
  <si>
    <t>Potencia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</si>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</sst>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7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8"/>
      <color rgb="FF222222"/>
      <name val="Arial"/>
      <family val="2"/>
    </font>
    <font>
      <vertAlign val="subscript"/>
      <sz val="10"/>
      <color rgb="FF000000"/>
      <name val="Arial"/>
      <family val="2"/>
    </font>
    <font>
      <vertAlign val="subscript"/>
      <sz val="10"/>
      <color theme="1"/>
      <name val="Calibri"/>
      <family val="2"/>
    </font>
    <font>
      <vertAlign val="subscript"/>
      <sz val="10"/>
      <name val="Calibri"/>
      <family val="2"/>
    </font>
    <font>
      <sz val="10"/>
      <color rgb="FF000000"/>
      <name val="Symbol"/>
      <family val="1"/>
      <charset val="2"/>
    </font>
    <font>
      <sz val="11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0" xfId="0" applyFont="1" applyAlignment="1"/>
    <xf numFmtId="0" fontId="2" fillId="0" borderId="5" xfId="0" applyFont="1" applyBorder="1"/>
    <xf numFmtId="0" fontId="2" fillId="0" borderId="7" xfId="0" applyFont="1" applyBorder="1"/>
    <xf numFmtId="0" fontId="1" fillId="0" borderId="2" xfId="0" applyFont="1" applyBorder="1"/>
    <xf numFmtId="0" fontId="1" fillId="0" borderId="5" xfId="0" applyFont="1" applyBorder="1"/>
    <xf numFmtId="0" fontId="2" fillId="0" borderId="0" xfId="0" applyFont="1" applyAlignment="1"/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5" xfId="0" applyFont="1" applyBorder="1" applyAlignment="1"/>
    <xf numFmtId="0" fontId="1" fillId="0" borderId="8" xfId="0" applyFont="1" applyBorder="1"/>
    <xf numFmtId="0" fontId="2" fillId="0" borderId="0" xfId="0" applyFont="1"/>
    <xf numFmtId="0" fontId="1" fillId="0" borderId="0" xfId="0" applyFont="1" applyBorder="1" applyAlignment="1"/>
    <xf numFmtId="0" fontId="0" fillId="0" borderId="0" xfId="0" applyFont="1" applyBorder="1" applyAlignment="1"/>
    <xf numFmtId="0" fontId="1" fillId="0" borderId="9" xfId="0" applyFont="1" applyBorder="1" applyAlignment="1"/>
    <xf numFmtId="0" fontId="0" fillId="0" borderId="10" xfId="0" applyFont="1" applyBorder="1" applyAlignment="1"/>
    <xf numFmtId="0" fontId="1" fillId="0" borderId="12" xfId="0" applyFont="1" applyBorder="1" applyAlignment="1"/>
    <xf numFmtId="0" fontId="1" fillId="0" borderId="14" xfId="0" applyFont="1" applyBorder="1"/>
    <xf numFmtId="0" fontId="2" fillId="0" borderId="0" xfId="0" applyFont="1" applyBorder="1"/>
    <xf numFmtId="0" fontId="1" fillId="0" borderId="15" xfId="0" applyFont="1" applyBorder="1" applyAlignment="1"/>
    <xf numFmtId="0" fontId="1" fillId="0" borderId="16" xfId="0" applyFont="1" applyBorder="1"/>
    <xf numFmtId="0" fontId="0" fillId="0" borderId="18" xfId="0" applyFont="1" applyBorder="1" applyAlignment="1"/>
    <xf numFmtId="0" fontId="2" fillId="0" borderId="10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6" fillId="0" borderId="17" xfId="0" applyFont="1" applyBorder="1" applyAlignment="1"/>
    <xf numFmtId="0" fontId="6" fillId="0" borderId="19" xfId="0" applyFont="1" applyBorder="1" applyAlignment="1"/>
    <xf numFmtId="0" fontId="6" fillId="0" borderId="4" xfId="0" applyFont="1" applyBorder="1" applyAlignment="1"/>
    <xf numFmtId="0" fontId="7" fillId="0" borderId="4" xfId="0" applyFont="1" applyBorder="1" applyAlignment="1"/>
    <xf numFmtId="0" fontId="6" fillId="0" borderId="6" xfId="0" applyFont="1" applyBorder="1" applyAlignment="1"/>
    <xf numFmtId="0" fontId="4" fillId="0" borderId="8" xfId="0" applyFont="1" applyBorder="1" applyAlignment="1"/>
    <xf numFmtId="0" fontId="4" fillId="0" borderId="16" xfId="0" applyFont="1" applyBorder="1"/>
    <xf numFmtId="0" fontId="4" fillId="0" borderId="11" xfId="0" applyFont="1" applyBorder="1"/>
    <xf numFmtId="2" fontId="1" fillId="0" borderId="0" xfId="0" applyNumberFormat="1" applyFont="1" applyBorder="1" applyAlignment="1"/>
    <xf numFmtId="0" fontId="9" fillId="0" borderId="21" xfId="0" applyFont="1" applyBorder="1" applyAlignment="1"/>
    <xf numFmtId="2" fontId="2" fillId="0" borderId="0" xfId="0" applyNumberFormat="1" applyFont="1"/>
    <xf numFmtId="0" fontId="4" fillId="0" borderId="5" xfId="0" applyFont="1" applyBorder="1" applyAlignment="1"/>
    <xf numFmtId="3" fontId="9" fillId="0" borderId="10" xfId="0" applyNumberFormat="1" applyFont="1" applyBorder="1" applyAlignment="1"/>
    <xf numFmtId="0" fontId="1" fillId="0" borderId="16" xfId="0" applyFont="1" applyBorder="1" applyAlignment="1"/>
    <xf numFmtId="0" fontId="1" fillId="0" borderId="22" xfId="0" applyFont="1" applyBorder="1" applyAlignment="1"/>
    <xf numFmtId="0" fontId="1" fillId="0" borderId="18" xfId="0" applyFont="1" applyBorder="1" applyAlignment="1"/>
    <xf numFmtId="0" fontId="2" fillId="0" borderId="10" xfId="0" applyFont="1" applyBorder="1"/>
    <xf numFmtId="0" fontId="1" fillId="0" borderId="20" xfId="0" applyFont="1" applyBorder="1" applyAlignment="1"/>
    <xf numFmtId="0" fontId="6" fillId="0" borderId="1" xfId="0" applyFont="1" applyBorder="1" applyAlignment="1"/>
    <xf numFmtId="0" fontId="6" fillId="0" borderId="15" xfId="0" applyFont="1" applyBorder="1" applyAlignment="1"/>
    <xf numFmtId="0" fontId="6" fillId="0" borderId="22" xfId="0" applyFont="1" applyBorder="1" applyAlignment="1"/>
    <xf numFmtId="0" fontId="6" fillId="0" borderId="18" xfId="0" applyFont="1" applyBorder="1" applyAlignment="1"/>
    <xf numFmtId="0" fontId="8" fillId="0" borderId="17" xfId="0" applyFont="1" applyBorder="1" applyAlignment="1"/>
    <xf numFmtId="0" fontId="4" fillId="0" borderId="18" xfId="0" applyFont="1" applyBorder="1" applyAlignment="1"/>
    <xf numFmtId="0" fontId="6" fillId="0" borderId="20" xfId="0" applyFont="1" applyBorder="1" applyAlignment="1">
      <alignment wrapText="1"/>
    </xf>
    <xf numFmtId="0" fontId="9" fillId="0" borderId="0" xfId="0" applyFont="1" applyBorder="1" applyAlignment="1"/>
    <xf numFmtId="0" fontId="6" fillId="0" borderId="17" xfId="0" applyFont="1" applyFill="1" applyBorder="1" applyAlignment="1"/>
    <xf numFmtId="0" fontId="9" fillId="0" borderId="18" xfId="0" applyFont="1" applyBorder="1" applyAlignment="1"/>
    <xf numFmtId="0" fontId="6" fillId="0" borderId="23" xfId="0" applyFont="1" applyFill="1" applyBorder="1" applyAlignment="1"/>
    <xf numFmtId="0" fontId="9" fillId="0" borderId="24" xfId="0" applyFont="1" applyBorder="1" applyAlignment="1"/>
    <xf numFmtId="0" fontId="6" fillId="0" borderId="21" xfId="0" applyFont="1" applyFill="1" applyBorder="1" applyAlignment="1"/>
    <xf numFmtId="0" fontId="9" fillId="0" borderId="17" xfId="0" applyFont="1" applyBorder="1" applyAlignment="1"/>
    <xf numFmtId="0" fontId="9" fillId="0" borderId="19" xfId="0" applyFont="1" applyBorder="1" applyAlignment="1"/>
    <xf numFmtId="0" fontId="9" fillId="0" borderId="17" xfId="0" applyFont="1" applyFill="1" applyBorder="1" applyAlignment="1"/>
    <xf numFmtId="0" fontId="9" fillId="0" borderId="18" xfId="0" applyFont="1" applyFill="1" applyBorder="1" applyAlignment="1"/>
    <xf numFmtId="0" fontId="9" fillId="0" borderId="19" xfId="0" applyFont="1" applyFill="1" applyBorder="1" applyAlignment="1"/>
    <xf numFmtId="0" fontId="10" fillId="0" borderId="20" xfId="0" applyFont="1" applyBorder="1" applyAlignment="1"/>
    <xf numFmtId="0" fontId="1" fillId="2" borderId="15" xfId="0" applyFont="1" applyFill="1" applyBorder="1" applyAlignment="1"/>
    <xf numFmtId="0" fontId="1" fillId="2" borderId="16" xfId="0" applyFont="1" applyFill="1" applyBorder="1" applyAlignment="1"/>
    <xf numFmtId="0" fontId="1" fillId="2" borderId="22" xfId="0" applyFont="1" applyFill="1" applyBorder="1" applyAlignment="1"/>
    <xf numFmtId="0" fontId="1" fillId="2" borderId="17" xfId="0" applyFont="1" applyFill="1" applyBorder="1" applyAlignment="1"/>
    <xf numFmtId="0" fontId="1" fillId="2" borderId="0" xfId="0" applyFont="1" applyFill="1" applyBorder="1"/>
    <xf numFmtId="0" fontId="1" fillId="2" borderId="18" xfId="0" applyFont="1" applyFill="1" applyBorder="1" applyAlignment="1"/>
    <xf numFmtId="0" fontId="6" fillId="2" borderId="17" xfId="0" applyFont="1" applyFill="1" applyBorder="1" applyAlignment="1"/>
    <xf numFmtId="0" fontId="6" fillId="2" borderId="0" xfId="0" applyFont="1" applyFill="1" applyBorder="1"/>
    <xf numFmtId="0" fontId="6" fillId="2" borderId="18" xfId="0" applyFont="1" applyFill="1" applyBorder="1" applyAlignment="1"/>
    <xf numFmtId="0" fontId="1" fillId="2" borderId="18" xfId="0" applyFont="1" applyFill="1" applyBorder="1"/>
    <xf numFmtId="0" fontId="10" fillId="3" borderId="20" xfId="0" applyFont="1" applyFill="1" applyBorder="1" applyAlignment="1"/>
    <xf numFmtId="0" fontId="1" fillId="0" borderId="0" xfId="0" applyFont="1" applyFill="1" applyBorder="1" applyAlignment="1"/>
    <xf numFmtId="0" fontId="7" fillId="2" borderId="19" xfId="0" applyFont="1" applyFill="1" applyBorder="1" applyAlignment="1"/>
    <xf numFmtId="0" fontId="1" fillId="2" borderId="10" xfId="0" applyFont="1" applyFill="1" applyBorder="1"/>
    <xf numFmtId="0" fontId="10" fillId="0" borderId="18" xfId="0" applyFont="1" applyFill="1" applyBorder="1" applyAlignment="1"/>
    <xf numFmtId="164" fontId="1" fillId="0" borderId="0" xfId="0" applyNumberFormat="1" applyFont="1" applyAlignment="1"/>
    <xf numFmtId="164" fontId="2" fillId="0" borderId="0" xfId="0" applyNumberFormat="1" applyFont="1" applyAlignment="1"/>
    <xf numFmtId="164" fontId="0" fillId="0" borderId="13" xfId="0" applyNumberFormat="1" applyFont="1" applyBorder="1" applyAlignment="1"/>
    <xf numFmtId="164" fontId="1" fillId="0" borderId="7" xfId="0" applyNumberFormat="1" applyFont="1" applyBorder="1" applyAlignment="1"/>
    <xf numFmtId="2" fontId="0" fillId="0" borderId="0" xfId="0" applyNumberFormat="1" applyFont="1" applyBorder="1" applyAlignment="1"/>
    <xf numFmtId="2" fontId="0" fillId="0" borderId="10" xfId="0" applyNumberFormat="1" applyFont="1" applyBorder="1" applyAlignment="1"/>
    <xf numFmtId="0" fontId="9" fillId="0" borderId="20" xfId="0" applyFont="1" applyBorder="1" applyAlignment="1"/>
    <xf numFmtId="0" fontId="9" fillId="0" borderId="23" xfId="0" applyFont="1" applyBorder="1" applyAlignment="1"/>
    <xf numFmtId="0" fontId="9" fillId="0" borderId="0" xfId="0" applyFont="1" applyAlignment="1"/>
    <xf numFmtId="0" fontId="15" fillId="0" borderId="0" xfId="0" applyFont="1" applyAlignment="1"/>
    <xf numFmtId="0" fontId="9" fillId="0" borderId="25" xfId="0" applyFont="1" applyBorder="1" applyAlignment="1"/>
    <xf numFmtId="0" fontId="9" fillId="0" borderId="27" xfId="0" applyFont="1" applyBorder="1" applyAlignment="1"/>
    <xf numFmtId="164" fontId="0" fillId="0" borderId="0" xfId="0" applyNumberFormat="1" applyFont="1" applyBorder="1" applyAlignment="1"/>
    <xf numFmtId="2" fontId="0" fillId="0" borderId="0" xfId="0" applyNumberFormat="1" applyFont="1" applyAlignment="1"/>
    <xf numFmtId="0" fontId="6" fillId="0" borderId="0" xfId="0" applyFont="1" applyFill="1" applyBorder="1" applyAlignment="1"/>
    <xf numFmtId="0" fontId="0" fillId="0" borderId="0" xfId="0" applyFont="1" applyFill="1" applyBorder="1" applyAlignment="1"/>
    <xf numFmtId="164" fontId="0" fillId="0" borderId="0" xfId="0" applyNumberFormat="1" applyFont="1" applyAlignment="1"/>
    <xf numFmtId="0" fontId="6" fillId="4" borderId="0" xfId="0" applyFont="1" applyFill="1" applyBorder="1" applyAlignment="1"/>
    <xf numFmtId="0" fontId="0" fillId="4" borderId="0" xfId="0" applyFont="1" applyFill="1" applyAlignment="1"/>
    <xf numFmtId="0" fontId="8" fillId="0" borderId="17" xfId="0" applyFont="1" applyFill="1" applyBorder="1" applyAlignment="1"/>
    <xf numFmtId="0" fontId="2" fillId="0" borderId="0" xfId="0" applyFont="1" applyFill="1" applyBorder="1"/>
    <xf numFmtId="0" fontId="4" fillId="0" borderId="18" xfId="0" applyFont="1" applyFill="1" applyBorder="1" applyAlignment="1"/>
    <xf numFmtId="2" fontId="1" fillId="0" borderId="7" xfId="0" applyNumberFormat="1" applyFont="1" applyBorder="1" applyAlignment="1"/>
    <xf numFmtId="0" fontId="6" fillId="3" borderId="17" xfId="0" applyFont="1" applyFill="1" applyBorder="1" applyAlignment="1"/>
    <xf numFmtId="0" fontId="2" fillId="3" borderId="0" xfId="0" applyFont="1" applyFill="1" applyBorder="1"/>
    <xf numFmtId="0" fontId="0" fillId="3" borderId="18" xfId="0" applyFont="1" applyFill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14" fillId="0" borderId="17" xfId="0" applyFont="1" applyBorder="1" applyAlignment="1"/>
    <xf numFmtId="0" fontId="0" fillId="5" borderId="10" xfId="0" applyFont="1" applyFill="1" applyBorder="1" applyAlignment="1"/>
    <xf numFmtId="0" fontId="0" fillId="5" borderId="0" xfId="0" applyFont="1" applyFill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17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7" xfId="0" applyFont="1" applyFill="1" applyBorder="1" applyAlignment="1"/>
    <xf numFmtId="0" fontId="0" fillId="0" borderId="19" xfId="0" applyFont="1" applyFill="1" applyBorder="1" applyAlignment="1"/>
    <xf numFmtId="0" fontId="0" fillId="0" borderId="18" xfId="0" applyFont="1" applyFill="1" applyBorder="1" applyAlignment="1"/>
    <xf numFmtId="0" fontId="0" fillId="0" borderId="20" xfId="0" applyFont="1" applyFill="1" applyBorder="1" applyAlignment="1"/>
    <xf numFmtId="0" fontId="3" fillId="0" borderId="17" xfId="0" applyFont="1" applyBorder="1" applyAlignment="1"/>
    <xf numFmtId="0" fontId="3" fillId="0" borderId="19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3" fillId="6" borderId="17" xfId="0" applyFont="1" applyFill="1" applyBorder="1" applyAlignment="1"/>
    <xf numFmtId="0" fontId="3" fillId="6" borderId="0" xfId="0" applyFont="1" applyFill="1" applyBorder="1" applyAlignment="1"/>
    <xf numFmtId="0" fontId="0" fillId="6" borderId="18" xfId="0" applyFont="1" applyFill="1" applyBorder="1" applyAlignment="1"/>
    <xf numFmtId="0" fontId="0" fillId="6" borderId="0" xfId="0" applyFont="1" applyFill="1" applyBorder="1" applyAlignment="1"/>
    <xf numFmtId="0" fontId="2" fillId="6" borderId="18" xfId="0" applyFont="1" applyFill="1" applyBorder="1" applyAlignment="1"/>
    <xf numFmtId="0" fontId="2" fillId="6" borderId="0" xfId="0" applyFont="1" applyFill="1" applyBorder="1" applyAlignment="1"/>
    <xf numFmtId="0" fontId="1" fillId="6" borderId="18" xfId="0" applyFont="1" applyFill="1" applyBorder="1" applyAlignment="1"/>
    <xf numFmtId="0" fontId="15" fillId="6" borderId="17" xfId="0" applyFont="1" applyFill="1" applyBorder="1" applyAlignment="1"/>
    <xf numFmtId="164" fontId="4" fillId="6" borderId="0" xfId="0" applyNumberFormat="1" applyFont="1" applyFill="1" applyBorder="1" applyAlignment="1"/>
    <xf numFmtId="0" fontId="2" fillId="0" borderId="0" xfId="0" applyFont="1" applyFill="1" applyBorder="1" applyAlignment="1"/>
    <xf numFmtId="164" fontId="0" fillId="0" borderId="26" xfId="0" applyNumberFormat="1" applyFont="1" applyBorder="1" applyAlignment="1"/>
    <xf numFmtId="0" fontId="0" fillId="0" borderId="19" xfId="0" applyFont="1" applyBorder="1" applyAlignment="1"/>
    <xf numFmtId="0" fontId="1" fillId="0" borderId="0" xfId="0" applyFont="1" applyBorder="1"/>
    <xf numFmtId="0" fontId="6" fillId="0" borderId="0" xfId="0" applyFont="1" applyBorder="1" applyAlignment="1"/>
    <xf numFmtId="164" fontId="2" fillId="0" borderId="0" xfId="0" applyNumberFormat="1" applyFont="1" applyBorder="1" applyAlignment="1"/>
    <xf numFmtId="164" fontId="1" fillId="0" borderId="0" xfId="0" applyNumberFormat="1" applyFont="1" applyBorder="1" applyAlignment="1"/>
    <xf numFmtId="0" fontId="1" fillId="0" borderId="18" xfId="0" applyFont="1" applyBorder="1"/>
    <xf numFmtId="164" fontId="1" fillId="0" borderId="10" xfId="0" applyNumberFormat="1" applyFont="1" applyBorder="1" applyAlignment="1"/>
    <xf numFmtId="0" fontId="1" fillId="0" borderId="20" xfId="0" applyFont="1" applyBorder="1"/>
    <xf numFmtId="0" fontId="2" fillId="4" borderId="0" xfId="0" applyFont="1" applyFill="1" applyAlignment="1"/>
    <xf numFmtId="0" fontId="1" fillId="4" borderId="1" xfId="0" applyFont="1" applyFill="1" applyBorder="1" applyAlignment="1"/>
    <xf numFmtId="0" fontId="1" fillId="4" borderId="2" xfId="0" applyFont="1" applyFill="1" applyBorder="1"/>
    <xf numFmtId="0" fontId="1" fillId="4" borderId="3" xfId="0" applyFont="1" applyFill="1" applyBorder="1" applyAlignment="1"/>
    <xf numFmtId="0" fontId="6" fillId="4" borderId="4" xfId="0" applyFont="1" applyFill="1" applyBorder="1" applyAlignment="1"/>
    <xf numFmtId="164" fontId="1" fillId="4" borderId="0" xfId="0" applyNumberFormat="1" applyFont="1" applyFill="1" applyAlignment="1"/>
    <xf numFmtId="0" fontId="1" fillId="4" borderId="5" xfId="0" applyFont="1" applyFill="1" applyBorder="1"/>
    <xf numFmtId="164" fontId="2" fillId="4" borderId="0" xfId="0" applyNumberFormat="1" applyFont="1" applyFill="1" applyAlignment="1"/>
    <xf numFmtId="0" fontId="1" fillId="4" borderId="12" xfId="0" applyFont="1" applyFill="1" applyBorder="1" applyAlignment="1"/>
    <xf numFmtId="164" fontId="0" fillId="4" borderId="13" xfId="0" applyNumberFormat="1" applyFont="1" applyFill="1" applyBorder="1" applyAlignment="1"/>
    <xf numFmtId="0" fontId="1" fillId="4" borderId="14" xfId="0" applyFont="1" applyFill="1" applyBorder="1"/>
    <xf numFmtId="0" fontId="6" fillId="4" borderId="6" xfId="0" applyFont="1" applyFill="1" applyBorder="1" applyAlignment="1"/>
    <xf numFmtId="164" fontId="1" fillId="4" borderId="7" xfId="0" applyNumberFormat="1" applyFont="1" applyFill="1" applyBorder="1" applyAlignment="1"/>
    <xf numFmtId="0" fontId="1" fillId="4" borderId="8" xfId="0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9" fillId="0" borderId="14" xfId="0" applyFont="1" applyBorder="1" applyAlignment="1"/>
    <xf numFmtId="0" fontId="16" fillId="0" borderId="0" xfId="0" applyFont="1" applyAlignment="1"/>
    <xf numFmtId="0" fontId="9" fillId="0" borderId="10" xfId="0" applyFont="1" applyBorder="1" applyAlignment="1"/>
    <xf numFmtId="164" fontId="0" fillId="0" borderId="10" xfId="0" applyNumberFormat="1" applyFont="1" applyBorder="1" applyAlignment="1"/>
    <xf numFmtId="164" fontId="9" fillId="0" borderId="0" xfId="0" applyNumberFormat="1" applyFont="1" applyAlignment="1"/>
    <xf numFmtId="2" fontId="0" fillId="0" borderId="26" xfId="0" applyNumberFormat="1" applyFont="1" applyBorder="1" applyAlignment="1"/>
    <xf numFmtId="0" fontId="1" fillId="0" borderId="19" xfId="0" applyFont="1" applyBorder="1" applyAlignment="1"/>
    <xf numFmtId="11" fontId="0" fillId="0" borderId="0" xfId="0" applyNumberFormat="1" applyFont="1" applyAlignment="1"/>
    <xf numFmtId="164" fontId="0" fillId="5" borderId="0" xfId="0" applyNumberFormat="1" applyFont="1" applyFill="1" applyBorder="1" applyAlignment="1"/>
    <xf numFmtId="0" fontId="9" fillId="0" borderId="0" xfId="0" applyNumberFormat="1" applyFont="1" applyAlignment="1"/>
    <xf numFmtId="0" fontId="0" fillId="0" borderId="28" xfId="0" applyFont="1" applyBorder="1" applyAlignment="1"/>
    <xf numFmtId="2" fontId="0" fillId="0" borderId="28" xfId="0" applyNumberFormat="1" applyFont="1" applyBorder="1" applyAlignment="1"/>
    <xf numFmtId="0" fontId="9" fillId="0" borderId="28" xfId="0" applyFont="1" applyBorder="1" applyAlignme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826770</xdr:colOff>
      <xdr:row>0</xdr:row>
      <xdr:rowOff>0</xdr:rowOff>
    </xdr:from>
    <xdr:ext cx="3089910" cy="2606039"/>
    <xdr:pic>
      <xdr:nvPicPr>
        <xdr:cNvPr id="2" name="image10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48150" y="0"/>
          <a:ext cx="3089910" cy="2606039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547996</xdr:colOff>
      <xdr:row>0</xdr:row>
      <xdr:rowOff>0</xdr:rowOff>
    </xdr:from>
    <xdr:ext cx="3305175" cy="25527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t="7713"/>
        <a:stretch/>
      </xdr:blipFill>
      <xdr:spPr>
        <a:xfrm>
          <a:off x="7913996" y="0"/>
          <a:ext cx="3305175" cy="2552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77583</xdr:colOff>
      <xdr:row>52</xdr:row>
      <xdr:rowOff>56358</xdr:rowOff>
    </xdr:from>
    <xdr:ext cx="1483995" cy="714375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r="61435"/>
        <a:stretch/>
      </xdr:blipFill>
      <xdr:spPr>
        <a:xfrm>
          <a:off x="6675607" y="10069934"/>
          <a:ext cx="148399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53</xdr:row>
      <xdr:rowOff>38100</xdr:rowOff>
    </xdr:from>
    <xdr:ext cx="741045" cy="449581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l="-877" t="-7109" r="79561" b="2220"/>
        <a:stretch/>
      </xdr:blipFill>
      <xdr:spPr>
        <a:xfrm>
          <a:off x="5164455" y="10180320"/>
          <a:ext cx="741045" cy="44958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937260</xdr:colOff>
      <xdr:row>56</xdr:row>
      <xdr:rowOff>116205</xdr:rowOff>
    </xdr:from>
    <xdr:ext cx="2065020" cy="657225"/>
    <xdr:pic>
      <xdr:nvPicPr>
        <xdr:cNvPr id="7" name="image6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 cstate="print"/>
        <a:srcRect l="5206" r="5208"/>
        <a:stretch/>
      </xdr:blipFill>
      <xdr:spPr>
        <a:xfrm>
          <a:off x="5349240" y="10852785"/>
          <a:ext cx="206502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47</xdr:row>
      <xdr:rowOff>146685</xdr:rowOff>
    </xdr:from>
    <xdr:ext cx="1428750" cy="666750"/>
    <xdr:pic>
      <xdr:nvPicPr>
        <xdr:cNvPr id="8" name="image5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7280" y="9100185"/>
          <a:ext cx="14287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49</xdr:row>
      <xdr:rowOff>41910</xdr:rowOff>
    </xdr:from>
    <xdr:ext cx="1752600" cy="6667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286500" y="9700260"/>
          <a:ext cx="175260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43</xdr:row>
      <xdr:rowOff>190500</xdr:rowOff>
    </xdr:from>
    <xdr:ext cx="1653540" cy="742950"/>
    <xdr:pic>
      <xdr:nvPicPr>
        <xdr:cNvPr id="10" name="image2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8" cstate="print"/>
        <a:srcRect l="7145" t="10666" r="56153" b="2667"/>
        <a:stretch/>
      </xdr:blipFill>
      <xdr:spPr>
        <a:xfrm>
          <a:off x="5173980" y="8351520"/>
          <a:ext cx="1653540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899608</xdr:colOff>
      <xdr:row>39</xdr:row>
      <xdr:rowOff>109145</xdr:rowOff>
    </xdr:from>
    <xdr:ext cx="1577340" cy="689610"/>
    <xdr:pic>
      <xdr:nvPicPr>
        <xdr:cNvPr id="12" name="image8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9" cstate="print"/>
        <a:srcRect l="2972" r="63775" b="13809"/>
        <a:stretch/>
      </xdr:blipFill>
      <xdr:spPr>
        <a:xfrm>
          <a:off x="4227755" y="7807586"/>
          <a:ext cx="1577340" cy="68961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44</xdr:row>
      <xdr:rowOff>192405</xdr:rowOff>
    </xdr:from>
    <xdr:ext cx="4562475" cy="3819525"/>
    <xdr:pic>
      <xdr:nvPicPr>
        <xdr:cNvPr id="14" name="image16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81000" y="8749665"/>
          <a:ext cx="4562475" cy="38195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512885</xdr:colOff>
      <xdr:row>0</xdr:row>
      <xdr:rowOff>131884</xdr:rowOff>
    </xdr:from>
    <xdr:to>
      <xdr:col>6</xdr:col>
      <xdr:colOff>512885</xdr:colOff>
      <xdr:row>11</xdr:row>
      <xdr:rowOff>67407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5942135" y="131884"/>
          <a:ext cx="0" cy="2059598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482112</xdr:colOff>
      <xdr:row>5</xdr:row>
      <xdr:rowOff>72638</xdr:rowOff>
    </xdr:from>
    <xdr:to>
      <xdr:col>7</xdr:col>
      <xdr:colOff>476250</xdr:colOff>
      <xdr:row>5</xdr:row>
      <xdr:rowOff>72638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768362" y="1034663"/>
          <a:ext cx="2099163" cy="0"/>
        </a:xfrm>
        <a:prstGeom prst="line">
          <a:avLst/>
        </a:prstGeom>
        <a:ln w="952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299357</xdr:colOff>
      <xdr:row>0</xdr:row>
      <xdr:rowOff>0</xdr:rowOff>
    </xdr:from>
    <xdr:to>
      <xdr:col>10</xdr:col>
      <xdr:colOff>302035</xdr:colOff>
      <xdr:row>10</xdr:row>
      <xdr:rowOff>9072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9633857" y="0"/>
          <a:ext cx="2678" cy="1941286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929296</xdr:colOff>
      <xdr:row>0</xdr:row>
      <xdr:rowOff>163812</xdr:rowOff>
    </xdr:from>
    <xdr:to>
      <xdr:col>11</xdr:col>
      <xdr:colOff>624496</xdr:colOff>
      <xdr:row>0</xdr:row>
      <xdr:rowOff>163812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8283599" y="163812"/>
          <a:ext cx="2647950" cy="0"/>
        </a:xfrm>
        <a:prstGeom prst="line">
          <a:avLst/>
        </a:prstGeom>
        <a:ln w="952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968951</xdr:colOff>
      <xdr:row>18</xdr:row>
      <xdr:rowOff>152964</xdr:rowOff>
    </xdr:from>
    <xdr:ext cx="2531580" cy="1651139"/>
    <xdr:pic>
      <xdr:nvPicPr>
        <xdr:cNvPr id="3" name="image1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53678" y="3893691"/>
          <a:ext cx="2531580" cy="165113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367393</xdr:colOff>
      <xdr:row>61</xdr:row>
      <xdr:rowOff>43543</xdr:rowOff>
    </xdr:from>
    <xdr:to>
      <xdr:col>4</xdr:col>
      <xdr:colOff>1043668</xdr:colOff>
      <xdr:row>68</xdr:row>
      <xdr:rowOff>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D069D2-3219-4949-96D4-9C9DAD14C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93" y="12494079"/>
          <a:ext cx="5370739" cy="1378036"/>
        </a:xfrm>
        <a:prstGeom prst="rect">
          <a:avLst/>
        </a:prstGeom>
      </xdr:spPr>
    </xdr:pic>
    <xdr:clientData/>
  </xdr:twoCellAnchor>
  <xdr:twoCellAnchor editAs="oneCell">
    <xdr:from>
      <xdr:col>0</xdr:col>
      <xdr:colOff>140155</xdr:colOff>
      <xdr:row>67</xdr:row>
      <xdr:rowOff>141514</xdr:rowOff>
    </xdr:from>
    <xdr:to>
      <xdr:col>4</xdr:col>
      <xdr:colOff>834376</xdr:colOff>
      <xdr:row>83</xdr:row>
      <xdr:rowOff>151038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11B8CC-FD53-44D0-8307-E71C2CA57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155" y="13816693"/>
          <a:ext cx="5388685" cy="3275239"/>
        </a:xfrm>
        <a:prstGeom prst="rect">
          <a:avLst/>
        </a:prstGeom>
      </xdr:spPr>
    </xdr:pic>
    <xdr:clientData/>
  </xdr:twoCellAnchor>
  <xdr:twoCellAnchor editAs="oneCell">
    <xdr:from>
      <xdr:col>9</xdr:col>
      <xdr:colOff>554690</xdr:colOff>
      <xdr:row>0</xdr:row>
      <xdr:rowOff>0</xdr:rowOff>
    </xdr:from>
    <xdr:to>
      <xdr:col>15</xdr:col>
      <xdr:colOff>402450</xdr:colOff>
      <xdr:row>24</xdr:row>
      <xdr:rowOff>169182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20DC5A-EA6F-4992-9A91-500F4B6C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904" y="0"/>
          <a:ext cx="6006193" cy="5050971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>
    <xdr:from>
      <xdr:col>10</xdr:col>
      <xdr:colOff>570140</xdr:colOff>
      <xdr:row>7</xdr:row>
      <xdr:rowOff>48986</xdr:rowOff>
    </xdr:from>
    <xdr:to>
      <xdr:col>15</xdr:col>
      <xdr:colOff>589190</xdr:colOff>
      <xdr:row>7</xdr:row>
      <xdr:rowOff>58511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D76E1BA-4E89-4A6F-B4D1-419729B9E5BA}"/>
            </a:ext>
          </a:extLst>
        </xdr:cNvPr>
        <xdr:cNvCxnSpPr/>
      </xdr:nvCxnSpPr>
      <xdr:spPr>
        <a:xfrm flipH="1">
          <a:off x="11088461" y="1477736"/>
          <a:ext cx="4849586" cy="952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236765</xdr:colOff>
      <xdr:row>0</xdr:row>
      <xdr:rowOff>104321</xdr:rowOff>
    </xdr:from>
    <xdr:to>
      <xdr:col>12</xdr:col>
      <xdr:colOff>243115</xdr:colOff>
      <xdr:row>20</xdr:row>
      <xdr:rowOff>174171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B746610-7E76-4494-9764-854667DEB0E8}"/>
            </a:ext>
          </a:extLst>
        </xdr:cNvPr>
        <xdr:cNvCxnSpPr/>
      </xdr:nvCxnSpPr>
      <xdr:spPr>
        <a:xfrm flipV="1">
          <a:off x="13136336" y="104321"/>
          <a:ext cx="6350" cy="405220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877372</xdr:colOff>
      <xdr:row>22</xdr:row>
      <xdr:rowOff>166561</xdr:rowOff>
    </xdr:from>
    <xdr:to>
      <xdr:col>28</xdr:col>
      <xdr:colOff>186293</xdr:colOff>
      <xdr:row>45</xdr:row>
      <xdr:rowOff>167171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71192-BB0B-4D47-B5EB-23761F22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46685" y="4357561"/>
          <a:ext cx="5976421" cy="4372585"/>
        </a:xfrm>
        <a:prstGeom prst="rect">
          <a:avLst/>
        </a:prstGeom>
      </xdr:spPr>
    </xdr:pic>
    <xdr:clientData/>
  </xdr:twoCellAnchor>
  <xdr:twoCellAnchor editAs="oneCell">
    <xdr:from>
      <xdr:col>4</xdr:col>
      <xdr:colOff>1068482</xdr:colOff>
      <xdr:row>64</xdr:row>
      <xdr:rowOff>10238</xdr:rowOff>
    </xdr:from>
    <xdr:to>
      <xdr:col>15</xdr:col>
      <xdr:colOff>36289</xdr:colOff>
      <xdr:row>90</xdr:row>
      <xdr:rowOff>192478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57F64D-3A6F-490F-AF11-6FCBA90E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61709" y="13293283"/>
          <a:ext cx="10109418" cy="5585513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63</xdr:row>
      <xdr:rowOff>33617</xdr:rowOff>
    </xdr:from>
    <xdr:to>
      <xdr:col>8</xdr:col>
      <xdr:colOff>415804</xdr:colOff>
      <xdr:row>72</xdr:row>
      <xdr:rowOff>94951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38047C-62BA-4752-8233-986ACB51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9118" y="12729882"/>
          <a:ext cx="3143689" cy="1876687"/>
        </a:xfrm>
        <a:prstGeom prst="rect">
          <a:avLst/>
        </a:prstGeom>
      </xdr:spPr>
    </xdr:pic>
    <xdr:clientData/>
  </xdr:twoCellAnchor>
  <xdr:twoCellAnchor editAs="oneCell">
    <xdr:from>
      <xdr:col>8</xdr:col>
      <xdr:colOff>246529</xdr:colOff>
      <xdr:row>91</xdr:row>
      <xdr:rowOff>134470</xdr:rowOff>
    </xdr:from>
    <xdr:to>
      <xdr:col>11</xdr:col>
      <xdr:colOff>137311</xdr:colOff>
      <xdr:row>100</xdr:row>
      <xdr:rowOff>198979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169ADA-C713-4292-AB19-5E2037D2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19882" y="18478499"/>
          <a:ext cx="3143689" cy="1876687"/>
        </a:xfrm>
        <a:prstGeom prst="rect">
          <a:avLst/>
        </a:prstGeom>
      </xdr:spPr>
    </xdr:pic>
    <xdr:clientData/>
  </xdr:twoCellAnchor>
  <xdr:twoCellAnchor editAs="oneCell">
    <xdr:from>
      <xdr:col>4</xdr:col>
      <xdr:colOff>1145036</xdr:colOff>
      <xdr:row>61</xdr:row>
      <xdr:rowOff>50936</xdr:rowOff>
    </xdr:from>
    <xdr:to>
      <xdr:col>16</xdr:col>
      <xdr:colOff>110938</xdr:colOff>
      <xdr:row>76</xdr:row>
      <xdr:rowOff>149983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D2F3F7-A1AE-4E71-B7D7-C32149C0E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38263" y="12710527"/>
          <a:ext cx="11077332" cy="3206795"/>
        </a:xfrm>
        <a:prstGeom prst="rect">
          <a:avLst/>
        </a:prstGeom>
      </xdr:spPr>
    </xdr:pic>
    <xdr:clientData/>
  </xdr:twoCellAnchor>
  <xdr:twoCellAnchor editAs="oneCell">
    <xdr:from>
      <xdr:col>16</xdr:col>
      <xdr:colOff>313764</xdr:colOff>
      <xdr:row>62</xdr:row>
      <xdr:rowOff>63035</xdr:rowOff>
    </xdr:from>
    <xdr:to>
      <xdr:col>24</xdr:col>
      <xdr:colOff>301378</xdr:colOff>
      <xdr:row>87</xdr:row>
      <xdr:rowOff>2658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F5379A-F317-4BE1-90DC-3F8322619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20577" y="11874035"/>
          <a:ext cx="7512364" cy="4702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46"/>
  <sheetViews>
    <sheetView tabSelected="1" topLeftCell="E1" zoomScale="85" zoomScaleNormal="85" workbookViewId="0">
      <selection activeCell="O34" sqref="O34"/>
    </sheetView>
  </sheetViews>
  <sheetFormatPr defaultColWidth="14.42578125" defaultRowHeight="15.75" customHeight="1" x14ac:dyDescent="0.2"/>
  <cols>
    <col min="1" max="1" width="6.5703125" customWidth="1"/>
    <col min="6" max="6" width="17.140625" customWidth="1"/>
    <col min="10" max="10" width="15.42578125" customWidth="1"/>
    <col min="14" max="14" width="19.140625" bestFit="1" customWidth="1"/>
    <col min="15" max="15" width="12.28515625" bestFit="1" customWidth="1"/>
    <col min="17" max="17" width="21.28515625" customWidth="1"/>
    <col min="19" max="19" width="30.140625" customWidth="1"/>
  </cols>
  <sheetData>
    <row r="1" spans="2:17" ht="15.75" customHeight="1" thickBot="1" x14ac:dyDescent="0.25"/>
    <row r="2" spans="2:17" ht="12.75" x14ac:dyDescent="0.2">
      <c r="B2" s="66" t="s">
        <v>0</v>
      </c>
      <c r="C2" s="67" t="s">
        <v>1</v>
      </c>
      <c r="D2" s="68" t="s">
        <v>2</v>
      </c>
      <c r="N2" s="88" t="s">
        <v>80</v>
      </c>
      <c r="O2" s="58" t="s">
        <v>12</v>
      </c>
      <c r="P2" s="38" t="s">
        <v>2</v>
      </c>
    </row>
    <row r="3" spans="2:17" x14ac:dyDescent="0.3">
      <c r="B3" s="69" t="s">
        <v>4</v>
      </c>
      <c r="C3" s="70">
        <v>30</v>
      </c>
      <c r="D3" s="71" t="s">
        <v>5</v>
      </c>
      <c r="N3" s="60" t="s">
        <v>81</v>
      </c>
      <c r="O3" s="85">
        <f ca="1">(C24+C25*O4+C26*O4^2+C27*O4^3+C28*O4^4)*C22</f>
        <v>1014.6583104185676</v>
      </c>
      <c r="P3" s="56" t="s">
        <v>18</v>
      </c>
    </row>
    <row r="4" spans="2:17" x14ac:dyDescent="0.3">
      <c r="B4" s="72" t="s">
        <v>57</v>
      </c>
      <c r="C4" s="73">
        <v>300</v>
      </c>
      <c r="D4" s="71" t="s">
        <v>6</v>
      </c>
      <c r="N4" s="60" t="s">
        <v>82</v>
      </c>
      <c r="O4" s="85">
        <f ca="1">G21-(K33^2/(2*O3))</f>
        <v>365.94818141686159</v>
      </c>
      <c r="P4" s="56" t="s">
        <v>6</v>
      </c>
      <c r="Q4">
        <f>G21/(1+Q6^2*((C19-1)/2))</f>
        <v>393.58902663113508</v>
      </c>
    </row>
    <row r="5" spans="2:17" x14ac:dyDescent="0.3">
      <c r="B5" s="72" t="s">
        <v>56</v>
      </c>
      <c r="C5" s="70">
        <v>101</v>
      </c>
      <c r="D5" s="74" t="s">
        <v>7</v>
      </c>
      <c r="N5" s="60" t="s">
        <v>85</v>
      </c>
      <c r="O5" s="85">
        <f ca="1">SQRT(C19*C22*O4)</f>
        <v>383.48871647806556</v>
      </c>
      <c r="P5" s="56" t="s">
        <v>20</v>
      </c>
      <c r="Q5">
        <f>SQRT(G21*C19*C22)</f>
        <v>448.42930317541044</v>
      </c>
    </row>
    <row r="6" spans="2:17" x14ac:dyDescent="0.3">
      <c r="B6" s="72" t="s">
        <v>55</v>
      </c>
      <c r="C6" s="70">
        <v>4.5</v>
      </c>
      <c r="D6" s="75"/>
      <c r="N6" s="60" t="s">
        <v>83</v>
      </c>
      <c r="O6" s="85">
        <f ca="1">K33/O5</f>
        <v>1.3620024610590324</v>
      </c>
      <c r="P6" s="25"/>
      <c r="Q6">
        <f>K33/Q5</f>
        <v>1.1647601348370933</v>
      </c>
    </row>
    <row r="7" spans="2:17" x14ac:dyDescent="0.3">
      <c r="B7" s="72" t="s">
        <v>34</v>
      </c>
      <c r="C7" s="70">
        <v>0.65</v>
      </c>
      <c r="D7" s="75"/>
      <c r="N7" s="60" t="s">
        <v>86</v>
      </c>
      <c r="O7" s="85">
        <f ca="1">C6*C5/(1+((C19-1)/2)*O6^2)^(C20)</f>
        <v>150.62308996906395</v>
      </c>
      <c r="P7" s="56" t="s">
        <v>87</v>
      </c>
      <c r="Q7">
        <f>C6*C5/(1+((C19-1)/2)*Q6^2)^(C20)</f>
        <v>196.16701649627433</v>
      </c>
    </row>
    <row r="8" spans="2:17" x14ac:dyDescent="0.3">
      <c r="B8" s="72" t="s">
        <v>51</v>
      </c>
      <c r="C8" s="70">
        <v>30</v>
      </c>
      <c r="D8" s="71" t="s">
        <v>8</v>
      </c>
      <c r="N8" s="60" t="s">
        <v>89</v>
      </c>
      <c r="O8" s="85">
        <f ca="1">O7*1000/O4/C22</f>
        <v>1.4338852861697708</v>
      </c>
      <c r="P8" s="56" t="s">
        <v>33</v>
      </c>
      <c r="Q8">
        <f>Q7/(C22*Q4)*1000</f>
        <v>1.7363027538855904</v>
      </c>
    </row>
    <row r="9" spans="2:17" ht="12.75" x14ac:dyDescent="0.2">
      <c r="B9" s="69" t="s">
        <v>9</v>
      </c>
      <c r="C9" s="70">
        <v>20</v>
      </c>
      <c r="D9" s="75"/>
      <c r="N9" s="60" t="s">
        <v>90</v>
      </c>
      <c r="O9" s="85">
        <f>60*1000*K27/PI()/G16</f>
        <v>1255.0640256679212</v>
      </c>
      <c r="P9" s="56" t="s">
        <v>8</v>
      </c>
      <c r="Q9" s="85">
        <f>O9</f>
        <v>1255.0640256679212</v>
      </c>
    </row>
    <row r="10" spans="2:17" ht="16.5" thickBot="1" x14ac:dyDescent="0.35">
      <c r="B10" s="72" t="s">
        <v>35</v>
      </c>
      <c r="C10" s="70">
        <v>0.64</v>
      </c>
      <c r="D10" s="75"/>
      <c r="N10" s="61" t="s">
        <v>88</v>
      </c>
      <c r="O10" s="86">
        <f ca="1">C3/K31/O8/2/PI()/O9*2*(1000^2)</f>
        <v>17.53029981749237</v>
      </c>
      <c r="P10" s="87" t="s">
        <v>8</v>
      </c>
      <c r="Q10">
        <f>C3/K31/Q8/2/PI()/Q9*2*(1000^2)</f>
        <v>14.476990786425503</v>
      </c>
    </row>
    <row r="11" spans="2:17" ht="15" thickBot="1" x14ac:dyDescent="0.3">
      <c r="B11" s="78" t="s">
        <v>70</v>
      </c>
      <c r="C11" s="79">
        <v>0</v>
      </c>
      <c r="D11" s="76" t="s">
        <v>11</v>
      </c>
    </row>
    <row r="12" spans="2:17" ht="13.5" thickBot="1" x14ac:dyDescent="0.25">
      <c r="N12" s="107" t="s">
        <v>97</v>
      </c>
      <c r="O12" s="108" t="s">
        <v>3</v>
      </c>
      <c r="P12" s="28" t="s">
        <v>98</v>
      </c>
    </row>
    <row r="13" spans="2:17" ht="12.75" x14ac:dyDescent="0.2">
      <c r="B13" s="23" t="s">
        <v>32</v>
      </c>
      <c r="C13" s="24" t="s">
        <v>17</v>
      </c>
      <c r="D13" s="28" t="s">
        <v>2</v>
      </c>
      <c r="N13" s="109" t="s">
        <v>99</v>
      </c>
      <c r="O13" s="17">
        <f>G16*2*PI()/60</f>
        <v>753.67808758880449</v>
      </c>
      <c r="P13" s="56" t="s">
        <v>100</v>
      </c>
    </row>
    <row r="14" spans="2:17" ht="16.5" thickBot="1" x14ac:dyDescent="0.35">
      <c r="B14" s="29" t="s">
        <v>58</v>
      </c>
      <c r="C14" s="22">
        <f>C4/(1+(C19-1)/2*C7^2)</f>
        <v>276.62517289073304</v>
      </c>
      <c r="D14" s="25" t="s">
        <v>6</v>
      </c>
      <c r="N14" s="60" t="s">
        <v>101</v>
      </c>
      <c r="O14" s="17">
        <f>K23/2*O13/1000</f>
        <v>161.27678354118032</v>
      </c>
      <c r="P14" s="63" t="s">
        <v>20</v>
      </c>
    </row>
    <row r="15" spans="2:17" x14ac:dyDescent="0.3">
      <c r="B15" s="29" t="s">
        <v>59</v>
      </c>
      <c r="C15" s="22">
        <f>C5*(C14/C4)^(C19/(C19-1))</f>
        <v>76.03576618970358</v>
      </c>
      <c r="D15" s="25" t="s">
        <v>7</v>
      </c>
      <c r="F15" s="1" t="s">
        <v>13</v>
      </c>
      <c r="G15" s="2" t="s">
        <v>12</v>
      </c>
      <c r="H15" s="11" t="s">
        <v>2</v>
      </c>
      <c r="J15" s="23" t="s">
        <v>13</v>
      </c>
      <c r="K15" s="35" t="s">
        <v>17</v>
      </c>
      <c r="L15" s="38" t="s">
        <v>54</v>
      </c>
      <c r="N15" s="62" t="s">
        <v>134</v>
      </c>
      <c r="O15" s="17">
        <f>O24</f>
        <v>270.14516423840399</v>
      </c>
      <c r="P15" s="63" t="s">
        <v>20</v>
      </c>
    </row>
    <row r="16" spans="2:17" ht="16.5" thickBot="1" x14ac:dyDescent="0.35">
      <c r="B16" s="30" t="s">
        <v>60</v>
      </c>
      <c r="C16" s="26">
        <f>C15/(C14*C22)*1000</f>
        <v>0.95756591108092126</v>
      </c>
      <c r="D16" s="27" t="s">
        <v>33</v>
      </c>
      <c r="F16" s="4" t="s">
        <v>14</v>
      </c>
      <c r="G16" s="5">
        <f>O21</f>
        <v>7197.0955883882807</v>
      </c>
      <c r="H16" s="13" t="s">
        <v>15</v>
      </c>
      <c r="J16" s="104" t="s">
        <v>45</v>
      </c>
      <c r="K16" s="105">
        <v>0.84</v>
      </c>
      <c r="L16" s="106"/>
      <c r="N16" s="62" t="s">
        <v>102</v>
      </c>
      <c r="O16" s="111">
        <f>ATAN(O14/O15)*180/PI()</f>
        <v>30.837220329708227</v>
      </c>
      <c r="P16" s="56" t="s">
        <v>11</v>
      </c>
    </row>
    <row r="17" spans="2:16" ht="16.5" thickBot="1" x14ac:dyDescent="0.35">
      <c r="F17" s="33" t="s">
        <v>44</v>
      </c>
      <c r="G17" s="103">
        <f>(C6^(C21)-1)/(C6^(C21/K16)-1)</f>
        <v>0.80374013196304406</v>
      </c>
      <c r="H17" s="12"/>
      <c r="J17" s="104" t="s">
        <v>96</v>
      </c>
      <c r="K17" s="105">
        <v>0.74</v>
      </c>
      <c r="L17" s="106"/>
      <c r="N17" s="62" t="s">
        <v>135</v>
      </c>
      <c r="O17" s="17">
        <f>SQRT(C14*C19*C22)</f>
        <v>333.41769333614985</v>
      </c>
      <c r="P17" s="56" t="s">
        <v>20</v>
      </c>
    </row>
    <row r="18" spans="2:16" ht="13.5" thickBot="1" x14ac:dyDescent="0.25">
      <c r="B18" s="47" t="s">
        <v>84</v>
      </c>
      <c r="C18" s="2" t="s">
        <v>3</v>
      </c>
      <c r="D18" s="3" t="s">
        <v>2</v>
      </c>
      <c r="J18" s="30" t="s">
        <v>95</v>
      </c>
      <c r="K18" s="26">
        <f>2*PI()/60*G16*SQRT(G20)/G25^(3/4)</f>
        <v>0.43816427066036995</v>
      </c>
      <c r="L18" s="27"/>
      <c r="N18" s="64" t="s">
        <v>136</v>
      </c>
      <c r="O18" s="110">
        <f>O15/O17</f>
        <v>0.81023043958871477</v>
      </c>
      <c r="P18" s="27"/>
    </row>
    <row r="19" spans="2:16" ht="13.5" thickBot="1" x14ac:dyDescent="0.25">
      <c r="B19" s="32" t="s">
        <v>36</v>
      </c>
      <c r="C19" s="16">
        <v>1.4</v>
      </c>
      <c r="D19" s="6"/>
      <c r="F19" s="1" t="s">
        <v>16</v>
      </c>
      <c r="G19" s="2" t="s">
        <v>12</v>
      </c>
      <c r="H19" s="11" t="s">
        <v>2</v>
      </c>
    </row>
    <row r="20" spans="2:16" ht="12.75" x14ac:dyDescent="0.2">
      <c r="B20" s="32" t="s">
        <v>53</v>
      </c>
      <c r="C20" s="16">
        <f>C21^(-1)</f>
        <v>3.5000000000000009</v>
      </c>
      <c r="D20" s="6"/>
      <c r="F20" s="31" t="s">
        <v>93</v>
      </c>
      <c r="G20" s="16">
        <f>C3/C16</f>
        <v>31.32943607624393</v>
      </c>
      <c r="H20" s="40" t="s">
        <v>94</v>
      </c>
      <c r="J20" s="23" t="s">
        <v>19</v>
      </c>
      <c r="K20" s="42" t="s">
        <v>12</v>
      </c>
      <c r="L20" s="43" t="s">
        <v>2</v>
      </c>
      <c r="N20" s="77" t="s">
        <v>14</v>
      </c>
      <c r="O20" s="10">
        <f>O21*2*PI()/60</f>
        <v>753.67808758880449</v>
      </c>
      <c r="P20" s="77" t="s">
        <v>100</v>
      </c>
    </row>
    <row r="21" spans="2:16" x14ac:dyDescent="0.3">
      <c r="B21" s="32" t="s">
        <v>52</v>
      </c>
      <c r="C21" s="37">
        <f>(C19-1)/C19</f>
        <v>0.28571428571428564</v>
      </c>
      <c r="D21" s="6"/>
      <c r="F21" s="31" t="s">
        <v>61</v>
      </c>
      <c r="G21" s="15">
        <f>C4*C6^(C21/K16)</f>
        <v>500.38281022814391</v>
      </c>
      <c r="H21" s="13" t="s">
        <v>6</v>
      </c>
      <c r="J21" s="29" t="s">
        <v>48</v>
      </c>
      <c r="K21" s="22">
        <f>C7*SQRT(C22*C19*C14)</f>
        <v>216.72150066849744</v>
      </c>
      <c r="L21" s="44" t="s">
        <v>20</v>
      </c>
      <c r="N21" t="s">
        <v>14</v>
      </c>
      <c r="O21" cm="1">
        <f t="array" ref="O21">K17*(G24*(G21-C4)^{0.75})/(C3/C16)^{0.5}</f>
        <v>7197.0955883882807</v>
      </c>
      <c r="P21" t="s">
        <v>15</v>
      </c>
    </row>
    <row r="22" spans="2:16" ht="16.5" thickBot="1" x14ac:dyDescent="0.35">
      <c r="B22" s="18" t="s">
        <v>31</v>
      </c>
      <c r="C22" s="41">
        <v>287.05</v>
      </c>
      <c r="D22" s="36" t="s">
        <v>18</v>
      </c>
      <c r="F22" s="31" t="s">
        <v>62</v>
      </c>
      <c r="G22" s="39">
        <f>(C24+C25*C4+C26*C4^2+C27*C4^3+C28*C4^4)*C22</f>
        <v>1008.6522266715399</v>
      </c>
      <c r="H22" s="13" t="s">
        <v>18</v>
      </c>
      <c r="J22" s="29" t="s">
        <v>49</v>
      </c>
      <c r="K22" s="22">
        <f>C3/(C16*K21)*1000^2</f>
        <v>144560.81182349421</v>
      </c>
      <c r="L22" s="44" t="s">
        <v>21</v>
      </c>
      <c r="N22" t="s">
        <v>117</v>
      </c>
      <c r="O22" cm="1">
        <f t="array" ref="O22">SQRT((4*C3/(PI()*C16*K21))-((C8/1000)^{2}))</f>
        <v>0.42797259518886399</v>
      </c>
      <c r="P22" t="s">
        <v>4</v>
      </c>
    </row>
    <row r="23" spans="2:16" ht="16.5" thickBot="1" x14ac:dyDescent="0.35">
      <c r="B23" s="1" t="s">
        <v>91</v>
      </c>
      <c r="C23" s="8"/>
      <c r="D23" s="3" t="s">
        <v>10</v>
      </c>
      <c r="F23" s="31" t="s">
        <v>63</v>
      </c>
      <c r="G23" s="39">
        <f>(C24+C25*G21+C26*G21^2+C27*G21^3+C28*G21^4)*C22</f>
        <v>1035.6094560677159</v>
      </c>
      <c r="H23" s="13" t="s">
        <v>18</v>
      </c>
      <c r="J23" s="30" t="s">
        <v>50</v>
      </c>
      <c r="K23" s="45">
        <f>2*SQRT(K22/PI()-(C8/2)^2)</f>
        <v>427.97259518886403</v>
      </c>
      <c r="L23" s="46" t="s">
        <v>8</v>
      </c>
      <c r="N23" t="s">
        <v>101</v>
      </c>
      <c r="O23">
        <f>O21*2*PI()/60*O22/2</f>
        <v>161.27678354118029</v>
      </c>
      <c r="P23" t="s">
        <v>20</v>
      </c>
    </row>
    <row r="24" spans="2:16" ht="16.5" thickBot="1" x14ac:dyDescent="0.35">
      <c r="B24" s="31" t="s">
        <v>38</v>
      </c>
      <c r="C24" s="81">
        <v>3.5839057959999998</v>
      </c>
      <c r="D24" s="9"/>
      <c r="F24" s="31" t="s">
        <v>46</v>
      </c>
      <c r="G24" s="39">
        <f>(G22+G23)/2</f>
        <v>1022.1308413696279</v>
      </c>
      <c r="H24" s="13" t="s">
        <v>18</v>
      </c>
      <c r="N24" t="s">
        <v>118</v>
      </c>
      <c r="O24" cm="1">
        <f t="array" ref="O24">SQRT(O23^{2}+K21^{2})</f>
        <v>270.14516423840399</v>
      </c>
      <c r="P24" t="s">
        <v>20</v>
      </c>
    </row>
    <row r="25" spans="2:16" x14ac:dyDescent="0.3">
      <c r="B25" s="31" t="s">
        <v>37</v>
      </c>
      <c r="C25" s="81">
        <v>-7.5090699999999999E-4</v>
      </c>
      <c r="D25" s="9"/>
      <c r="F25" s="31" t="s">
        <v>64</v>
      </c>
      <c r="G25" s="39">
        <f>G24*(G21-C4)</f>
        <v>204817.45041450323</v>
      </c>
      <c r="H25" s="40" t="s">
        <v>65</v>
      </c>
      <c r="J25" s="57" t="s">
        <v>79</v>
      </c>
      <c r="K25" s="58" t="s">
        <v>3</v>
      </c>
      <c r="L25" s="59" t="s">
        <v>2</v>
      </c>
      <c r="N25" s="98" t="s">
        <v>119</v>
      </c>
      <c r="O25" s="99">
        <f>ATAN(O23/K21)*180/PI()</f>
        <v>36.655371125943688</v>
      </c>
      <c r="P25" s="95" t="s">
        <v>11</v>
      </c>
    </row>
    <row r="26" spans="2:16" ht="16.5" thickBot="1" x14ac:dyDescent="0.35">
      <c r="B26" s="31" t="s">
        <v>39</v>
      </c>
      <c r="C26" s="82">
        <v>1.8702600000000001E-6</v>
      </c>
      <c r="D26" s="9"/>
      <c r="F26" s="33" t="s">
        <v>47</v>
      </c>
      <c r="G26" s="7">
        <f>C3*G25/1000</f>
        <v>6144.5235124350975</v>
      </c>
      <c r="H26" s="34" t="s">
        <v>66</v>
      </c>
      <c r="J26" s="55" t="s">
        <v>71</v>
      </c>
      <c r="K26" s="77">
        <f>ATAN((1-G30)/C10)*180/PI()</f>
        <v>8.880659150520243</v>
      </c>
      <c r="L26" s="80" t="s">
        <v>11</v>
      </c>
      <c r="N26" s="99" t="s">
        <v>120</v>
      </c>
      <c r="O26" s="99">
        <f>O24/SQRT(C19*C22*C14)</f>
        <v>0.81023043958871466</v>
      </c>
    </row>
    <row r="27" spans="2:16" ht="16.5" thickBot="1" x14ac:dyDescent="0.35">
      <c r="B27" s="31" t="s">
        <v>40</v>
      </c>
      <c r="C27" s="82">
        <v>-3.9102799999999998E-10</v>
      </c>
      <c r="D27" s="9"/>
      <c r="J27" s="51" t="s">
        <v>69</v>
      </c>
      <c r="K27" s="22">
        <f>G31*G29</f>
        <v>472.95712733345255</v>
      </c>
      <c r="L27" s="52" t="s">
        <v>20</v>
      </c>
      <c r="N27" s="89" t="s">
        <v>121</v>
      </c>
      <c r="O27">
        <f>SQRT(G24*(G21-C4)/G30)</f>
        <v>477.04815784677714</v>
      </c>
      <c r="P27" s="89" t="s">
        <v>20</v>
      </c>
    </row>
    <row r="28" spans="2:16" ht="15.75" customHeight="1" thickBot="1" x14ac:dyDescent="0.35">
      <c r="B28" s="31" t="s">
        <v>41</v>
      </c>
      <c r="C28" s="81">
        <v>-3.14052E-13</v>
      </c>
      <c r="D28" s="9"/>
      <c r="F28" s="48" t="s">
        <v>68</v>
      </c>
      <c r="G28" s="42" t="s">
        <v>17</v>
      </c>
      <c r="H28" s="49" t="s">
        <v>2</v>
      </c>
      <c r="J28" s="55" t="s">
        <v>72</v>
      </c>
      <c r="K28" s="17">
        <f>C10*K27</f>
        <v>302.69256149340964</v>
      </c>
      <c r="L28" s="56" t="s">
        <v>20</v>
      </c>
      <c r="N28" s="89" t="s">
        <v>90</v>
      </c>
      <c r="O28">
        <f>2*O27/(O21*2*PI()/60)</f>
        <v>1.2659202004212904</v>
      </c>
      <c r="P28" s="89" t="s">
        <v>4</v>
      </c>
    </row>
    <row r="29" spans="2:16" ht="16.5" thickBot="1" x14ac:dyDescent="0.35">
      <c r="B29" s="20" t="s">
        <v>92</v>
      </c>
      <c r="C29" s="83"/>
      <c r="D29" s="21"/>
      <c r="F29" s="29" t="s">
        <v>67</v>
      </c>
      <c r="G29" s="16">
        <f>SQRT(C22*C19*C4)</f>
        <v>347.21895109570272</v>
      </c>
      <c r="H29" s="50" t="s">
        <v>20</v>
      </c>
      <c r="J29" s="60" t="s">
        <v>73</v>
      </c>
      <c r="K29" s="17">
        <f>K28*TAN(PI()/180*K26)</f>
        <v>47.295712733345248</v>
      </c>
      <c r="L29" s="56" t="s">
        <v>20</v>
      </c>
      <c r="N29" s="89" t="s">
        <v>122</v>
      </c>
      <c r="O29">
        <f>O27/SQRT(C19*C22*C4)</f>
        <v>1.3739116380064464</v>
      </c>
    </row>
    <row r="30" spans="2:16" x14ac:dyDescent="0.3">
      <c r="B30" s="31" t="s">
        <v>38</v>
      </c>
      <c r="C30" s="82">
        <v>3.0483822539999998</v>
      </c>
      <c r="D30" s="9"/>
      <c r="F30" s="100" t="s">
        <v>43</v>
      </c>
      <c r="G30" s="101">
        <f>1-2/C9</f>
        <v>0.9</v>
      </c>
      <c r="H30" s="102"/>
      <c r="J30" s="60" t="s">
        <v>74</v>
      </c>
      <c r="K30" s="17">
        <f>K28/COS(K26*PI()/180)</f>
        <v>306.36525786452466</v>
      </c>
      <c r="L30" s="56" t="s">
        <v>20</v>
      </c>
      <c r="N30" s="89" t="s">
        <v>123</v>
      </c>
      <c r="O30">
        <f>G30*O27</f>
        <v>429.34334206209945</v>
      </c>
      <c r="P30" s="89" t="s">
        <v>20</v>
      </c>
    </row>
    <row r="31" spans="2:16" ht="16.5" thickBot="1" x14ac:dyDescent="0.35">
      <c r="B31" s="31" t="s">
        <v>37</v>
      </c>
      <c r="C31" s="82">
        <v>1.324338E-3</v>
      </c>
      <c r="D31" s="9"/>
      <c r="F31" s="30" t="s">
        <v>42</v>
      </c>
      <c r="G31" s="45">
        <f>SQRT((G21-C4)/(C4*(C19-1)*G30))</f>
        <v>1.362129359129056</v>
      </c>
      <c r="H31" s="53"/>
      <c r="J31" s="60" t="s">
        <v>75</v>
      </c>
      <c r="K31" s="54">
        <f>K28</f>
        <v>302.69256149340964</v>
      </c>
      <c r="L31" s="56" t="s">
        <v>20</v>
      </c>
      <c r="N31" s="89" t="s">
        <v>124</v>
      </c>
      <c r="O31">
        <f>C10*O27</f>
        <v>305.31082102193739</v>
      </c>
      <c r="P31" s="89" t="s">
        <v>20</v>
      </c>
    </row>
    <row r="32" spans="2:16" x14ac:dyDescent="0.3">
      <c r="B32" s="31" t="s">
        <v>39</v>
      </c>
      <c r="C32" s="82">
        <v>-4.6480799999999999E-7</v>
      </c>
      <c r="D32" s="9"/>
      <c r="J32" s="60" t="s">
        <v>76</v>
      </c>
      <c r="K32" s="17">
        <f>K27-K29</f>
        <v>425.66141460010732</v>
      </c>
      <c r="L32" s="56" t="s">
        <v>20</v>
      </c>
      <c r="N32" s="89" t="s">
        <v>125</v>
      </c>
      <c r="O32">
        <f>O31</f>
        <v>305.31082102193739</v>
      </c>
      <c r="P32" s="89" t="s">
        <v>20</v>
      </c>
    </row>
    <row r="33" spans="2:16" ht="15.75" customHeight="1" x14ac:dyDescent="0.3">
      <c r="B33" s="31" t="s">
        <v>40</v>
      </c>
      <c r="C33" s="82">
        <v>7.3263099999999994E-11</v>
      </c>
      <c r="D33" s="9"/>
      <c r="J33" s="62" t="s">
        <v>77</v>
      </c>
      <c r="K33" s="17">
        <f>SQRT(K31^2+K32^2)</f>
        <v>522.31257563149484</v>
      </c>
      <c r="L33" s="63" t="s">
        <v>20</v>
      </c>
      <c r="N33" s="89" t="s">
        <v>126</v>
      </c>
      <c r="O33">
        <f>ATAN((O27-O30)/O31)*(180/PI())</f>
        <v>8.8806591505202412</v>
      </c>
      <c r="P33" s="89" t="s">
        <v>11</v>
      </c>
    </row>
    <row r="34" spans="2:16" ht="15.75" customHeight="1" thickBot="1" x14ac:dyDescent="0.35">
      <c r="B34" s="33" t="s">
        <v>41</v>
      </c>
      <c r="C34" s="84">
        <v>-4.15928E-15</v>
      </c>
      <c r="D34" s="14"/>
      <c r="G34">
        <f>SQRT(G24*(G21-C4)/G30)/G29</f>
        <v>1.3739116380064464</v>
      </c>
      <c r="J34" s="64" t="s">
        <v>78</v>
      </c>
      <c r="K34" s="19">
        <f>ATAN(K32/K31)*180/PI()</f>
        <v>54.582944723532577</v>
      </c>
      <c r="L34" s="65" t="s">
        <v>11</v>
      </c>
      <c r="N34" s="89" t="s">
        <v>127</v>
      </c>
      <c r="O34" s="89">
        <f>ACOS(O32/O35)*180/PI()</f>
        <v>54.582944723532584</v>
      </c>
      <c r="P34" s="89" t="s">
        <v>11</v>
      </c>
    </row>
    <row r="35" spans="2:16" ht="15.75" customHeight="1" x14ac:dyDescent="0.2">
      <c r="N35" s="89" t="s">
        <v>128</v>
      </c>
      <c r="O35" cm="1">
        <f t="array" ref="O35">SQRT(O32^{2}+O30^{2})</f>
        <v>526.8305256969669</v>
      </c>
      <c r="P35" s="89" t="s">
        <v>20</v>
      </c>
    </row>
    <row r="36" spans="2:16" ht="15.75" customHeight="1" thickBot="1" x14ac:dyDescent="0.25">
      <c r="N36" s="89"/>
    </row>
    <row r="37" spans="2:16" ht="15.75" customHeight="1" thickBot="1" x14ac:dyDescent="0.25">
      <c r="J37" s="116" t="s">
        <v>137</v>
      </c>
      <c r="K37" s="117"/>
      <c r="L37" s="118"/>
    </row>
    <row r="38" spans="2:16" ht="15.75" customHeight="1" thickBot="1" x14ac:dyDescent="0.25">
      <c r="J38" s="112" t="s">
        <v>138</v>
      </c>
      <c r="K38" s="113">
        <f>K34</f>
        <v>54.582944723532577</v>
      </c>
      <c r="L38" s="114"/>
      <c r="N38" s="116" t="s">
        <v>163</v>
      </c>
      <c r="O38" s="117" t="s">
        <v>3</v>
      </c>
      <c r="P38" s="118"/>
    </row>
    <row r="39" spans="2:16" ht="15.75" customHeight="1" thickBot="1" x14ac:dyDescent="0.25">
      <c r="J39" s="115" t="s">
        <v>139</v>
      </c>
      <c r="K39" s="17">
        <f ca="1">ATAN(TAN(K34*PI()/180)*((2/(C19+1))*(1+O6^(2)*((C19-1)/2))^(1/(C19-1))))*180/PI()</f>
        <v>68.807743504674164</v>
      </c>
      <c r="L39" s="25" t="s">
        <v>11</v>
      </c>
      <c r="N39" s="139" t="s">
        <v>164</v>
      </c>
      <c r="O39" s="19">
        <f ca="1">C3/(O8*(O9)^2*K27)*1000^2*2</f>
        <v>5.6167268596887837E-2</v>
      </c>
      <c r="P39" s="27"/>
    </row>
    <row r="40" spans="2:16" ht="15.75" customHeight="1" x14ac:dyDescent="0.2">
      <c r="J40" s="115" t="s">
        <v>140</v>
      </c>
      <c r="K40" s="17">
        <f ca="1">(O9/2)*(SIN(K34*PI()/180)/SIN(K39*PI()/180))*O6*(((C19+1)/2)/(1+((C19-1)/2)*O6*O6))^(0.5)</f>
        <v>698.92139665425282</v>
      </c>
      <c r="L40" s="25" t="s">
        <v>8</v>
      </c>
    </row>
    <row r="41" spans="2:16" ht="15.75" customHeight="1" x14ac:dyDescent="0.2">
      <c r="J41" s="115" t="s">
        <v>141</v>
      </c>
      <c r="K41" s="17">
        <f>O9/2</f>
        <v>627.53201283396061</v>
      </c>
      <c r="L41" s="25" t="s">
        <v>8</v>
      </c>
    </row>
    <row r="42" spans="2:16" ht="15.75" customHeight="1" x14ac:dyDescent="0.2">
      <c r="J42" s="115" t="s">
        <v>143</v>
      </c>
      <c r="K42" s="17">
        <v>0.8</v>
      </c>
      <c r="L42" s="25"/>
    </row>
    <row r="43" spans="2:16" ht="15.75" customHeight="1" x14ac:dyDescent="0.2">
      <c r="J43" s="115" t="s">
        <v>142</v>
      </c>
      <c r="K43" s="17">
        <f>ATAN(TAN(K34*PI()/180)*((2/(C19+1))*(1+K42*K42*((C19-1)/2)))^(-(1/(C19-1))))*180/PI()</f>
        <v>58.650390907298927</v>
      </c>
      <c r="L43" s="25" t="s">
        <v>11</v>
      </c>
    </row>
    <row r="44" spans="2:16" ht="15.75" customHeight="1" x14ac:dyDescent="0.2">
      <c r="J44" s="115" t="s">
        <v>144</v>
      </c>
      <c r="K44" s="17">
        <f ca="1">((K40*SIN(K39*PI()/180))/(K42*SIN(K43*PI()/180)))*(((C19+1)/2)/(1+((C19-1)/2)*K42^2))^(-0.5)</f>
        <v>924.76102965396524</v>
      </c>
      <c r="L44" s="25" t="s">
        <v>8</v>
      </c>
      <c r="M44">
        <f ca="1">K44*2</f>
        <v>1849.5220593079305</v>
      </c>
    </row>
    <row r="45" spans="2:16" ht="15.75" customHeight="1" x14ac:dyDescent="0.2">
      <c r="J45" s="119" t="s">
        <v>145</v>
      </c>
      <c r="K45" s="17">
        <f>G21</f>
        <v>500.38281022814391</v>
      </c>
      <c r="L45" s="121" t="s">
        <v>6</v>
      </c>
    </row>
    <row r="46" spans="2:16" ht="15.75" customHeight="1" thickBot="1" x14ac:dyDescent="0.25">
      <c r="J46" s="120" t="s">
        <v>146</v>
      </c>
      <c r="K46" s="19">
        <f>K45/(((C19-1)/2)*K42*K42+1)</f>
        <v>443.6017821171489</v>
      </c>
      <c r="L46" s="122" t="s">
        <v>6</v>
      </c>
    </row>
  </sheetData>
  <conditionalFormatting sqref="O16">
    <cfRule type="cellIs" dxfId="2" priority="4" operator="lessThan">
      <formula>55</formula>
    </cfRule>
  </conditionalFormatting>
  <conditionalFormatting sqref="O18">
    <cfRule type="cellIs" dxfId="1" priority="1" operator="lessThan">
      <formula>"0.9"</formula>
    </cfRule>
  </conditionalFormatting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7"/>
  <sheetViews>
    <sheetView zoomScale="50" zoomScaleNormal="50" workbookViewId="0">
      <selection activeCell="B12" sqref="B12"/>
    </sheetView>
  </sheetViews>
  <sheetFormatPr defaultColWidth="14.42578125" defaultRowHeight="15.75" customHeight="1" x14ac:dyDescent="0.2"/>
  <cols>
    <col min="1" max="1" width="53" customWidth="1"/>
    <col min="2" max="3" width="26.42578125" customWidth="1"/>
  </cols>
  <sheetData>
    <row r="1" spans="1:7" ht="15.75" customHeight="1" thickBot="1" x14ac:dyDescent="0.25"/>
    <row r="2" spans="1:7" ht="15.75" customHeight="1" thickBot="1" x14ac:dyDescent="0.25">
      <c r="A2" s="125" t="s">
        <v>22</v>
      </c>
      <c r="B2" s="126" t="s">
        <v>3</v>
      </c>
      <c r="C2" s="127" t="s">
        <v>2</v>
      </c>
      <c r="E2" s="137" t="s">
        <v>157</v>
      </c>
    </row>
    <row r="3" spans="1:7" ht="15.75" customHeight="1" thickBot="1" x14ac:dyDescent="0.25">
      <c r="A3" s="128" t="s">
        <v>23</v>
      </c>
      <c r="B3" s="129" t="s">
        <v>24</v>
      </c>
      <c r="C3" s="130"/>
      <c r="E3" s="112" t="s">
        <v>149</v>
      </c>
      <c r="F3" s="113" t="s">
        <v>3</v>
      </c>
      <c r="G3" s="114" t="s">
        <v>155</v>
      </c>
    </row>
    <row r="4" spans="1:7" ht="15.75" customHeight="1" x14ac:dyDescent="0.2">
      <c r="A4" s="128" t="s">
        <v>25</v>
      </c>
      <c r="B4" s="131">
        <v>43500</v>
      </c>
      <c r="C4" s="132" t="s">
        <v>26</v>
      </c>
      <c r="E4" s="112" t="s">
        <v>150</v>
      </c>
      <c r="F4" s="138">
        <f>(B17+$B$11*B18+B19*$B$11^2+B20*$B$11^3+B21*$B$11^4)*B15</f>
        <v>1.0354290677283904</v>
      </c>
      <c r="G4" s="114" t="s">
        <v>154</v>
      </c>
    </row>
    <row r="5" spans="1:7" ht="15.75" customHeight="1" x14ac:dyDescent="0.2">
      <c r="A5" s="128" t="s">
        <v>27</v>
      </c>
      <c r="B5" s="133">
        <v>0.6</v>
      </c>
      <c r="C5" s="134" t="s">
        <v>28</v>
      </c>
      <c r="E5" s="115" t="s">
        <v>151</v>
      </c>
      <c r="F5" s="93">
        <f>(B17+B9*B18+B19*B9^2+B20*B9^3+B21*B9^4)*B15</f>
        <v>1.1474773144519999</v>
      </c>
      <c r="G5" s="25" t="s">
        <v>154</v>
      </c>
    </row>
    <row r="6" spans="1:7" ht="15.75" customHeight="1" x14ac:dyDescent="0.2">
      <c r="A6" s="128" t="s">
        <v>29</v>
      </c>
      <c r="B6" s="133">
        <v>31</v>
      </c>
      <c r="C6" s="132" t="s">
        <v>30</v>
      </c>
      <c r="E6" s="115" t="s">
        <v>148</v>
      </c>
      <c r="F6" s="93">
        <f>(F4+F5)/2</f>
        <v>1.0914531910901952</v>
      </c>
      <c r="G6" s="25" t="s">
        <v>154</v>
      </c>
    </row>
    <row r="7" spans="1:7" ht="15.75" customHeight="1" thickBot="1" x14ac:dyDescent="0.25">
      <c r="A7" s="135" t="s">
        <v>148</v>
      </c>
      <c r="B7" s="136">
        <f ca="1">(F6*F7+F12*F13)/(F7+F13)</f>
        <v>1.1149612895973575</v>
      </c>
      <c r="C7" s="130" t="s">
        <v>153</v>
      </c>
      <c r="E7" s="120" t="s">
        <v>160</v>
      </c>
      <c r="F7" s="86">
        <f>1000-B11</f>
        <v>499.61718977185609</v>
      </c>
      <c r="G7" s="122" t="s">
        <v>6</v>
      </c>
    </row>
    <row r="8" spans="1:7" ht="15.75" customHeight="1" thickBot="1" x14ac:dyDescent="0.25">
      <c r="A8" s="123" t="s">
        <v>147</v>
      </c>
      <c r="B8" s="85">
        <f ca="1">B14-1000</f>
        <v>255.50811522865502</v>
      </c>
      <c r="C8" s="25" t="s">
        <v>6</v>
      </c>
      <c r="E8" t="s">
        <v>159</v>
      </c>
    </row>
    <row r="9" spans="1:7" ht="15.75" customHeight="1" thickBot="1" x14ac:dyDescent="0.25">
      <c r="A9" s="124" t="s">
        <v>158</v>
      </c>
      <c r="B9" s="19">
        <v>1000</v>
      </c>
      <c r="C9" s="27" t="s">
        <v>6</v>
      </c>
      <c r="E9" s="112" t="s">
        <v>149</v>
      </c>
      <c r="F9" s="113" t="s">
        <v>3</v>
      </c>
      <c r="G9" s="114" t="s">
        <v>155</v>
      </c>
    </row>
    <row r="10" spans="1:7" ht="15.75" customHeight="1" x14ac:dyDescent="0.2">
      <c r="E10" s="112" t="s">
        <v>150</v>
      </c>
      <c r="F10" s="138">
        <f>(B23+B9*B24+B25*B9^2+B26*B9^3+B27*B9^4)*B15</f>
        <v>1.1414036132379999</v>
      </c>
      <c r="G10" s="114" t="s">
        <v>154</v>
      </c>
    </row>
    <row r="11" spans="1:7" ht="15.75" customHeight="1" x14ac:dyDescent="0.2">
      <c r="A11" s="90" t="s">
        <v>115</v>
      </c>
      <c r="B11" s="94">
        <f>Compresor!K45</f>
        <v>500.38281022814391</v>
      </c>
      <c r="C11" s="89" t="s">
        <v>6</v>
      </c>
      <c r="E11" s="115" t="s">
        <v>151</v>
      </c>
      <c r="F11" s="93">
        <f ca="1">(B23+(B8+B9)*B24+B25*(B8+B9)^2+B26*(B8+B9)^3+B27*(B8+B9)^4)*B15</f>
        <v>1.1804538158734601</v>
      </c>
      <c r="G11" s="25" t="s">
        <v>154</v>
      </c>
    </row>
    <row r="12" spans="1:7" ht="15.75" customHeight="1" x14ac:dyDescent="0.2">
      <c r="A12" s="89" t="s">
        <v>103</v>
      </c>
      <c r="B12">
        <f ca="1">B5*B4/(B6*B7)</f>
        <v>755.12530500051116</v>
      </c>
      <c r="C12" s="89" t="s">
        <v>6</v>
      </c>
      <c r="E12" s="115" t="s">
        <v>148</v>
      </c>
      <c r="F12" s="93">
        <f ca="1">(F10+F11)/2</f>
        <v>1.1609287145557299</v>
      </c>
      <c r="G12" s="25" t="s">
        <v>154</v>
      </c>
    </row>
    <row r="13" spans="1:7" ht="15.75" customHeight="1" thickBot="1" x14ac:dyDescent="0.25">
      <c r="E13" s="120" t="s">
        <v>160</v>
      </c>
      <c r="F13" s="19">
        <f ca="1">B8</f>
        <v>255.50811522865502</v>
      </c>
      <c r="G13" s="122" t="s">
        <v>6</v>
      </c>
    </row>
    <row r="14" spans="1:7" ht="15.75" customHeight="1" x14ac:dyDescent="0.2">
      <c r="A14" s="89" t="s">
        <v>156</v>
      </c>
      <c r="B14" s="94">
        <f ca="1">B11+B12</f>
        <v>1255.508115228655</v>
      </c>
      <c r="C14" s="89" t="s">
        <v>6</v>
      </c>
    </row>
    <row r="15" spans="1:7" ht="15.75" customHeight="1" thickBot="1" x14ac:dyDescent="0.25">
      <c r="A15" s="147" t="s">
        <v>31</v>
      </c>
      <c r="B15" s="99">
        <v>0.28699999999999998</v>
      </c>
      <c r="C15" s="99" t="s">
        <v>152</v>
      </c>
    </row>
    <row r="16" spans="1:7" ht="15.75" customHeight="1" x14ac:dyDescent="0.2">
      <c r="A16" s="148" t="s">
        <v>91</v>
      </c>
      <c r="B16" s="149"/>
      <c r="C16" s="150" t="s">
        <v>10</v>
      </c>
    </row>
    <row r="17" spans="1:3" ht="15.75" customHeight="1" x14ac:dyDescent="0.3">
      <c r="A17" s="151" t="s">
        <v>38</v>
      </c>
      <c r="B17" s="152">
        <v>3.5839057959999998</v>
      </c>
      <c r="C17" s="153"/>
    </row>
    <row r="18" spans="1:3" ht="15.75" customHeight="1" x14ac:dyDescent="0.3">
      <c r="A18" s="151" t="s">
        <v>37</v>
      </c>
      <c r="B18" s="152">
        <v>-7.5090699999999999E-4</v>
      </c>
      <c r="C18" s="153"/>
    </row>
    <row r="19" spans="1:3" ht="15.75" customHeight="1" x14ac:dyDescent="0.3">
      <c r="A19" s="151" t="s">
        <v>39</v>
      </c>
      <c r="B19" s="154">
        <v>1.8702600000000001E-6</v>
      </c>
      <c r="C19" s="153"/>
    </row>
    <row r="20" spans="1:3" ht="15.75" customHeight="1" x14ac:dyDescent="0.3">
      <c r="A20" s="151" t="s">
        <v>40</v>
      </c>
      <c r="B20" s="154">
        <v>-3.9102799999999998E-10</v>
      </c>
      <c r="C20" s="153"/>
    </row>
    <row r="21" spans="1:3" ht="15.75" customHeight="1" thickBot="1" x14ac:dyDescent="0.35">
      <c r="A21" s="151" t="s">
        <v>41</v>
      </c>
      <c r="B21" s="152">
        <v>-3.14052E-13</v>
      </c>
      <c r="C21" s="153"/>
    </row>
    <row r="22" spans="1:3" ht="15.75" customHeight="1" thickBot="1" x14ac:dyDescent="0.25">
      <c r="A22" s="155" t="s">
        <v>92</v>
      </c>
      <c r="B22" s="156"/>
      <c r="C22" s="157"/>
    </row>
    <row r="23" spans="1:3" ht="15.75" customHeight="1" x14ac:dyDescent="0.3">
      <c r="A23" s="151" t="s">
        <v>38</v>
      </c>
      <c r="B23" s="154">
        <v>3.0483822539999998</v>
      </c>
      <c r="C23" s="153"/>
    </row>
    <row r="24" spans="1:3" ht="15.75" customHeight="1" x14ac:dyDescent="0.3">
      <c r="A24" s="151" t="s">
        <v>37</v>
      </c>
      <c r="B24" s="154">
        <v>1.324338E-3</v>
      </c>
      <c r="C24" s="153"/>
    </row>
    <row r="25" spans="1:3" ht="15.75" customHeight="1" x14ac:dyDescent="0.3">
      <c r="A25" s="151" t="s">
        <v>39</v>
      </c>
      <c r="B25" s="154">
        <v>-4.6480799999999999E-7</v>
      </c>
      <c r="C25" s="153"/>
    </row>
    <row r="26" spans="1:3" ht="15.75" customHeight="1" x14ac:dyDescent="0.3">
      <c r="A26" s="151" t="s">
        <v>40</v>
      </c>
      <c r="B26" s="154">
        <v>7.3263099999999994E-11</v>
      </c>
      <c r="C26" s="153"/>
    </row>
    <row r="27" spans="1:3" ht="15.75" customHeight="1" thickBot="1" x14ac:dyDescent="0.35">
      <c r="A27" s="158" t="s">
        <v>41</v>
      </c>
      <c r="B27" s="159">
        <v>-4.15928E-15</v>
      </c>
      <c r="C27" s="16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58"/>
  <sheetViews>
    <sheetView zoomScale="70" zoomScaleNormal="70" workbookViewId="0">
      <selection activeCell="L44" sqref="L44"/>
    </sheetView>
  </sheetViews>
  <sheetFormatPr defaultColWidth="14.42578125" defaultRowHeight="15.75" customHeight="1" x14ac:dyDescent="0.2"/>
  <cols>
    <col min="1" max="1" width="29.28515625" bestFit="1" customWidth="1"/>
    <col min="2" max="2" width="12" bestFit="1" customWidth="1"/>
    <col min="5" max="5" width="18.85546875" bestFit="1" customWidth="1"/>
    <col min="6" max="6" width="13.140625" bestFit="1" customWidth="1"/>
    <col min="7" max="7" width="13.5703125" bestFit="1" customWidth="1"/>
    <col min="10" max="10" width="17" bestFit="1" customWidth="1"/>
    <col min="11" max="11" width="17.28515625" bestFit="1" customWidth="1"/>
    <col min="18" max="18" width="13.140625" bestFit="1" customWidth="1"/>
  </cols>
  <sheetData>
    <row r="1" spans="1:8" ht="15.75" customHeight="1" thickBot="1" x14ac:dyDescent="0.25">
      <c r="A1" s="161" t="s">
        <v>105</v>
      </c>
      <c r="B1" s="162" t="s">
        <v>112</v>
      </c>
      <c r="C1" s="163" t="s">
        <v>98</v>
      </c>
      <c r="E1" s="116" t="s">
        <v>129</v>
      </c>
      <c r="F1" s="117" t="s">
        <v>3</v>
      </c>
      <c r="G1" s="117" t="s">
        <v>162</v>
      </c>
      <c r="H1" s="118"/>
    </row>
    <row r="2" spans="1:8" ht="15.75" customHeight="1" x14ac:dyDescent="0.2">
      <c r="A2" s="91" t="s">
        <v>106</v>
      </c>
      <c r="B2" s="168">
        <f ca="1">Camara_Combustion!B14</f>
        <v>1255.508115228655</v>
      </c>
      <c r="C2" s="92" t="s">
        <v>6</v>
      </c>
      <c r="E2" s="115" t="s">
        <v>131</v>
      </c>
      <c r="F2" s="93">
        <f>(1-B25^B27)/(1-B25^(B27*(1/B8)))</f>
        <v>0.91595188222418045</v>
      </c>
      <c r="G2" s="17"/>
      <c r="H2" s="25"/>
    </row>
    <row r="3" spans="1:8" ht="15.75" customHeight="1" thickBot="1" x14ac:dyDescent="0.25">
      <c r="A3" s="60" t="s">
        <v>107</v>
      </c>
      <c r="B3" s="17">
        <f>101*4.5</f>
        <v>454.5</v>
      </c>
      <c r="C3" s="56" t="s">
        <v>7</v>
      </c>
      <c r="E3" s="139" t="s">
        <v>161</v>
      </c>
      <c r="F3" s="166">
        <f ca="1">(B2/F2)*(B25^(B28)-1)</f>
        <v>-427.14036007590556</v>
      </c>
      <c r="G3" s="19" t="s">
        <v>6</v>
      </c>
      <c r="H3" s="27"/>
    </row>
    <row r="4" spans="1:8" ht="15.75" customHeight="1" x14ac:dyDescent="0.2">
      <c r="A4" s="60" t="s">
        <v>104</v>
      </c>
      <c r="B4" s="93" cm="1">
        <f t="array" aca="1" ref="B4" ca="1">(B14+B15*B2+B16*B2^{2}+B17*B2^{3}+B18*B2^{4})*B5*1000</f>
        <v>1180.4538158734601</v>
      </c>
      <c r="C4" s="56" t="s">
        <v>113</v>
      </c>
    </row>
    <row r="5" spans="1:8" ht="15.75" customHeight="1" x14ac:dyDescent="0.2">
      <c r="A5" s="60" t="s">
        <v>31</v>
      </c>
      <c r="B5" s="17">
        <v>0.28699999999999998</v>
      </c>
      <c r="C5" s="56" t="s">
        <v>116</v>
      </c>
    </row>
    <row r="6" spans="1:8" ht="15.75" customHeight="1" thickBot="1" x14ac:dyDescent="0.25">
      <c r="A6" s="60" t="s">
        <v>108</v>
      </c>
      <c r="B6" s="17">
        <f ca="1">B3/B5/1000/1000*B2</f>
        <v>1.9882523985067031</v>
      </c>
      <c r="C6" s="56" t="s">
        <v>114</v>
      </c>
    </row>
    <row r="7" spans="1:8" ht="15.75" customHeight="1" thickBot="1" x14ac:dyDescent="0.25">
      <c r="A7" s="60" t="s">
        <v>109</v>
      </c>
      <c r="B7" s="17">
        <v>1.32</v>
      </c>
      <c r="C7" s="25"/>
      <c r="E7" s="116" t="s">
        <v>171</v>
      </c>
      <c r="F7" s="117" t="s">
        <v>1</v>
      </c>
      <c r="G7" s="117" t="s">
        <v>172</v>
      </c>
      <c r="H7" s="118" t="s">
        <v>173</v>
      </c>
    </row>
    <row r="8" spans="1:8" ht="15.75" customHeight="1" x14ac:dyDescent="0.2">
      <c r="A8" s="60" t="s">
        <v>110</v>
      </c>
      <c r="B8" s="17">
        <v>0.9</v>
      </c>
      <c r="C8" s="25"/>
      <c r="E8" s="115" t="s">
        <v>174</v>
      </c>
      <c r="F8" s="17">
        <v>2</v>
      </c>
      <c r="G8" s="17"/>
      <c r="H8" s="25" t="s">
        <v>175</v>
      </c>
    </row>
    <row r="9" spans="1:8" ht="15.75" customHeight="1" x14ac:dyDescent="0.2">
      <c r="A9" s="60" t="s">
        <v>111</v>
      </c>
      <c r="B9" s="17">
        <v>74.3</v>
      </c>
      <c r="C9" s="56" t="s">
        <v>11</v>
      </c>
      <c r="D9" t="s">
        <v>170</v>
      </c>
      <c r="E9" s="115" t="s">
        <v>164</v>
      </c>
      <c r="F9" s="17">
        <f>F8/TAN(B9*PI()/180)</f>
        <v>0.56217464620494617</v>
      </c>
      <c r="G9" s="17"/>
      <c r="H9" s="25"/>
    </row>
    <row r="10" spans="1:8" ht="15.75" customHeight="1" x14ac:dyDescent="0.2">
      <c r="A10" s="62" t="s">
        <v>4</v>
      </c>
      <c r="B10" s="17">
        <f>Compresor!C3</f>
        <v>30</v>
      </c>
      <c r="C10" s="63" t="s">
        <v>5</v>
      </c>
      <c r="E10" s="115" t="s">
        <v>178</v>
      </c>
      <c r="F10" s="17">
        <v>105</v>
      </c>
      <c r="G10" s="17" t="s">
        <v>11</v>
      </c>
      <c r="H10" s="25" t="s">
        <v>180</v>
      </c>
    </row>
    <row r="11" spans="1:8" ht="15" customHeight="1" x14ac:dyDescent="0.2">
      <c r="A11" s="62" t="s">
        <v>130</v>
      </c>
      <c r="B11" s="17">
        <v>0.25</v>
      </c>
      <c r="C11" s="25"/>
      <c r="E11" s="115" t="s">
        <v>179</v>
      </c>
      <c r="F11" s="17">
        <v>0.89500000000000002</v>
      </c>
      <c r="G11" s="17"/>
      <c r="H11" s="25" t="s">
        <v>180</v>
      </c>
    </row>
    <row r="12" spans="1:8" ht="15.75" customHeight="1" thickBot="1" x14ac:dyDescent="0.25">
      <c r="A12" s="64" t="s">
        <v>204</v>
      </c>
      <c r="B12" s="19">
        <f>Compresor!G16</f>
        <v>7197.0955883882807</v>
      </c>
      <c r="C12" s="87" t="s">
        <v>15</v>
      </c>
      <c r="E12" s="60" t="s">
        <v>181</v>
      </c>
      <c r="F12" s="17">
        <v>178.5</v>
      </c>
      <c r="G12" s="54" t="s">
        <v>20</v>
      </c>
      <c r="H12" s="25"/>
    </row>
    <row r="13" spans="1:8" ht="15.75" customHeight="1" thickBot="1" x14ac:dyDescent="0.25">
      <c r="A13" s="169" t="s">
        <v>92</v>
      </c>
      <c r="B13" s="166"/>
      <c r="C13" s="146"/>
      <c r="E13" s="61" t="s">
        <v>182</v>
      </c>
      <c r="F13" s="19">
        <f>F12/F9</f>
        <v>317.51698730099992</v>
      </c>
      <c r="G13" s="165" t="s">
        <v>20</v>
      </c>
      <c r="H13" s="87" t="s">
        <v>183</v>
      </c>
    </row>
    <row r="14" spans="1:8" ht="15.75" customHeight="1" x14ac:dyDescent="0.3">
      <c r="A14" s="31" t="s">
        <v>38</v>
      </c>
      <c r="B14" s="82">
        <v>3.0483822539999998</v>
      </c>
      <c r="C14" s="9"/>
    </row>
    <row r="15" spans="1:8" ht="15.75" customHeight="1" x14ac:dyDescent="0.3">
      <c r="A15" s="31" t="s">
        <v>37</v>
      </c>
      <c r="B15" s="82">
        <v>1.324338E-3</v>
      </c>
      <c r="C15" s="9"/>
    </row>
    <row r="16" spans="1:8" ht="15.75" customHeight="1" x14ac:dyDescent="0.3">
      <c r="A16" s="31" t="s">
        <v>39</v>
      </c>
      <c r="B16" s="82">
        <v>-4.6480799999999999E-7</v>
      </c>
      <c r="C16" s="9"/>
    </row>
    <row r="17" spans="1:21" ht="15.75" customHeight="1" x14ac:dyDescent="0.3">
      <c r="A17" s="31" t="s">
        <v>40</v>
      </c>
      <c r="B17" s="82">
        <v>7.3263099999999994E-11</v>
      </c>
      <c r="C17" s="9"/>
      <c r="E17" s="16"/>
      <c r="F17" s="171"/>
      <c r="G17" s="140"/>
    </row>
    <row r="18" spans="1:21" ht="15.75" customHeight="1" thickBot="1" x14ac:dyDescent="0.35">
      <c r="A18" s="31" t="s">
        <v>41</v>
      </c>
      <c r="B18" s="143">
        <v>-4.15928E-15</v>
      </c>
      <c r="C18" s="9"/>
      <c r="E18" s="141"/>
      <c r="F18" s="142"/>
      <c r="G18" s="140"/>
    </row>
    <row r="19" spans="1:21" ht="15.75" customHeight="1" x14ac:dyDescent="0.2">
      <c r="A19" s="23" t="s">
        <v>91</v>
      </c>
      <c r="B19" s="24"/>
      <c r="C19" s="43" t="s">
        <v>10</v>
      </c>
      <c r="E19" s="141"/>
      <c r="F19" s="142"/>
      <c r="G19" s="140"/>
    </row>
    <row r="20" spans="1:21" ht="15.75" customHeight="1" x14ac:dyDescent="0.3">
      <c r="A20" s="29" t="s">
        <v>38</v>
      </c>
      <c r="B20" s="143">
        <v>3.5839057959999998</v>
      </c>
      <c r="C20" s="144"/>
      <c r="E20" s="141"/>
      <c r="F20" s="142"/>
      <c r="G20" s="140"/>
    </row>
    <row r="21" spans="1:21" ht="15.75" customHeight="1" x14ac:dyDescent="0.3">
      <c r="A21" s="29" t="s">
        <v>37</v>
      </c>
      <c r="B21" s="143">
        <v>-7.5090699999999999E-4</v>
      </c>
      <c r="C21" s="144"/>
      <c r="E21" s="141"/>
      <c r="F21" s="142">
        <v>0</v>
      </c>
      <c r="G21" s="140"/>
    </row>
    <row r="22" spans="1:21" ht="15.75" customHeight="1" x14ac:dyDescent="0.3">
      <c r="A22" s="29" t="s">
        <v>39</v>
      </c>
      <c r="B22" s="142">
        <v>1.8702600000000001E-6</v>
      </c>
      <c r="C22" s="144"/>
      <c r="E22" s="141"/>
      <c r="F22" s="143"/>
      <c r="G22" s="140"/>
    </row>
    <row r="23" spans="1:21" ht="15.75" customHeight="1" x14ac:dyDescent="0.3">
      <c r="A23" s="29" t="s">
        <v>40</v>
      </c>
      <c r="B23" s="142">
        <v>-3.9102799999999998E-10</v>
      </c>
      <c r="C23" s="144"/>
    </row>
    <row r="24" spans="1:21" ht="15.75" customHeight="1" thickBot="1" x14ac:dyDescent="0.35">
      <c r="A24" s="30" t="s">
        <v>41</v>
      </c>
      <c r="B24" s="145">
        <v>-3.14052E-13</v>
      </c>
      <c r="C24" s="146"/>
    </row>
    <row r="25" spans="1:21" ht="15.75" customHeight="1" x14ac:dyDescent="0.2">
      <c r="A25" s="62" t="s">
        <v>130</v>
      </c>
      <c r="B25" s="96">
        <v>0.25</v>
      </c>
    </row>
    <row r="26" spans="1:21" ht="15.75" customHeight="1" x14ac:dyDescent="0.2">
      <c r="A26" s="95" t="s">
        <v>109</v>
      </c>
      <c r="B26" s="82">
        <v>1.32</v>
      </c>
    </row>
    <row r="27" spans="1:21" ht="15.75" customHeight="1" x14ac:dyDescent="0.2">
      <c r="A27" s="95" t="s">
        <v>132</v>
      </c>
      <c r="B27" s="97">
        <f>(B26-1)/B26</f>
        <v>0.24242424242424246</v>
      </c>
      <c r="I27" s="164"/>
    </row>
    <row r="28" spans="1:21" ht="15.75" customHeight="1" x14ac:dyDescent="0.2">
      <c r="A28" s="95" t="s">
        <v>133</v>
      </c>
      <c r="B28" s="97">
        <f>(B26-1)/(B26*B8)</f>
        <v>0.26936026936026936</v>
      </c>
    </row>
    <row r="29" spans="1:21" ht="15.75" customHeight="1" x14ac:dyDescent="0.2">
      <c r="A29" s="89" t="s">
        <v>197</v>
      </c>
      <c r="B29" s="97">
        <f>1/B28</f>
        <v>3.7124999999999999</v>
      </c>
    </row>
    <row r="30" spans="1:21" ht="15.75" customHeight="1" x14ac:dyDescent="0.2">
      <c r="B30" t="s">
        <v>165</v>
      </c>
      <c r="M30" s="89" t="s">
        <v>193</v>
      </c>
    </row>
    <row r="31" spans="1:21" ht="15.75" customHeight="1" x14ac:dyDescent="0.2">
      <c r="A31" t="s">
        <v>166</v>
      </c>
      <c r="B31" t="s">
        <v>167</v>
      </c>
      <c r="C31" t="s">
        <v>168</v>
      </c>
      <c r="D31" t="s">
        <v>176</v>
      </c>
      <c r="E31" t="s">
        <v>177</v>
      </c>
      <c r="F31" s="89" t="s">
        <v>184</v>
      </c>
      <c r="G31" s="89" t="s">
        <v>190</v>
      </c>
      <c r="H31" s="89" t="s">
        <v>191</v>
      </c>
      <c r="I31" s="89" t="s">
        <v>192</v>
      </c>
      <c r="J31" s="89" t="s">
        <v>189</v>
      </c>
      <c r="K31" s="89" t="s">
        <v>188</v>
      </c>
      <c r="L31" s="89" t="s">
        <v>187</v>
      </c>
      <c r="M31" s="89" t="s">
        <v>185</v>
      </c>
      <c r="N31" s="89" t="s">
        <v>186</v>
      </c>
      <c r="O31" s="89" t="s">
        <v>194</v>
      </c>
      <c r="P31" s="89" t="s">
        <v>196</v>
      </c>
      <c r="Q31" s="89" t="s">
        <v>195</v>
      </c>
      <c r="R31" s="89" t="s">
        <v>226</v>
      </c>
      <c r="S31" s="89" t="s">
        <v>227</v>
      </c>
      <c r="T31" s="89"/>
      <c r="U31" s="89"/>
    </row>
    <row r="32" spans="1:21" ht="15.75" customHeight="1" x14ac:dyDescent="0.2">
      <c r="A32">
        <v>1</v>
      </c>
      <c r="B32">
        <v>1</v>
      </c>
      <c r="C32">
        <f>$F$12/COS($B$9*PI()/180)</f>
        <v>659.64414565643892</v>
      </c>
      <c r="D32">
        <f>$F$12*TAN($B$9*PI()/180)</f>
        <v>635.03397460199972</v>
      </c>
      <c r="E32">
        <f>SQRT((C32*COS($B$9*PI()/180))^2+$F$13^2)</f>
        <v>364.25168115563082</v>
      </c>
      <c r="F32">
        <f>2*$F$13</f>
        <v>635.03397460199983</v>
      </c>
      <c r="G32" s="97">
        <f ca="1">$B$5*($B$14+$B$15*K32+$B$16*K32^2+$B$17*K32^3+$B$18*K32^4)*1000</f>
        <v>1180.4538158734601</v>
      </c>
      <c r="H32" s="167">
        <f ca="1">$B$5*($B$14+$B$15*N32+$B$16*N32^2+$B$17*N32^3+$B$18*N32^4)*1000</f>
        <v>1155.0960464952359</v>
      </c>
      <c r="I32" s="97">
        <f ca="1">(G32+H32)/2</f>
        <v>1167.7749311843481</v>
      </c>
      <c r="J32" s="97">
        <f ca="1">K32*(2*$F$13^2/(K32*I32))</f>
        <v>172.66518492986569</v>
      </c>
      <c r="K32" s="94">
        <f ca="1">B2</f>
        <v>1255.508115228655</v>
      </c>
      <c r="L32" s="97">
        <f ca="1">K32-($F$12^2/(2*G32))</f>
        <v>1242.0123521706043</v>
      </c>
      <c r="M32" s="97">
        <f ca="1">K32-(C32^2/(2*H32))</f>
        <v>1067.1556400301315</v>
      </c>
      <c r="N32" s="94">
        <f ca="1">K32-J32</f>
        <v>1082.8429302987893</v>
      </c>
      <c r="O32">
        <f>B3</f>
        <v>454.5</v>
      </c>
      <c r="P32" s="97">
        <f ca="1">(O32)/((K32/N32)^($B$29))</f>
        <v>262.41623149673711</v>
      </c>
      <c r="Q32" s="97">
        <f ca="1">P32/O32</f>
        <v>0.57737344663748535</v>
      </c>
      <c r="R32" s="97">
        <f ca="1">E32/SQRT($B$26*1000*$B$5*M32)</f>
        <v>0.5728748663044877</v>
      </c>
      <c r="S32" s="97">
        <f ca="1">D32/SQRT($B$26*1000*$B$5*M32)</f>
        <v>0.99874625738101219</v>
      </c>
    </row>
    <row r="33" spans="1:20" ht="15.75" customHeight="1" x14ac:dyDescent="0.2">
      <c r="A33">
        <v>1</v>
      </c>
      <c r="B33">
        <v>2</v>
      </c>
      <c r="C33">
        <f t="shared" ref="C33:C36" si="0">$F$12/COS($B$9*PI()/180)</f>
        <v>659.64414565643892</v>
      </c>
      <c r="D33">
        <f t="shared" ref="D33:D36" si="1">$F$12*TAN($B$9*PI()/180)</f>
        <v>635.03397460199972</v>
      </c>
      <c r="E33">
        <f t="shared" ref="E33:E36" si="2">SQRT((C33*COS($B$9*PI()/180))^2+$F$13^2)</f>
        <v>364.25168115563082</v>
      </c>
      <c r="F33">
        <f t="shared" ref="F33:F36" si="3">2*$F$13</f>
        <v>635.03397460199983</v>
      </c>
      <c r="G33" s="97">
        <f ca="1">$B$5*($B$14+$B$15*K33+$B$16*K33^2+$B$17*K33^3+$B$18*K33^4)*1000</f>
        <v>1155.0960464952359</v>
      </c>
      <c r="H33" s="167">
        <f ca="1">$B$5*($B$14+$B$15*N33+$B$16*N33^2+$B$17*N33^3+$B$18*N33^4)*1000</f>
        <v>1124.5656137125532</v>
      </c>
      <c r="I33" s="97">
        <f ca="1">(G33+H33)/2</f>
        <v>1139.8308301038946</v>
      </c>
      <c r="J33" s="97">
        <f ca="1">K33*(2*$F$13^2/(K33*I33))</f>
        <v>176.89824588358246</v>
      </c>
      <c r="K33" s="94">
        <f ca="1">N32</f>
        <v>1082.8429302987893</v>
      </c>
      <c r="L33" s="97">
        <f ca="1">K33-($F$12^2/(2*G33))</f>
        <v>1069.0508953867679</v>
      </c>
      <c r="M33" s="97">
        <f ca="1">K33-(C33^2/(2*H33))</f>
        <v>889.3769405899684</v>
      </c>
      <c r="N33" s="94">
        <f ca="1">K33-J33</f>
        <v>905.94468441520678</v>
      </c>
      <c r="O33" s="97">
        <f ca="1">P32</f>
        <v>262.41623149673711</v>
      </c>
      <c r="P33" s="97">
        <f ca="1">(O33)/((K33/N33)^($B$29))</f>
        <v>135.33383699836997</v>
      </c>
      <c r="Q33" s="97">
        <f ca="1">P33/O33</f>
        <v>0.51572205052435072</v>
      </c>
      <c r="R33" s="97">
        <f t="shared" ref="R33:R36" ca="1" si="4">E33/SQRT($B$26*1000*$B$5*M33)</f>
        <v>0.62752454630053045</v>
      </c>
      <c r="S33" s="97">
        <f t="shared" ref="S33:S36" ca="1" si="5">D33/SQRT($B$26*1000*$B$5*M33)</f>
        <v>1.0940221484586061</v>
      </c>
    </row>
    <row r="34" spans="1:20" ht="15.75" customHeight="1" x14ac:dyDescent="0.2">
      <c r="A34">
        <v>1</v>
      </c>
      <c r="B34">
        <v>3</v>
      </c>
      <c r="C34">
        <f t="shared" si="0"/>
        <v>659.64414565643892</v>
      </c>
      <c r="D34">
        <f t="shared" si="1"/>
        <v>635.03397460199972</v>
      </c>
      <c r="E34">
        <f t="shared" si="2"/>
        <v>364.25168115563082</v>
      </c>
      <c r="F34">
        <f t="shared" si="3"/>
        <v>635.03397460199983</v>
      </c>
      <c r="G34" s="97">
        <f ca="1">$B$5*($B$14+$B$15*K34+$B$16*K34^2+$B$17*K34^3+$B$18*K34^4)*1000</f>
        <v>1124.5656137125532</v>
      </c>
      <c r="H34" s="167">
        <f ca="1">$B$5*($B$14+$B$15*N34+$B$16*N34^2+$B$17*N34^3+$B$18*N34^4)*1000</f>
        <v>1087.7194413212292</v>
      </c>
      <c r="I34" s="97">
        <f ca="1">(G34+H34)/2</f>
        <v>1106.1425275168913</v>
      </c>
      <c r="J34" s="97">
        <f ca="1">K34*(2*$F$13^2/(K34*I34))</f>
        <v>182.28579901185259</v>
      </c>
      <c r="K34" s="94">
        <f ca="1">N33</f>
        <v>905.94468441520678</v>
      </c>
      <c r="L34" s="97">
        <f ca="1">K34-($F$12^2/(2*G34))</f>
        <v>891.7782144416085</v>
      </c>
      <c r="M34" s="97">
        <f ca="1">K34-(C34^2/(2*H34))</f>
        <v>705.92509187658766</v>
      </c>
      <c r="N34" s="94">
        <f ca="1">K34-J34</f>
        <v>723.65888540335413</v>
      </c>
      <c r="O34" s="97">
        <f ca="1">P33</f>
        <v>135.33383699836997</v>
      </c>
      <c r="P34" s="97">
        <f ca="1">(O34)/((K34/N34)^($B$29))</f>
        <v>58.77410218999163</v>
      </c>
      <c r="Q34" s="97">
        <f ca="1">P34/O34</f>
        <v>0.43428977921241924</v>
      </c>
      <c r="R34" s="97">
        <f t="shared" ca="1" si="4"/>
        <v>0.70435944307099985</v>
      </c>
      <c r="S34" s="97">
        <f t="shared" ca="1" si="5"/>
        <v>1.2279755999004356</v>
      </c>
    </row>
    <row r="35" spans="1:20" ht="15.75" customHeight="1" x14ac:dyDescent="0.2">
      <c r="A35">
        <v>1</v>
      </c>
      <c r="B35">
        <v>4</v>
      </c>
      <c r="C35">
        <f t="shared" si="0"/>
        <v>659.64414565643892</v>
      </c>
      <c r="D35">
        <f t="shared" si="1"/>
        <v>635.03397460199972</v>
      </c>
      <c r="E35">
        <f t="shared" si="2"/>
        <v>364.25168115563082</v>
      </c>
      <c r="F35">
        <f t="shared" si="3"/>
        <v>635.03397460199983</v>
      </c>
      <c r="G35" s="97">
        <f ca="1">$B$5*($B$20+$B$21*K35+$B$22*K35^2+$B$23*K35^3+$B$24*K35^4)*1000</f>
        <v>1086.4711401857676</v>
      </c>
      <c r="H35" s="167">
        <f ca="1">$B$5*($B$20+$B$21*N35+$B$22*N35^2+$B$23*N35^3+$B$24*N35^4)*1000</f>
        <v>1042.1859640362998</v>
      </c>
      <c r="I35" s="97">
        <f ca="1">(G35+H35)/2</f>
        <v>1064.3285521110338</v>
      </c>
      <c r="J35" s="97">
        <f ca="1">K35*(2*$F$13^2/(K35*I35))</f>
        <v>189.44720974503335</v>
      </c>
      <c r="K35" s="94">
        <f ca="1">N34</f>
        <v>723.65888540335413</v>
      </c>
      <c r="L35" s="97">
        <f ca="1">K35-($F$12^2/(2*G35))</f>
        <v>708.99570254395849</v>
      </c>
      <c r="M35" s="97">
        <f ca="1">K35-(C35^2/(2*H35))</f>
        <v>514.9003653722508</v>
      </c>
      <c r="N35" s="94">
        <f ca="1">K35-J35</f>
        <v>534.21167565832081</v>
      </c>
      <c r="O35" s="97">
        <f ca="1">P34</f>
        <v>58.77410218999163</v>
      </c>
      <c r="P35" s="97">
        <f ca="1">(O35)/((K35/N35)^($B$29))</f>
        <v>19.045935582359434</v>
      </c>
      <c r="Q35" s="97">
        <f ca="1">P35/O35</f>
        <v>0.32405319473519201</v>
      </c>
      <c r="R35" s="97">
        <f t="shared" ca="1" si="4"/>
        <v>0.82473049062394688</v>
      </c>
      <c r="S35" s="97">
        <f t="shared" ca="1" si="5"/>
        <v>1.4378296890072872</v>
      </c>
      <c r="T35" s="97"/>
    </row>
    <row r="36" spans="1:20" ht="15.75" customHeight="1" x14ac:dyDescent="0.2">
      <c r="A36">
        <v>0</v>
      </c>
      <c r="B36">
        <v>5</v>
      </c>
      <c r="C36">
        <f t="shared" si="0"/>
        <v>659.64414565643892</v>
      </c>
      <c r="D36">
        <f t="shared" si="1"/>
        <v>635.03397460199972</v>
      </c>
      <c r="E36">
        <f t="shared" si="2"/>
        <v>364.25168115563082</v>
      </c>
      <c r="F36">
        <f t="shared" si="3"/>
        <v>635.03397460199983</v>
      </c>
      <c r="G36" s="97">
        <f ca="1">$B$5*($B$20+$B$21*K36+$B$22*K36^2+$B$23*K36^3+$B$24*K36^4)*1000</f>
        <v>1042.1859640362998</v>
      </c>
      <c r="H36" s="167">
        <f ca="1">$B$5*($B$20+$B$21*N36+$B$22*N36^2+$B$23*N36^3+$B$24*N36^4)*1000</f>
        <v>1011.5366803436066</v>
      </c>
      <c r="I36" s="97">
        <f ca="1">(G36+H36)/2</f>
        <v>1026.8613221899532</v>
      </c>
      <c r="J36" s="97">
        <f ca="1">K36*(2*$F$13^2/(K36*I36))</f>
        <v>196.35959607416933</v>
      </c>
      <c r="K36" s="94">
        <f ca="1">N35</f>
        <v>534.21167565832081</v>
      </c>
      <c r="L36" s="97">
        <f ca="1">K36-($F$12^2/(2*G36))</f>
        <v>518.92541624805199</v>
      </c>
      <c r="M36" s="97">
        <f ca="1">K36-(C36^2/(2*H36))</f>
        <v>319.12782978581879</v>
      </c>
      <c r="N36" s="94">
        <f ca="1">K36-J36</f>
        <v>337.85207958415151</v>
      </c>
      <c r="O36" s="97">
        <f ca="1">P35</f>
        <v>19.045935582359434</v>
      </c>
      <c r="P36" s="97">
        <f ca="1">(O36)/((K36/N36)^($B$29))</f>
        <v>3.4758729471523542</v>
      </c>
      <c r="Q36" s="97">
        <f ca="1">P36/O36</f>
        <v>0.18249945937923617</v>
      </c>
      <c r="R36" s="97">
        <f t="shared" ca="1" si="4"/>
        <v>1.0475899212973558</v>
      </c>
      <c r="S36" s="97">
        <f t="shared" ca="1" si="5"/>
        <v>1.8263613481861125</v>
      </c>
    </row>
    <row r="37" spans="1:20" ht="15.75" customHeight="1" x14ac:dyDescent="0.2">
      <c r="G37" s="97"/>
      <c r="H37" s="167"/>
      <c r="I37" s="97"/>
      <c r="J37" s="97"/>
      <c r="K37" s="94"/>
      <c r="L37" s="97"/>
      <c r="M37" s="97"/>
      <c r="N37" s="94"/>
      <c r="O37" s="97"/>
      <c r="P37" s="97"/>
      <c r="Q37" s="97"/>
      <c r="R37" s="97"/>
    </row>
    <row r="38" spans="1:20" ht="15.75" customHeight="1" x14ac:dyDescent="0.2">
      <c r="Q38" s="97">
        <f ca="1">Q32*Q34</f>
        <v>0.25074738666330704</v>
      </c>
    </row>
    <row r="39" spans="1:20" ht="15.75" customHeight="1" x14ac:dyDescent="0.2">
      <c r="B39" t="s">
        <v>169</v>
      </c>
    </row>
    <row r="40" spans="1:20" ht="15.75" customHeight="1" x14ac:dyDescent="0.2">
      <c r="A40" t="s">
        <v>166</v>
      </c>
      <c r="B40" t="s">
        <v>167</v>
      </c>
      <c r="C40" s="89" t="s">
        <v>200</v>
      </c>
      <c r="D40" s="89" t="s">
        <v>199</v>
      </c>
      <c r="E40" t="s">
        <v>198</v>
      </c>
      <c r="F40" s="89" t="s">
        <v>201</v>
      </c>
      <c r="G40" s="89" t="s">
        <v>205</v>
      </c>
      <c r="H40" s="89" t="s">
        <v>202</v>
      </c>
      <c r="I40" s="89" t="s">
        <v>203</v>
      </c>
      <c r="J40" s="89" t="s">
        <v>206</v>
      </c>
      <c r="P40" s="97"/>
    </row>
    <row r="41" spans="1:20" ht="15.75" customHeight="1" x14ac:dyDescent="0.2">
      <c r="A41">
        <f>A32</f>
        <v>1</v>
      </c>
      <c r="B41">
        <f>B32</f>
        <v>1</v>
      </c>
      <c r="C41">
        <f>O32</f>
        <v>454.5</v>
      </c>
      <c r="D41" s="97">
        <f ca="1">C41/(1+(($B$26-1)/2)*R32^2)^($B$26/($B$26-1))</f>
        <v>368.00286479959914</v>
      </c>
      <c r="E41" s="97">
        <f ca="1">D41/($B$5*M32)</f>
        <v>1.2015491451656728</v>
      </c>
      <c r="F41" s="97">
        <f ca="1">$B$10/(E41*$F$12)*(1000^2)</f>
        <v>139875.44959518299</v>
      </c>
      <c r="G41">
        <f>F$13/((B$12*2*PI())/60)*1000</f>
        <v>421.28992806041674</v>
      </c>
      <c r="H41">
        <f ca="1">SQRT(G41^2+(F41/(2*PI())))</f>
        <v>446.93072472747468</v>
      </c>
      <c r="I41">
        <f ca="1">SQRT(G41^2-(F41/(2*PI())))</f>
        <v>393.98392640420815</v>
      </c>
      <c r="J41">
        <f ca="1">I41/H41</f>
        <v>0.8815324268530611</v>
      </c>
      <c r="O41" s="170"/>
    </row>
    <row r="42" spans="1:20" ht="15.75" customHeight="1" x14ac:dyDescent="0.2">
      <c r="A42">
        <f t="shared" ref="A42:B45" si="6">A33</f>
        <v>1</v>
      </c>
      <c r="B42">
        <f t="shared" si="6"/>
        <v>2</v>
      </c>
      <c r="C42">
        <f t="shared" ref="C42:C45" ca="1" si="7">O33</f>
        <v>262.41623149673711</v>
      </c>
      <c r="D42" s="97">
        <f t="shared" ref="D42:D45" ca="1" si="8">C42/(1+(($B$26-1)/2)*R33^2)^($B$26/($B$26-1))</f>
        <v>203.95341717374504</v>
      </c>
      <c r="E42" s="97">
        <f t="shared" ref="E42:E45" ca="1" si="9">D42/($B$5*M33)</f>
        <v>0.79903025567277952</v>
      </c>
      <c r="F42" s="97">
        <f t="shared" ref="F42:F45" ca="1" si="10">$B$10/(E42*$F$12)*(1000^2)</f>
        <v>210339.00243144677</v>
      </c>
      <c r="G42">
        <f t="shared" ref="G42:G45" si="11">F$13/((B$12*2*PI())/60)*1000</f>
        <v>421.28992806041674</v>
      </c>
      <c r="H42">
        <f t="shared" ref="H42:H45" ca="1" si="12">SQRT(G42^2+(F42/(2*PI())))</f>
        <v>459.30566668302066</v>
      </c>
      <c r="I42">
        <f t="shared" ref="I42:I45" ca="1" si="13">SQRT(G42^2-(F42/(2*PI())))</f>
        <v>379.48479748623419</v>
      </c>
      <c r="J42">
        <f t="shared" ref="J42:J45" ca="1" si="14">I42/H42</f>
        <v>0.82621405528646996</v>
      </c>
    </row>
    <row r="43" spans="1:20" ht="15.75" customHeight="1" x14ac:dyDescent="0.2">
      <c r="A43">
        <f t="shared" si="6"/>
        <v>1</v>
      </c>
      <c r="B43">
        <f t="shared" si="6"/>
        <v>3</v>
      </c>
      <c r="C43">
        <f t="shared" ca="1" si="7"/>
        <v>135.33383699836997</v>
      </c>
      <c r="D43" s="97">
        <f t="shared" ca="1" si="8"/>
        <v>98.755858659590032</v>
      </c>
      <c r="E43" s="97">
        <f t="shared" ca="1" si="9"/>
        <v>0.48744133401688178</v>
      </c>
      <c r="F43" s="97">
        <f t="shared" ca="1" si="10"/>
        <v>344794.77869830292</v>
      </c>
      <c r="G43">
        <f t="shared" si="11"/>
        <v>421.28992806041674</v>
      </c>
      <c r="H43">
        <f t="shared" ca="1" si="12"/>
        <v>482.03837696521856</v>
      </c>
      <c r="I43">
        <f t="shared" ca="1" si="13"/>
        <v>350.15626526315373</v>
      </c>
      <c r="J43">
        <f t="shared" ca="1" si="14"/>
        <v>0.72640744387955491</v>
      </c>
    </row>
    <row r="44" spans="1:20" ht="15.75" customHeight="1" x14ac:dyDescent="0.2">
      <c r="A44">
        <f t="shared" si="6"/>
        <v>1</v>
      </c>
      <c r="B44">
        <f t="shared" si="6"/>
        <v>4</v>
      </c>
      <c r="C44">
        <f t="shared" ca="1" si="7"/>
        <v>58.77410218999163</v>
      </c>
      <c r="D44" s="97">
        <f t="shared" ca="1" si="8"/>
        <v>38.381315225421432</v>
      </c>
      <c r="E44" s="97">
        <f t="shared" ca="1" si="9"/>
        <v>0.2597255986928777</v>
      </c>
      <c r="F44" s="97">
        <f t="shared" ca="1" si="10"/>
        <v>647095.34884735686</v>
      </c>
      <c r="G44">
        <f t="shared" si="11"/>
        <v>421.28992806041674</v>
      </c>
      <c r="H44">
        <f t="shared" ca="1" si="12"/>
        <v>529.59760847834502</v>
      </c>
      <c r="I44">
        <f t="shared" ca="1" si="13"/>
        <v>272.94098274960447</v>
      </c>
      <c r="J44">
        <f t="shared" ca="1" si="14"/>
        <v>0.51537427356182042</v>
      </c>
    </row>
    <row r="45" spans="1:20" ht="15.75" customHeight="1" x14ac:dyDescent="0.2">
      <c r="A45">
        <v>1</v>
      </c>
      <c r="B45">
        <f t="shared" si="6"/>
        <v>5</v>
      </c>
      <c r="C45">
        <f t="shared" ca="1" si="7"/>
        <v>19.045935582359434</v>
      </c>
      <c r="D45" s="97">
        <f t="shared" ca="1" si="8"/>
        <v>9.7722608595830103</v>
      </c>
      <c r="E45" s="97">
        <f t="shared" ca="1" si="9"/>
        <v>0.10669608297422659</v>
      </c>
      <c r="F45" s="97">
        <f t="shared" ca="1" si="10"/>
        <v>1575195.8479239999</v>
      </c>
      <c r="G45">
        <f t="shared" si="11"/>
        <v>421.28992806041674</v>
      </c>
      <c r="H45">
        <f t="shared" ca="1" si="12"/>
        <v>654.35877698712432</v>
      </c>
      <c r="I45" t="e">
        <f t="shared" ca="1" si="13"/>
        <v>#NUM!</v>
      </c>
      <c r="J45" t="e">
        <f t="shared" ca="1" si="14"/>
        <v>#NUM!</v>
      </c>
    </row>
    <row r="48" spans="1:20" ht="15.75" customHeight="1" x14ac:dyDescent="0.2">
      <c r="B48" s="89" t="s">
        <v>207</v>
      </c>
    </row>
    <row r="49" spans="1:20" ht="15.75" customHeight="1" x14ac:dyDescent="0.2">
      <c r="A49" s="89" t="s">
        <v>167</v>
      </c>
      <c r="B49" s="89" t="s">
        <v>213</v>
      </c>
      <c r="C49" s="89" t="s">
        <v>212</v>
      </c>
      <c r="D49" s="89" t="s">
        <v>208</v>
      </c>
      <c r="E49" s="89" t="s">
        <v>209</v>
      </c>
      <c r="F49" s="89" t="s">
        <v>210</v>
      </c>
      <c r="G49" s="89" t="s">
        <v>211</v>
      </c>
      <c r="H49" s="89" t="s">
        <v>214</v>
      </c>
      <c r="I49" s="89" t="s">
        <v>215</v>
      </c>
      <c r="J49" s="89" t="s">
        <v>216</v>
      </c>
      <c r="K49" s="89" t="s">
        <v>217</v>
      </c>
      <c r="L49" s="89" t="s">
        <v>218</v>
      </c>
      <c r="M49" s="89" t="s">
        <v>219</v>
      </c>
      <c r="N49" s="89" t="s">
        <v>223</v>
      </c>
      <c r="O49" s="89" t="s">
        <v>224</v>
      </c>
      <c r="P49" s="89" t="s">
        <v>225</v>
      </c>
      <c r="R49" s="89" t="s">
        <v>228</v>
      </c>
    </row>
    <row r="50" spans="1:20" ht="15.75" customHeight="1" x14ac:dyDescent="0.2">
      <c r="A50">
        <v>1</v>
      </c>
      <c r="B50">
        <v>0</v>
      </c>
      <c r="C50">
        <f>$B$9</f>
        <v>74.3</v>
      </c>
      <c r="D50">
        <f>B50+C50</f>
        <v>74.3</v>
      </c>
      <c r="E50">
        <f>F50</f>
        <v>60.656409251467593</v>
      </c>
      <c r="F50">
        <f>ATAN($F$13/$F$12)*180/PI()</f>
        <v>60.656409251467593</v>
      </c>
      <c r="G50">
        <f>E50+F50</f>
        <v>121.31281850293519</v>
      </c>
      <c r="H50">
        <v>1</v>
      </c>
      <c r="I50">
        <f>0.04+0.06*(G50/100)</f>
        <v>0.1127876911017611</v>
      </c>
      <c r="J50">
        <f>0.04+0.06*(D50/100)</f>
        <v>8.4579999999999989E-2</v>
      </c>
      <c r="K50">
        <f>(1+I50)*(0.975+0.075*H50)-1</f>
        <v>0.16842707565684933</v>
      </c>
      <c r="L50">
        <f>(1+J50)*(0.973+0.021*H50)-1</f>
        <v>7.8072519999999868E-2</v>
      </c>
      <c r="M50" s="172">
        <f>10^5</f>
        <v>100000</v>
      </c>
      <c r="O50" s="172">
        <f>10^5</f>
        <v>100000</v>
      </c>
      <c r="R50" s="97">
        <f ca="1">(I32*J32)/((I32*J32)+(0.5*F32^2*K50)+(0.5*L50*C32^2))*100</f>
        <v>79.829604541991088</v>
      </c>
    </row>
    <row r="51" spans="1:20" ht="15.75" customHeight="1" x14ac:dyDescent="0.2">
      <c r="A51">
        <v>2</v>
      </c>
      <c r="B51">
        <v>0</v>
      </c>
      <c r="C51">
        <f t="shared" ref="C51:C54" si="15">$B$9</f>
        <v>74.3</v>
      </c>
      <c r="D51">
        <f t="shared" ref="D51:D53" si="16">B51+C51</f>
        <v>74.3</v>
      </c>
      <c r="E51">
        <f t="shared" ref="E51:E54" si="17">F51</f>
        <v>60.656409251467593</v>
      </c>
      <c r="F51">
        <f t="shared" ref="F51:F54" si="18">ATAN($F$13/$F$12)*180/PI()</f>
        <v>60.656409251467593</v>
      </c>
      <c r="G51">
        <f t="shared" ref="G51:G53" si="19">E51+F51</f>
        <v>121.31281850293519</v>
      </c>
      <c r="H51">
        <v>1</v>
      </c>
      <c r="I51">
        <f t="shared" ref="I51:I54" si="20">0.04+0.06*(G51/100)</f>
        <v>0.1127876911017611</v>
      </c>
      <c r="J51">
        <f t="shared" ref="J51:J54" si="21">0.04+0.06*(D51/100)</f>
        <v>8.4579999999999989E-2</v>
      </c>
      <c r="K51">
        <f t="shared" ref="K51:K54" si="22">(1+I51)*(0.975+0.075*H51)-1</f>
        <v>0.16842707565684933</v>
      </c>
      <c r="L51">
        <f t="shared" ref="L51:L54" si="23">(1+J51)*(0.973+0.021*H51)-1</f>
        <v>7.8072519999999868E-2</v>
      </c>
      <c r="M51" s="172">
        <f t="shared" ref="M51:M54" si="24">10^5</f>
        <v>100000</v>
      </c>
      <c r="O51" s="172">
        <f t="shared" ref="O51:O53" si="25">10^5</f>
        <v>100000</v>
      </c>
      <c r="R51" s="97"/>
    </row>
    <row r="52" spans="1:20" ht="15.75" customHeight="1" x14ac:dyDescent="0.2">
      <c r="A52">
        <v>3</v>
      </c>
      <c r="B52">
        <v>0</v>
      </c>
      <c r="C52">
        <f t="shared" si="15"/>
        <v>74.3</v>
      </c>
      <c r="D52">
        <f t="shared" si="16"/>
        <v>74.3</v>
      </c>
      <c r="E52">
        <f t="shared" si="17"/>
        <v>60.656409251467593</v>
      </c>
      <c r="F52">
        <f t="shared" si="18"/>
        <v>60.656409251467593</v>
      </c>
      <c r="G52">
        <f t="shared" si="19"/>
        <v>121.31281850293519</v>
      </c>
      <c r="H52">
        <v>1</v>
      </c>
      <c r="I52">
        <f t="shared" si="20"/>
        <v>0.1127876911017611</v>
      </c>
      <c r="J52">
        <f t="shared" si="21"/>
        <v>8.4579999999999989E-2</v>
      </c>
      <c r="K52">
        <f t="shared" si="22"/>
        <v>0.16842707565684933</v>
      </c>
      <c r="L52">
        <f t="shared" si="23"/>
        <v>7.8072519999999868E-2</v>
      </c>
      <c r="M52" s="172">
        <f t="shared" si="24"/>
        <v>100000</v>
      </c>
      <c r="O52" s="172">
        <f t="shared" si="25"/>
        <v>100000</v>
      </c>
    </row>
    <row r="53" spans="1:20" ht="15.75" customHeight="1" x14ac:dyDescent="0.2">
      <c r="A53">
        <v>4</v>
      </c>
      <c r="B53">
        <v>0</v>
      </c>
      <c r="C53">
        <f t="shared" si="15"/>
        <v>74.3</v>
      </c>
      <c r="D53">
        <f t="shared" si="16"/>
        <v>74.3</v>
      </c>
      <c r="E53">
        <f t="shared" si="17"/>
        <v>60.656409251467593</v>
      </c>
      <c r="F53">
        <f t="shared" si="18"/>
        <v>60.656409251467593</v>
      </c>
      <c r="G53">
        <f t="shared" si="19"/>
        <v>121.31281850293519</v>
      </c>
      <c r="H53">
        <v>1</v>
      </c>
      <c r="I53">
        <f t="shared" si="20"/>
        <v>0.1127876911017611</v>
      </c>
      <c r="J53">
        <f t="shared" si="21"/>
        <v>8.4579999999999989E-2</v>
      </c>
      <c r="K53">
        <f t="shared" si="22"/>
        <v>0.16842707565684933</v>
      </c>
      <c r="L53">
        <f t="shared" si="23"/>
        <v>7.8072519999999868E-2</v>
      </c>
      <c r="M53" s="172">
        <f t="shared" si="24"/>
        <v>100000</v>
      </c>
      <c r="O53" s="172">
        <f t="shared" si="25"/>
        <v>100000</v>
      </c>
      <c r="R53" s="89" t="s">
        <v>229</v>
      </c>
    </row>
    <row r="54" spans="1:20" ht="15.75" customHeight="1" x14ac:dyDescent="0.2">
      <c r="A54">
        <v>5</v>
      </c>
      <c r="B54">
        <v>0</v>
      </c>
      <c r="C54">
        <f t="shared" si="15"/>
        <v>74.3</v>
      </c>
      <c r="D54">
        <f t="shared" ref="D54" si="26">B54+C54</f>
        <v>74.3</v>
      </c>
      <c r="E54">
        <f t="shared" si="17"/>
        <v>60.656409251467593</v>
      </c>
      <c r="F54">
        <f t="shared" si="18"/>
        <v>60.656409251467593</v>
      </c>
      <c r="G54">
        <f t="shared" ref="G54" si="27">E54+F54</f>
        <v>121.31281850293519</v>
      </c>
      <c r="H54">
        <v>1</v>
      </c>
      <c r="I54">
        <f t="shared" si="20"/>
        <v>0.1127876911017611</v>
      </c>
      <c r="J54">
        <f t="shared" si="21"/>
        <v>8.4579999999999989E-2</v>
      </c>
      <c r="K54">
        <f t="shared" si="22"/>
        <v>0.16842707565684933</v>
      </c>
      <c r="L54">
        <f t="shared" si="23"/>
        <v>7.8072519999999868E-2</v>
      </c>
      <c r="M54" s="172">
        <f t="shared" si="24"/>
        <v>100000</v>
      </c>
      <c r="O54" s="172">
        <f>10^5</f>
        <v>100000</v>
      </c>
      <c r="R54" s="97">
        <f ca="1">B10*R50*(I32*J32+I33*J33)</f>
        <v>965782105.52919126</v>
      </c>
      <c r="S54" s="89" t="s">
        <v>230</v>
      </c>
      <c r="T54" s="97" cm="1">
        <f t="array" aca="1" ref="T54" ca="1">R54/10^{5}</f>
        <v>9657.8210552919118</v>
      </c>
    </row>
    <row r="56" spans="1:20" ht="15.75" customHeight="1" x14ac:dyDescent="0.2">
      <c r="B56" s="89" t="s">
        <v>222</v>
      </c>
      <c r="C56" s="89" t="s">
        <v>3</v>
      </c>
      <c r="D56" s="89" t="s">
        <v>155</v>
      </c>
      <c r="R56" s="97">
        <f ca="1">T54-Compresor!G26</f>
        <v>3513.2975428568143</v>
      </c>
    </row>
    <row r="57" spans="1:20" ht="15.75" customHeight="1" x14ac:dyDescent="0.2">
      <c r="B57" s="89" t="s">
        <v>220</v>
      </c>
    </row>
    <row r="58" spans="1:20" ht="15.75" customHeight="1" x14ac:dyDescent="0.2">
      <c r="B58" s="89" t="s">
        <v>221</v>
      </c>
    </row>
  </sheetData>
  <conditionalFormatting sqref="F17">
    <cfRule type="cellIs" dxfId="0" priority="1" operator="lessThan">
      <formula>0.25</formula>
    </cfRule>
  </conditionalFormatting>
  <pageMargins left="0.7" right="0.7" top="0.75" bottom="0.75" header="0.3" footer="0.3"/>
  <pageSetup paperSize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73F0-4335-4FA6-9DDB-31DFD49B581E}">
  <dimension ref="B1:R9"/>
  <sheetViews>
    <sheetView topLeftCell="A4" workbookViewId="0">
      <selection activeCell="R9" sqref="B7:R9"/>
    </sheetView>
  </sheetViews>
  <sheetFormatPr defaultRowHeight="12.75" x14ac:dyDescent="0.2"/>
  <cols>
    <col min="3" max="4" width="11.7109375" bestFit="1" customWidth="1"/>
    <col min="5" max="5" width="11.5703125" bestFit="1" customWidth="1"/>
    <col min="6" max="6" width="14.85546875" bestFit="1" customWidth="1"/>
    <col min="7" max="9" width="12.5703125" bestFit="1" customWidth="1"/>
    <col min="10" max="10" width="11.5703125" bestFit="1" customWidth="1"/>
    <col min="11" max="14" width="12.5703125" bestFit="1" customWidth="1"/>
    <col min="15" max="16" width="11.5703125" bestFit="1" customWidth="1"/>
    <col min="17" max="18" width="9.5703125" bestFit="1" customWidth="1"/>
  </cols>
  <sheetData>
    <row r="1" spans="2:18" x14ac:dyDescent="0.2">
      <c r="B1" s="175" t="s">
        <v>167</v>
      </c>
      <c r="C1" s="175" t="s">
        <v>200</v>
      </c>
      <c r="D1" s="175" t="s">
        <v>199</v>
      </c>
      <c r="E1" s="175" t="s">
        <v>198</v>
      </c>
      <c r="F1" s="175" t="s">
        <v>201</v>
      </c>
      <c r="G1" s="175" t="s">
        <v>205</v>
      </c>
      <c r="H1" s="175" t="s">
        <v>202</v>
      </c>
      <c r="I1" s="175" t="s">
        <v>203</v>
      </c>
      <c r="J1" s="175" t="s">
        <v>206</v>
      </c>
    </row>
    <row r="2" spans="2:18" x14ac:dyDescent="0.2">
      <c r="B2" s="173">
        <v>1</v>
      </c>
      <c r="C2" s="174">
        <v>454.5</v>
      </c>
      <c r="D2" s="174">
        <v>368.00286479959914</v>
      </c>
      <c r="E2" s="174">
        <v>1.2015491451656728</v>
      </c>
      <c r="F2" s="174">
        <v>139875.44959518299</v>
      </c>
      <c r="G2" s="174">
        <v>421.28992806041674</v>
      </c>
      <c r="H2" s="174">
        <v>446.93072472747468</v>
      </c>
      <c r="I2" s="174">
        <v>393.98392640420815</v>
      </c>
      <c r="J2" s="174">
        <v>0.8815324268530611</v>
      </c>
    </row>
    <row r="3" spans="2:18" x14ac:dyDescent="0.2">
      <c r="B3" s="173">
        <v>2</v>
      </c>
      <c r="C3" s="174">
        <v>262.41623149673711</v>
      </c>
      <c r="D3" s="174">
        <v>203.95341717374504</v>
      </c>
      <c r="E3" s="174">
        <v>0.79903025567277952</v>
      </c>
      <c r="F3" s="174">
        <v>210339.00243144677</v>
      </c>
      <c r="G3" s="174">
        <v>421.28992806041674</v>
      </c>
      <c r="H3" s="174">
        <v>459.30566668302066</v>
      </c>
      <c r="I3" s="174">
        <v>379.48479748623419</v>
      </c>
      <c r="J3" s="174">
        <v>0.82621405528646996</v>
      </c>
    </row>
    <row r="7" spans="2:18" x14ac:dyDescent="0.2">
      <c r="B7" t="s">
        <v>167</v>
      </c>
      <c r="C7" t="s">
        <v>168</v>
      </c>
      <c r="D7" t="s">
        <v>176</v>
      </c>
      <c r="E7" t="s">
        <v>177</v>
      </c>
      <c r="F7" t="s">
        <v>184</v>
      </c>
      <c r="G7" t="s">
        <v>190</v>
      </c>
      <c r="H7" t="s">
        <v>191</v>
      </c>
      <c r="I7" t="s">
        <v>192</v>
      </c>
      <c r="J7" t="s">
        <v>189</v>
      </c>
      <c r="K7" t="s">
        <v>188</v>
      </c>
      <c r="L7" t="s">
        <v>187</v>
      </c>
      <c r="M7" t="s">
        <v>185</v>
      </c>
      <c r="N7" t="s">
        <v>186</v>
      </c>
      <c r="O7" t="s">
        <v>194</v>
      </c>
      <c r="P7" t="s">
        <v>196</v>
      </c>
      <c r="Q7" t="s">
        <v>195</v>
      </c>
      <c r="R7" t="s">
        <v>226</v>
      </c>
    </row>
    <row r="8" spans="2:18" x14ac:dyDescent="0.2">
      <c r="B8">
        <v>1</v>
      </c>
      <c r="C8" s="94">
        <v>659.64414565643892</v>
      </c>
      <c r="D8" s="94">
        <v>635.03397460199972</v>
      </c>
      <c r="E8" s="94">
        <v>364.25168115563082</v>
      </c>
      <c r="F8" s="94">
        <v>635.03397460199983</v>
      </c>
      <c r="G8" s="94">
        <v>1180.4538158734601</v>
      </c>
      <c r="H8" s="94">
        <v>1155.0960464952359</v>
      </c>
      <c r="I8" s="94">
        <v>1167.7749311843481</v>
      </c>
      <c r="J8" s="94">
        <v>172.66518492986569</v>
      </c>
      <c r="K8" s="94">
        <v>1255.508115228655</v>
      </c>
      <c r="L8" s="94">
        <v>1242.0123521706043</v>
      </c>
      <c r="M8" s="94">
        <v>1067.1556400301315</v>
      </c>
      <c r="N8" s="94">
        <v>1082.8429302987893</v>
      </c>
      <c r="O8" s="94">
        <v>454.5</v>
      </c>
      <c r="P8" s="94">
        <v>262.41623149673711</v>
      </c>
      <c r="Q8" s="94">
        <v>0.57737344663748535</v>
      </c>
      <c r="R8" s="94">
        <v>0.5728748663044877</v>
      </c>
    </row>
    <row r="9" spans="2:18" x14ac:dyDescent="0.2">
      <c r="B9">
        <v>2</v>
      </c>
      <c r="C9" s="94">
        <v>659.64414565643892</v>
      </c>
      <c r="D9" s="94">
        <v>635.03397460199972</v>
      </c>
      <c r="E9" s="94">
        <v>364.25168115563082</v>
      </c>
      <c r="F9" s="94">
        <v>635.03397460199983</v>
      </c>
      <c r="G9" s="94">
        <v>1155.0960464952359</v>
      </c>
      <c r="H9" s="94">
        <v>1124.5656137125532</v>
      </c>
      <c r="I9" s="94">
        <v>1139.8308301038946</v>
      </c>
      <c r="J9" s="94">
        <v>176.89824588358246</v>
      </c>
      <c r="K9" s="94">
        <v>1082.8429302987893</v>
      </c>
      <c r="L9" s="94">
        <v>1069.0508953867679</v>
      </c>
      <c r="M9" s="94">
        <v>889.3769405899684</v>
      </c>
      <c r="N9" s="94">
        <v>905.94468441520678</v>
      </c>
      <c r="O9" s="94">
        <v>262.41623149673711</v>
      </c>
      <c r="P9" s="94">
        <v>135.33383699836997</v>
      </c>
      <c r="Q9" s="94">
        <v>0.51572205052435072</v>
      </c>
      <c r="R9" s="94">
        <v>0.62752454630053045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Compresor</vt:lpstr>
      <vt:lpstr>Camara_Combustion</vt:lpstr>
      <vt:lpstr>Turbina</vt:lpstr>
      <vt:lpstr>Presentacion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Camussoni</dc:creator>
  <cp:lastModifiedBy>Rolando Cabrera</cp:lastModifiedBy>
  <dcterms:created xsi:type="dcterms:W3CDTF">2020-09-24T17:16:59Z</dcterms:created>
  <dcterms:modified xsi:type="dcterms:W3CDTF">2020-10-04T20:05:23Z</dcterms:modified>
</cp:coreProperties>
</file>