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lo_\Documents\MEGAsync\cuarto semestre\mecanismos\requerimientos de trabajo\requerimiento 8\"/>
    </mc:Choice>
  </mc:AlternateContent>
  <xr:revisionPtr revIDLastSave="0" documentId="13_ncr:1_{BA0C025F-88D2-44DE-84FC-F0BDBA7227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1" l="1"/>
  <c r="J69" i="1"/>
  <c r="J66" i="1"/>
  <c r="J67" i="1"/>
  <c r="H67" i="1"/>
  <c r="H66" i="1" l="1"/>
  <c r="H65" i="1"/>
  <c r="H64" i="1"/>
  <c r="H56" i="1"/>
  <c r="J55" i="1" l="1"/>
  <c r="J60" i="1" s="1"/>
  <c r="J56" i="1"/>
  <c r="H86" i="1"/>
  <c r="H85" i="1"/>
  <c r="E40" i="1"/>
  <c r="J54" i="1"/>
  <c r="H59" i="1"/>
  <c r="H58" i="1" s="1"/>
  <c r="F40" i="1"/>
  <c r="E24" i="1"/>
  <c r="H19" i="1"/>
  <c r="E25" i="1"/>
  <c r="B63" i="1" a="1"/>
  <c r="B63" i="1" s="1"/>
  <c r="J48" i="1"/>
  <c r="K17" i="1"/>
  <c r="K18" i="1"/>
  <c r="H22" i="1"/>
  <c r="H21" i="1"/>
  <c r="E22" i="1"/>
  <c r="E28" i="1" l="1"/>
  <c r="H57" i="1"/>
  <c r="H82" i="1"/>
  <c r="H83" i="1" s="1"/>
  <c r="D40" i="1"/>
  <c r="E26" i="1"/>
  <c r="H20" i="1" l="1"/>
  <c r="M52" i="1"/>
  <c r="G40" i="1"/>
  <c r="E29" i="1"/>
  <c r="H55" i="1" l="1"/>
  <c r="H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<sst xmlns="http://schemas.openxmlformats.org/spreadsheetml/2006/main" count="96" uniqueCount="84">
  <si>
    <t>Tornillos</t>
  </si>
  <si>
    <t>ISO 4014</t>
  </si>
  <si>
    <t>Cabeza Hexagonal</t>
  </si>
  <si>
    <t>Clase M-10</t>
  </si>
  <si>
    <t>Diámetro</t>
  </si>
  <si>
    <t>Fuerza máxima sobre la junta</t>
  </si>
  <si>
    <t>f seg Tracción</t>
  </si>
  <si>
    <t>Material</t>
  </si>
  <si>
    <t>Acero SAE 1020</t>
  </si>
  <si>
    <t>f seg Corte</t>
  </si>
  <si>
    <t>Ancho tuerca</t>
  </si>
  <si>
    <t>Módulo de Young</t>
  </si>
  <si>
    <t>Tensión de fluencia</t>
  </si>
  <si>
    <t>f seg Separación</t>
  </si>
  <si>
    <t>Longitud</t>
  </si>
  <si>
    <t>Resistencia mínima de prueba</t>
  </si>
  <si>
    <t>L lisa</t>
  </si>
  <si>
    <t>L roscada junta</t>
  </si>
  <si>
    <t>Torque de apriete</t>
  </si>
  <si>
    <t>C</t>
  </si>
  <si>
    <t>kb</t>
  </si>
  <si>
    <t>km</t>
  </si>
  <si>
    <t>observaciones</t>
  </si>
  <si>
    <t>Observaciones</t>
  </si>
  <si>
    <t>-</t>
  </si>
  <si>
    <t xml:space="preserve">parte de </t>
  </si>
  <si>
    <t>kf</t>
  </si>
  <si>
    <t>usando le diametro mayor 10 es confruente con la tabla</t>
  </si>
  <si>
    <t>Esfe</t>
  </si>
  <si>
    <t>At</t>
  </si>
  <si>
    <t>f seg torsion</t>
  </si>
  <si>
    <t>f fatiga</t>
  </si>
  <si>
    <t>As</t>
  </si>
  <si>
    <t xml:space="preserve">Parte fs corte </t>
  </si>
  <si>
    <t>[mm2] de la referencia [4]</t>
  </si>
  <si>
    <t>FORMULA POWERPOINT [4]</t>
  </si>
  <si>
    <t>[N.m] FORMULA POWERPOINT [4]</t>
  </si>
  <si>
    <t>[mm ]Saco dato DIN [3]</t>
  </si>
  <si>
    <t xml:space="preserve">[mm] Elegí este </t>
  </si>
  <si>
    <t>[mm] saco dato de DIN [3]</t>
  </si>
  <si>
    <t>[mm] saco dato de DIN[3]</t>
  </si>
  <si>
    <t>[mm] elijo un tornillo del DIN .</t>
  </si>
  <si>
    <t>Rosca (Paso)Gruesa</t>
  </si>
  <si>
    <t>para fatiga</t>
  </si>
  <si>
    <t xml:space="preserve">sigma medio </t>
  </si>
  <si>
    <t>sigma alterno</t>
  </si>
  <si>
    <t>sigma i</t>
  </si>
  <si>
    <t>se</t>
  </si>
  <si>
    <t>sult</t>
  </si>
  <si>
    <t>factor fatiga</t>
  </si>
  <si>
    <t>[Gpa] Según https://es.slideshare.net/948074727/aisi1020</t>
  </si>
  <si>
    <t>Resistencia última</t>
  </si>
  <si>
    <t>P/4</t>
  </si>
  <si>
    <t>Espesor arandela</t>
  </si>
  <si>
    <t>[Mpa] correponden clase 4.6 según powerpoint.</t>
  </si>
  <si>
    <t>[N]La sobreestime a partir de la Figura 2.</t>
  </si>
  <si>
    <t xml:space="preserve">Fuerza mínima sobre la junta </t>
  </si>
  <si>
    <t xml:space="preserve">kfm </t>
  </si>
  <si>
    <t>[mm] Criterio mio. No quiero paso fino.</t>
  </si>
  <si>
    <t xml:space="preserve">C a partir de tabla </t>
  </si>
  <si>
    <t xml:space="preserve">[N] </t>
  </si>
  <si>
    <t>Característica</t>
  </si>
  <si>
    <t>Valor</t>
  </si>
  <si>
    <t>Usando la tabla powerpoint [4]</t>
  </si>
  <si>
    <t>Fuerza máxima sobre un bulón</t>
  </si>
  <si>
    <t xml:space="preserve">Precarga </t>
  </si>
  <si>
    <t>Fm</t>
  </si>
  <si>
    <t>Fb</t>
  </si>
  <si>
    <t>Fuerza medio sobre bulón</t>
  </si>
  <si>
    <t>Fuerza alterna sobre bulón</t>
  </si>
  <si>
    <t>consideralando la cabeza del tornillo</t>
  </si>
  <si>
    <t>sigma_max nominal</t>
  </si>
  <si>
    <t xml:space="preserve">kf*sigma_max_nominal </t>
  </si>
  <si>
    <t>&gt;Sy nominal</t>
  </si>
  <si>
    <t>sigma_a_nom</t>
  </si>
  <si>
    <t>sigma_m_nominal</t>
  </si>
  <si>
    <t>[Mpa] corresponden a clase 4.6 según powerpoint.</t>
  </si>
  <si>
    <t>fmin</t>
  </si>
  <si>
    <t>fmax</t>
  </si>
  <si>
    <t>Fuerza minima sobre un bulón</t>
  </si>
  <si>
    <t>fuerza alterna sobre un bulon</t>
  </si>
  <si>
    <t xml:space="preserve">Fuerza media </t>
  </si>
  <si>
    <t>sigma alter</t>
  </si>
  <si>
    <t>sigma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</si>
</sst>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7A94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9" fontId="0" fillId="0" borderId="0" xfId="0" applyNumberFormat="1" applyFill="1" applyBorder="1"/>
    <xf numFmtId="0" fontId="2" fillId="3" borderId="0" xfId="0" applyFont="1" applyFill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11" fontId="0" fillId="0" borderId="0" xfId="0" applyNumberFormat="1"/>
    <xf numFmtId="2" fontId="0" fillId="0" borderId="1" xfId="0" applyNumberFormat="1" applyBorder="1"/>
    <xf numFmtId="164" fontId="3" fillId="0" borderId="2" xfId="0" applyNumberFormat="1" applyFont="1" applyBorder="1" applyAlignment="1">
      <alignment horizontal="left" indent="2"/>
    </xf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 applyBorder="1"/>
    <xf numFmtId="165" fontId="0" fillId="0" borderId="1" xfId="0" applyNumberFormat="1" applyBorder="1"/>
    <xf numFmtId="0" fontId="0" fillId="2" borderId="3" xfId="0" applyFill="1" applyBorder="1"/>
    <xf numFmtId="0" fontId="0" fillId="2" borderId="4" xfId="0" applyFill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32</xdr:row>
      <xdr:rowOff>0</xdr:rowOff>
    </xdr:from>
    <xdr:to>
      <xdr:col>17</xdr:col>
      <xdr:colOff>388597</xdr:colOff>
      <xdr:row>39</xdr:row>
      <xdr:rowOff>149249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3BCBD2-7486-4C59-A399-3446013AB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21239" y="6162261"/>
          <a:ext cx="3991532" cy="1505160"/>
        </a:xfrm>
        <a:prstGeom prst="rect">
          <a:avLst/>
        </a:prstGeom>
      </xdr:spPr>
    </xdr:pic>
    <xdr:clientData/>
  </xdr:twoCellAnchor>
  <xdr:twoCellAnchor editAs="oneCell">
    <xdr:from>
      <xdr:col>11</xdr:col>
      <xdr:colOff>484908</xdr:colOff>
      <xdr:row>24</xdr:row>
      <xdr:rowOff>69273</xdr:rowOff>
    </xdr:from>
    <xdr:to>
      <xdr:col>15</xdr:col>
      <xdr:colOff>325977</xdr:colOff>
      <xdr:row>28</xdr:row>
      <xdr:rowOff>158531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5EC5B3-72DB-44BA-A9DF-05A51593C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62363" y="4762500"/>
          <a:ext cx="2819794" cy="857370"/>
        </a:xfrm>
        <a:prstGeom prst="rect">
          <a:avLst/>
        </a:prstGeom>
      </xdr:spPr>
    </xdr:pic>
    <xdr:clientData/>
  </xdr:twoCellAnchor>
  <xdr:twoCellAnchor editAs="oneCell">
    <xdr:from>
      <xdr:col>11</xdr:col>
      <xdr:colOff>493060</xdr:colOff>
      <xdr:row>6</xdr:row>
      <xdr:rowOff>182350</xdr:rowOff>
    </xdr:from>
    <xdr:to>
      <xdr:col>23</xdr:col>
      <xdr:colOff>272345</xdr:colOff>
      <xdr:row>24</xdr:row>
      <xdr:rowOff>85692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2F21E5-D971-4F03-B9D0-BD1AD16EF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08707" y="1325350"/>
          <a:ext cx="7589785" cy="3377166"/>
        </a:xfrm>
        <a:prstGeom prst="rect">
          <a:avLst/>
        </a:prstGeom>
      </xdr:spPr>
    </xdr:pic>
    <xdr:clientData/>
  </xdr:twoCellAnchor>
  <xdr:twoCellAnchor editAs="oneCell">
    <xdr:from>
      <xdr:col>6</xdr:col>
      <xdr:colOff>24011</xdr:colOff>
      <xdr:row>73</xdr:row>
      <xdr:rowOff>183296</xdr:rowOff>
    </xdr:from>
    <xdr:to>
      <xdr:col>8</xdr:col>
      <xdr:colOff>2712134</xdr:colOff>
      <xdr:row>80</xdr:row>
      <xdr:rowOff>21535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F749D2-FD0C-4A1E-BDEF-0C2473CF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23082" y="14171439"/>
          <a:ext cx="6266802" cy="1171739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87</xdr:row>
      <xdr:rowOff>1</xdr:rowOff>
    </xdr:from>
    <xdr:to>
      <xdr:col>9</xdr:col>
      <xdr:colOff>118056</xdr:colOff>
      <xdr:row>95</xdr:row>
      <xdr:rowOff>19266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207AA4-3A5E-45AD-A757-B208505D1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2678" y="16655144"/>
          <a:ext cx="7411485" cy="1543265"/>
        </a:xfrm>
        <a:prstGeom prst="rect">
          <a:avLst/>
        </a:prstGeom>
      </xdr:spPr>
    </xdr:pic>
    <xdr:clientData/>
  </xdr:twoCellAnchor>
  <xdr:twoCellAnchor editAs="oneCell">
    <xdr:from>
      <xdr:col>0</xdr:col>
      <xdr:colOff>586782</xdr:colOff>
      <xdr:row>70</xdr:row>
      <xdr:rowOff>127339</xdr:rowOff>
    </xdr:from>
    <xdr:to>
      <xdr:col>5</xdr:col>
      <xdr:colOff>1008530</xdr:colOff>
      <xdr:row>75</xdr:row>
      <xdr:rowOff>5996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499595-4AA7-4775-AEB8-F232406C3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6782" y="13529574"/>
          <a:ext cx="5576454" cy="831157"/>
        </a:xfrm>
        <a:prstGeom prst="rect">
          <a:avLst/>
        </a:prstGeom>
      </xdr:spPr>
    </xdr:pic>
    <xdr:clientData/>
  </xdr:twoCellAnchor>
  <xdr:twoCellAnchor editAs="oneCell">
    <xdr:from>
      <xdr:col>1</xdr:col>
      <xdr:colOff>156882</xdr:colOff>
      <xdr:row>43</xdr:row>
      <xdr:rowOff>63160</xdr:rowOff>
    </xdr:from>
    <xdr:to>
      <xdr:col>5</xdr:col>
      <xdr:colOff>1216264</xdr:colOff>
      <xdr:row>60</xdr:row>
      <xdr:rowOff>28205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BF5AD9-6D98-4C3B-88A9-6B3F907F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8321895"/>
          <a:ext cx="5608970" cy="3203545"/>
        </a:xfrm>
        <a:prstGeom prst="rect">
          <a:avLst/>
        </a:prstGeom>
      </xdr:spPr>
    </xdr:pic>
    <xdr:clientData/>
  </xdr:twoCellAnchor>
  <xdr:twoCellAnchor editAs="oneCell">
    <xdr:from>
      <xdr:col>4</xdr:col>
      <xdr:colOff>851647</xdr:colOff>
      <xdr:row>61</xdr:row>
      <xdr:rowOff>0</xdr:rowOff>
    </xdr:from>
    <xdr:to>
      <xdr:col>5</xdr:col>
      <xdr:colOff>1793260</xdr:colOff>
      <xdr:row>66</xdr:row>
      <xdr:rowOff>19186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388060-DD90-4A5B-96F3-5D147D6B9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1647" y="11687735"/>
          <a:ext cx="2286319" cy="971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3"/>
  <sheetViews>
    <sheetView tabSelected="1" topLeftCell="A26" zoomScale="70" zoomScaleNormal="70" workbookViewId="0">
      <selection activeCell="H41" sqref="H41"/>
    </sheetView>
  </sheetViews>
  <sheetFormatPr defaultRowHeight="15" x14ac:dyDescent="0.25"/>
  <cols>
    <col min="4" max="4" width="29.85546875" bestFit="1" customWidth="1"/>
    <col min="5" max="5" width="20.140625" customWidth="1"/>
    <col min="6" max="6" width="56" bestFit="1" customWidth="1"/>
    <col min="7" max="7" width="33.5703125" bestFit="1" customWidth="1"/>
    <col min="8" max="8" width="20" bestFit="1" customWidth="1"/>
    <col min="9" max="9" width="56" bestFit="1" customWidth="1"/>
    <col min="10" max="10" width="14.85546875" bestFit="1" customWidth="1"/>
    <col min="13" max="13" width="17.28515625" bestFit="1" customWidth="1"/>
  </cols>
  <sheetData>
    <row r="2" spans="4:13" x14ac:dyDescent="0.25">
      <c r="D2" s="8"/>
      <c r="E2" s="8"/>
      <c r="F2" s="8"/>
      <c r="G2" s="8"/>
      <c r="K2" s="8"/>
      <c r="L2" s="8"/>
      <c r="M2" s="8"/>
    </row>
    <row r="3" spans="4:13" x14ac:dyDescent="0.25">
      <c r="D3" s="9"/>
      <c r="E3" s="9"/>
      <c r="F3" s="9"/>
      <c r="G3" s="9"/>
    </row>
    <row r="4" spans="4:13" x14ac:dyDescent="0.25">
      <c r="D4" s="9"/>
      <c r="E4" s="9"/>
      <c r="F4" s="8"/>
      <c r="G4" s="8"/>
    </row>
    <row r="5" spans="4:13" x14ac:dyDescent="0.25">
      <c r="D5" s="9"/>
      <c r="E5" s="9"/>
      <c r="F5" s="9"/>
      <c r="G5" s="9"/>
    </row>
    <row r="6" spans="4:13" x14ac:dyDescent="0.25">
      <c r="D6" s="9"/>
      <c r="E6" s="9"/>
      <c r="F6" s="9"/>
      <c r="G6" s="9"/>
    </row>
    <row r="7" spans="4:13" x14ac:dyDescent="0.25">
      <c r="D7" s="9"/>
      <c r="E7" s="9"/>
      <c r="F7" s="9"/>
      <c r="G7" s="9"/>
    </row>
    <row r="8" spans="4:13" x14ac:dyDescent="0.25">
      <c r="D8" s="9"/>
      <c r="E8" s="9"/>
      <c r="F8" s="9"/>
      <c r="G8" s="10"/>
    </row>
    <row r="9" spans="4:13" x14ac:dyDescent="0.25">
      <c r="D9" s="9"/>
      <c r="E9" s="9"/>
      <c r="F9" s="9"/>
      <c r="G9" s="9"/>
    </row>
    <row r="10" spans="4:13" x14ac:dyDescent="0.25">
      <c r="D10" s="9"/>
      <c r="E10" s="9"/>
      <c r="F10" s="9"/>
      <c r="G10" s="9"/>
    </row>
    <row r="11" spans="4:13" x14ac:dyDescent="0.25">
      <c r="D11" s="9"/>
      <c r="E11" s="9"/>
      <c r="F11" s="9"/>
      <c r="G11" s="9"/>
    </row>
    <row r="12" spans="4:13" x14ac:dyDescent="0.25">
      <c r="D12" s="9"/>
      <c r="E12" s="9"/>
      <c r="F12" s="9"/>
      <c r="G12" s="9"/>
    </row>
    <row r="13" spans="4:13" ht="15.75" thickBot="1" x14ac:dyDescent="0.3"/>
    <row r="14" spans="4:13" ht="15.75" thickBot="1" x14ac:dyDescent="0.3">
      <c r="D14" s="5" t="s">
        <v>0</v>
      </c>
      <c r="E14" s="6" t="s">
        <v>1</v>
      </c>
      <c r="F14" s="6" t="s">
        <v>23</v>
      </c>
      <c r="G14" s="6" t="s">
        <v>2</v>
      </c>
      <c r="H14" s="6" t="s">
        <v>3</v>
      </c>
      <c r="I14" s="7" t="s">
        <v>22</v>
      </c>
    </row>
    <row r="15" spans="4:13" ht="15.75" thickBot="1" x14ac:dyDescent="0.3"/>
    <row r="16" spans="4:13" ht="15.75" thickBot="1" x14ac:dyDescent="0.3">
      <c r="D16" s="21" t="s">
        <v>61</v>
      </c>
      <c r="E16" s="22" t="s">
        <v>62</v>
      </c>
      <c r="F16" s="22" t="s">
        <v>23</v>
      </c>
      <c r="G16" s="21" t="s">
        <v>61</v>
      </c>
      <c r="H16" s="22" t="s">
        <v>62</v>
      </c>
      <c r="I16" s="22" t="s">
        <v>23</v>
      </c>
      <c r="K16" s="19" t="s">
        <v>52</v>
      </c>
    </row>
    <row r="17" spans="4:17" x14ac:dyDescent="0.25">
      <c r="D17" s="4" t="s">
        <v>4</v>
      </c>
      <c r="E17" s="4">
        <v>10</v>
      </c>
      <c r="F17" s="4" t="s">
        <v>41</v>
      </c>
      <c r="G17" s="4" t="s">
        <v>5</v>
      </c>
      <c r="H17" s="4">
        <v>9500</v>
      </c>
      <c r="I17" s="4" t="s">
        <v>55</v>
      </c>
      <c r="K17">
        <f>H17/4</f>
        <v>2375</v>
      </c>
    </row>
    <row r="18" spans="4:17" x14ac:dyDescent="0.25">
      <c r="D18" s="1" t="s">
        <v>42</v>
      </c>
      <c r="E18" s="1">
        <v>1.5</v>
      </c>
      <c r="F18" s="1" t="s">
        <v>58</v>
      </c>
      <c r="G18" s="1" t="s">
        <v>56</v>
      </c>
      <c r="H18" s="1">
        <v>5500</v>
      </c>
      <c r="I18" s="4" t="s">
        <v>55</v>
      </c>
      <c r="K18">
        <f>H18/4</f>
        <v>1375</v>
      </c>
      <c r="M18" s="9"/>
      <c r="N18" s="9"/>
    </row>
    <row r="19" spans="4:17" x14ac:dyDescent="0.25">
      <c r="D19" s="1" t="s">
        <v>10</v>
      </c>
      <c r="E19" s="1">
        <v>8</v>
      </c>
      <c r="F19" s="1" t="s">
        <v>40</v>
      </c>
      <c r="G19" s="1" t="s">
        <v>65</v>
      </c>
      <c r="H19">
        <f>0.75*310*58</f>
        <v>13485</v>
      </c>
      <c r="I19" s="3" t="s">
        <v>60</v>
      </c>
      <c r="M19" s="9"/>
      <c r="N19" s="9"/>
    </row>
    <row r="20" spans="4:17" x14ac:dyDescent="0.25">
      <c r="D20" s="1" t="s">
        <v>53</v>
      </c>
      <c r="E20" s="1">
        <v>2</v>
      </c>
      <c r="F20" s="3" t="s">
        <v>39</v>
      </c>
      <c r="G20" s="1" t="s">
        <v>18</v>
      </c>
      <c r="H20" s="1">
        <f>0.21*H19*0.01</f>
        <v>28.3185</v>
      </c>
      <c r="I20" s="1" t="s">
        <v>36</v>
      </c>
      <c r="M20" s="9"/>
      <c r="N20" s="9"/>
    </row>
    <row r="21" spans="4:17" x14ac:dyDescent="0.25">
      <c r="D21" s="1" t="s">
        <v>14</v>
      </c>
      <c r="E21" s="1">
        <v>65</v>
      </c>
      <c r="F21" s="1" t="s">
        <v>38</v>
      </c>
      <c r="G21" s="12" t="s">
        <v>64</v>
      </c>
      <c r="H21" s="1">
        <f>H17/4</f>
        <v>2375</v>
      </c>
      <c r="I21" s="3" t="s">
        <v>60</v>
      </c>
      <c r="M21" s="9"/>
      <c r="N21" s="9"/>
    </row>
    <row r="22" spans="4:17" x14ac:dyDescent="0.25">
      <c r="D22" s="1" t="s">
        <v>16</v>
      </c>
      <c r="E22" s="1">
        <f>E21-E23</f>
        <v>39</v>
      </c>
      <c r="F22" s="1" t="s">
        <v>37</v>
      </c>
      <c r="G22" s="12" t="s">
        <v>79</v>
      </c>
      <c r="H22" s="1">
        <f>H18/4</f>
        <v>1375</v>
      </c>
      <c r="I22" s="3" t="s">
        <v>60</v>
      </c>
    </row>
    <row r="23" spans="4:17" x14ac:dyDescent="0.25">
      <c r="D23" s="1" t="s">
        <v>17</v>
      </c>
      <c r="E23" s="1">
        <v>26</v>
      </c>
      <c r="F23" s="1" t="s">
        <v>37</v>
      </c>
    </row>
    <row r="24" spans="4:17" x14ac:dyDescent="0.25">
      <c r="D24" s="1" t="s">
        <v>19</v>
      </c>
      <c r="E24" s="20">
        <f>0.6118-1.1715+1.0875-0.3806</f>
        <v>0.14719999999999994</v>
      </c>
      <c r="F24" s="1" t="s">
        <v>63</v>
      </c>
    </row>
    <row r="25" spans="4:17" x14ac:dyDescent="0.25">
      <c r="D25" s="1" t="s">
        <v>20</v>
      </c>
      <c r="E25" s="15">
        <f>(1/(((0.026-0.003+0.002-0.008)/(0.000058*200000000000))+(0.044/(0.0000785*200000000000))))*(B63)</f>
        <v>197689116.17136243</v>
      </c>
      <c r="F25" s="1" t="s">
        <v>35</v>
      </c>
    </row>
    <row r="26" spans="4:17" x14ac:dyDescent="0.25">
      <c r="D26" s="1" t="s">
        <v>21</v>
      </c>
      <c r="E26" s="15">
        <f>E25*((1-E24)/(E24))</f>
        <v>1145307596.9493067</v>
      </c>
      <c r="F26" s="1" t="s">
        <v>35</v>
      </c>
    </row>
    <row r="27" spans="4:17" x14ac:dyDescent="0.25">
      <c r="D27" s="12" t="s">
        <v>29</v>
      </c>
      <c r="E27" s="1">
        <v>57.99</v>
      </c>
      <c r="F27" s="12" t="s">
        <v>34</v>
      </c>
      <c r="Q27" t="s">
        <v>27</v>
      </c>
    </row>
    <row r="28" spans="4:17" x14ac:dyDescent="0.25">
      <c r="D28" s="1" t="s">
        <v>57</v>
      </c>
      <c r="E28" s="1">
        <f>(E32*1000000-E29*H85)/(H86)</f>
        <v>1.3670301644240765</v>
      </c>
      <c r="F28" s="1"/>
    </row>
    <row r="29" spans="4:17" x14ac:dyDescent="0.25">
      <c r="D29" s="1" t="s">
        <v>26</v>
      </c>
      <c r="E29" s="1">
        <f>5.7+0.02682*10</f>
        <v>5.9682000000000004</v>
      </c>
      <c r="F29" s="1" t="s">
        <v>36</v>
      </c>
    </row>
    <row r="30" spans="4:17" x14ac:dyDescent="0.25">
      <c r="D30" s="2" t="s">
        <v>7</v>
      </c>
      <c r="E30" s="2" t="s">
        <v>8</v>
      </c>
      <c r="F30" s="1" t="s">
        <v>24</v>
      </c>
    </row>
    <row r="31" spans="4:17" x14ac:dyDescent="0.25">
      <c r="D31" s="1" t="s">
        <v>11</v>
      </c>
      <c r="E31" s="1">
        <v>200</v>
      </c>
      <c r="F31" s="1" t="s">
        <v>50</v>
      </c>
    </row>
    <row r="32" spans="4:17" x14ac:dyDescent="0.25">
      <c r="D32" s="1" t="s">
        <v>12</v>
      </c>
      <c r="E32" s="1">
        <v>340</v>
      </c>
      <c r="F32" s="1" t="s">
        <v>54</v>
      </c>
      <c r="M32" t="s">
        <v>25</v>
      </c>
    </row>
    <row r="33" spans="4:13" x14ac:dyDescent="0.25">
      <c r="D33" s="1" t="s">
        <v>15</v>
      </c>
      <c r="E33" s="1">
        <v>310</v>
      </c>
      <c r="F33" s="1" t="s">
        <v>54</v>
      </c>
    </row>
    <row r="34" spans="4:13" x14ac:dyDescent="0.25">
      <c r="D34" s="1" t="s">
        <v>51</v>
      </c>
      <c r="E34" s="1">
        <v>420</v>
      </c>
      <c r="F34" s="1" t="s">
        <v>76</v>
      </c>
    </row>
    <row r="38" spans="4:13" ht="15.75" thickBot="1" x14ac:dyDescent="0.3"/>
    <row r="39" spans="4:13" ht="15.75" thickBot="1" x14ac:dyDescent="0.3">
      <c r="D39" s="17" t="s">
        <v>6</v>
      </c>
      <c r="E39" s="18" t="s">
        <v>9</v>
      </c>
      <c r="F39" s="18" t="s">
        <v>30</v>
      </c>
      <c r="G39" s="18" t="s">
        <v>13</v>
      </c>
      <c r="H39" s="18" t="s">
        <v>31</v>
      </c>
    </row>
    <row r="40" spans="4:13" x14ac:dyDescent="0.25">
      <c r="D40" s="16">
        <f>E32/((H19+E24*H21)/(E27))</f>
        <v>1.4251658884246743</v>
      </c>
      <c r="E40" s="16">
        <f>(0.577*E32)/(((H19+E24*H21)*0.38)/J48)</f>
        <v>1.4068106435989527</v>
      </c>
      <c r="F40" s="16">
        <f>(0.56*E32*1000000)/((16*0.12*H20)/(PI()*0.00816^3))</f>
        <v>5.9774481659836383</v>
      </c>
      <c r="G40" s="16">
        <f>(H19/(K17*(1-E24)))</f>
        <v>6.6579441098054701</v>
      </c>
      <c r="H40" s="23">
        <f>J69</f>
        <v>4.013285264045992</v>
      </c>
    </row>
    <row r="47" spans="4:13" x14ac:dyDescent="0.25">
      <c r="I47" t="s">
        <v>33</v>
      </c>
    </row>
    <row r="48" spans="4:13" x14ac:dyDescent="0.25">
      <c r="I48" t="s">
        <v>32</v>
      </c>
      <c r="J48">
        <f>PI()*0.8*1.5*10</f>
        <v>37.699111843077517</v>
      </c>
      <c r="M48" t="s">
        <v>28</v>
      </c>
    </row>
    <row r="52" spans="2:13" x14ac:dyDescent="0.25">
      <c r="M52">
        <f>9500/(4*58)</f>
        <v>40.948275862068968</v>
      </c>
    </row>
    <row r="53" spans="2:13" x14ac:dyDescent="0.25">
      <c r="G53" t="s">
        <v>43</v>
      </c>
    </row>
    <row r="54" spans="2:13" x14ac:dyDescent="0.25">
      <c r="G54" s="13" t="s">
        <v>69</v>
      </c>
      <c r="H54">
        <f>(H57-H19)/2</f>
        <v>174.80000000000018</v>
      </c>
      <c r="I54" t="s">
        <v>45</v>
      </c>
      <c r="J54">
        <f>E29*(H54/(E27*0.000001))</f>
        <v>17990021.72788414</v>
      </c>
    </row>
    <row r="55" spans="2:13" x14ac:dyDescent="0.25">
      <c r="G55" s="13" t="s">
        <v>68</v>
      </c>
      <c r="H55">
        <f>(H57+H19)/2</f>
        <v>13659.8</v>
      </c>
      <c r="I55" t="s">
        <v>44</v>
      </c>
      <c r="J55">
        <f>E28*(H55/(E27*0.000001))</f>
        <v>322009978.27211589</v>
      </c>
    </row>
    <row r="56" spans="2:13" x14ac:dyDescent="0.25">
      <c r="G56" s="9" t="s">
        <v>66</v>
      </c>
      <c r="H56">
        <f>H19-((1-E24)*H21)</f>
        <v>11459.6</v>
      </c>
      <c r="I56" t="s">
        <v>46</v>
      </c>
      <c r="J56">
        <f>E28*(H19/(E27*0.000001))</f>
        <v>317889321.73234475</v>
      </c>
    </row>
    <row r="57" spans="2:13" x14ac:dyDescent="0.25">
      <c r="G57" s="9" t="s">
        <v>67</v>
      </c>
      <c r="H57">
        <f>H19+(H21*E24)</f>
        <v>13834.6</v>
      </c>
    </row>
    <row r="58" spans="2:13" x14ac:dyDescent="0.25">
      <c r="G58" s="9" t="s">
        <v>47</v>
      </c>
      <c r="H58" s="14">
        <f>0.5*H59*0.8</f>
        <v>168000000</v>
      </c>
    </row>
    <row r="59" spans="2:13" x14ac:dyDescent="0.25">
      <c r="G59" s="9" t="s">
        <v>48</v>
      </c>
      <c r="H59" s="14">
        <f>420*1000000</f>
        <v>420000000</v>
      </c>
    </row>
    <row r="60" spans="2:13" x14ac:dyDescent="0.25">
      <c r="I60" t="s">
        <v>49</v>
      </c>
      <c r="J60" s="14">
        <f>(H58*(H59-J56))/(H58*(J55-J56)+H59*J54)</f>
        <v>2.0798288991050504</v>
      </c>
    </row>
    <row r="63" spans="2:13" x14ac:dyDescent="0.25">
      <c r="B63" cm="1">
        <f t="array" ref="B63">(1+(10/54))^{-1}</f>
        <v>0.84375</v>
      </c>
      <c r="D63" t="s">
        <v>70</v>
      </c>
    </row>
    <row r="64" spans="2:13" x14ac:dyDescent="0.25">
      <c r="G64" t="s">
        <v>77</v>
      </c>
      <c r="H64">
        <f>H19+E24*H22</f>
        <v>13687.4</v>
      </c>
    </row>
    <row r="65" spans="2:10" x14ac:dyDescent="0.25">
      <c r="G65" t="s">
        <v>78</v>
      </c>
      <c r="H65">
        <f>H19+H21*E24</f>
        <v>13834.6</v>
      </c>
    </row>
    <row r="66" spans="2:10" x14ac:dyDescent="0.25">
      <c r="G66" t="s">
        <v>80</v>
      </c>
      <c r="H66">
        <f>(H65-H64)/(2)</f>
        <v>73.600000000000364</v>
      </c>
      <c r="I66" t="s">
        <v>82</v>
      </c>
      <c r="J66">
        <f>E29*(H66/(E27*0.000001))</f>
        <v>7574745.9906880883</v>
      </c>
    </row>
    <row r="67" spans="2:10" x14ac:dyDescent="0.25">
      <c r="G67" t="s">
        <v>81</v>
      </c>
      <c r="H67">
        <f>(H64+H65)/2</f>
        <v>13761</v>
      </c>
      <c r="I67" t="s">
        <v>83</v>
      </c>
      <c r="J67">
        <f>E28*(H67/((E27*0.000001)))</f>
        <v>324395621.53198344</v>
      </c>
    </row>
    <row r="69" spans="2:10" x14ac:dyDescent="0.25">
      <c r="I69" t="s">
        <v>49</v>
      </c>
      <c r="J69" s="14">
        <f>(H58*(H59-J56))/(H58*(J67-J56)+H59*J66)</f>
        <v>4.013285264045992</v>
      </c>
    </row>
    <row r="70" spans="2:10" x14ac:dyDescent="0.25">
      <c r="B70" t="s">
        <v>59</v>
      </c>
    </row>
    <row r="82" spans="7:15" x14ac:dyDescent="0.25">
      <c r="G82" t="s">
        <v>71</v>
      </c>
      <c r="H82">
        <f>(H19+E24*H21)/(E27)</f>
        <v>238.56871874461115</v>
      </c>
    </row>
    <row r="83" spans="7:15" x14ac:dyDescent="0.25">
      <c r="G83" t="s">
        <v>72</v>
      </c>
      <c r="H83">
        <f>H82*E29</f>
        <v>1423.8258272115884</v>
      </c>
      <c r="I83" t="s">
        <v>73</v>
      </c>
    </row>
    <row r="85" spans="7:15" x14ac:dyDescent="0.25">
      <c r="G85" t="s">
        <v>74</v>
      </c>
      <c r="H85">
        <f>(H54/(E27*0.000001))</f>
        <v>3014312.8125538919</v>
      </c>
    </row>
    <row r="86" spans="7:15" x14ac:dyDescent="0.25">
      <c r="G86" t="s">
        <v>75</v>
      </c>
      <c r="H86">
        <f>(H55/(E27*0.000001))</f>
        <v>235554405.93205723</v>
      </c>
    </row>
    <row r="93" spans="7:15" x14ac:dyDescent="0.25">
      <c r="I93" s="11"/>
      <c r="J93" s="11"/>
      <c r="K93" s="11"/>
      <c r="L93" s="11"/>
      <c r="M93" s="11"/>
      <c r="N93" s="11"/>
      <c r="O93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Cabrera</dc:creator>
  <cp:lastModifiedBy>Rolando Cabrera</cp:lastModifiedBy>
  <dcterms:created xsi:type="dcterms:W3CDTF">2015-06-05T18:17:20Z</dcterms:created>
  <dcterms:modified xsi:type="dcterms:W3CDTF">2020-06-10T15:32:51Z</dcterms:modified>
</cp:coreProperties>
</file>