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lo_\Documents\MEGAsync\cuarto semestre\mecanismos\requerimientos de trabajo\requerimiento 8\"/>
    </mc:Choice>
  </mc:AlternateContent>
  <xr:revisionPtr revIDLastSave="0" documentId="13_ncr:1_{3A10C385-BD4C-4D66-9CBB-E2386A849B7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J60" i="1" l="1"/>
  <c r="H58" i="1"/>
  <c r="J56" i="1"/>
  <c r="J55" i="1"/>
  <c r="J54" i="1"/>
  <c r="H57" i="1"/>
  <c r="H55" i="1"/>
  <c r="H54" i="1"/>
  <c r="F30" i="1" l="1"/>
  <c r="H23" i="1"/>
  <c r="G30" i="1"/>
  <c r="H22" i="1"/>
  <c r="E26" i="1"/>
  <c r="H49" i="1"/>
  <c r="E30" i="1"/>
  <c r="H41" i="1"/>
  <c r="K17" i="1"/>
  <c r="M52" i="1" l="1"/>
  <c r="E25" i="1"/>
  <c r="E24" i="1" s="1"/>
  <c r="H48" i="1"/>
  <c r="H27" i="1"/>
</calcChain>
</file>

<file path=xl/sharedStrings.xml><?xml version="1.0" encoding="utf-8"?>
<sst xmlns="http://schemas.openxmlformats.org/spreadsheetml/2006/main" count="72" uniqueCount="67">
  <si>
    <t>Tornillos</t>
  </si>
  <si>
    <t>ISO 4014</t>
  </si>
  <si>
    <t>Cabeza Hexagonal</t>
  </si>
  <si>
    <t>Clase M-10</t>
  </si>
  <si>
    <t>Diámetro</t>
  </si>
  <si>
    <t>Fuerza máxima sobre la junta</t>
  </si>
  <si>
    <t>f seg Tracción</t>
  </si>
  <si>
    <t>Material</t>
  </si>
  <si>
    <t>Acero SAE 1020</t>
  </si>
  <si>
    <t>f seg Corte</t>
  </si>
  <si>
    <t>Ancho tuerca</t>
  </si>
  <si>
    <t>Módulo de Young</t>
  </si>
  <si>
    <t>Ancho arandela</t>
  </si>
  <si>
    <t>Tensión de fluencia</t>
  </si>
  <si>
    <t>f seg Separación</t>
  </si>
  <si>
    <t>Longitud</t>
  </si>
  <si>
    <t>Resistencia mínima de prueba</t>
  </si>
  <si>
    <t>L lisa</t>
  </si>
  <si>
    <t>Precarga (Porcentaje)</t>
  </si>
  <si>
    <t>L roscada junta</t>
  </si>
  <si>
    <t>Torque de apriete</t>
  </si>
  <si>
    <t>C</t>
  </si>
  <si>
    <t>kb</t>
  </si>
  <si>
    <t>km</t>
  </si>
  <si>
    <t>observaciones</t>
  </si>
  <si>
    <t>Observaciones</t>
  </si>
  <si>
    <t>-</t>
  </si>
  <si>
    <t>b bulon</t>
  </si>
  <si>
    <t>m material</t>
  </si>
  <si>
    <t>vamos a sacar la rididez del bulon</t>
  </si>
  <si>
    <t xml:space="preserve">parte de </t>
  </si>
  <si>
    <t>kf</t>
  </si>
  <si>
    <t>usando le diametro mayor 10 es confruente con la tabla</t>
  </si>
  <si>
    <t>Esfe</t>
  </si>
  <si>
    <t>At</t>
  </si>
  <si>
    <t>f seg torsion</t>
  </si>
  <si>
    <t>f fatiga</t>
  </si>
  <si>
    <t>As</t>
  </si>
  <si>
    <t xml:space="preserve">Parte fs corte </t>
  </si>
  <si>
    <t>vamos a sacar la rididez del material</t>
  </si>
  <si>
    <t>[mm2] de la referencia [4]</t>
  </si>
  <si>
    <t>FORMULA POWERPOINT [4]</t>
  </si>
  <si>
    <t>[N.m] FORMULA POWERPOINT [4]</t>
  </si>
  <si>
    <t>[Mpa] correponden clase 4.6 según powerpoint</t>
  </si>
  <si>
    <t>[N] 75% de precarga</t>
  </si>
  <si>
    <t>[mm ]Saco dato DIN [3]</t>
  </si>
  <si>
    <t xml:space="preserve">[mm] Elegí este </t>
  </si>
  <si>
    <t>[mm] saco dato de DIN [3]</t>
  </si>
  <si>
    <t>[mm] saco dato de DIN[3]</t>
  </si>
  <si>
    <t>[mm] elijo un tornillo del DIN .</t>
  </si>
  <si>
    <t>Rosca (Paso)Gruesa</t>
  </si>
  <si>
    <t>[mm] criterio mio. No quiero paso fino.</t>
  </si>
  <si>
    <t>para fatiga</t>
  </si>
  <si>
    <t>Fuerza alterno sobre bulón</t>
  </si>
  <si>
    <t>Fuerza media sobre bulón</t>
  </si>
  <si>
    <t>FB</t>
  </si>
  <si>
    <t xml:space="preserve">sigma medio </t>
  </si>
  <si>
    <t>sigma alterno</t>
  </si>
  <si>
    <t>sigma i</t>
  </si>
  <si>
    <t>se</t>
  </si>
  <si>
    <t>sult</t>
  </si>
  <si>
    <t>factor fatiga</t>
  </si>
  <si>
    <t>[Gpa] Según https://es.slideshare.net/948074727/aisi1020</t>
  </si>
  <si>
    <t>Resistencia última</t>
  </si>
  <si>
    <t>[Gpa]</t>
  </si>
  <si>
    <t>[N]La sobreestime  a partir de la Figura 2.</t>
  </si>
  <si>
    <t>P/4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</si>
</sst>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7A94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9" fontId="0" fillId="0" borderId="0" xfId="0" applyNumberFormat="1" applyFill="1" applyBorder="1"/>
    <xf numFmtId="0" fontId="2" fillId="3" borderId="0" xfId="0" applyFont="1" applyFill="1" applyAlignment="1">
      <alignment vertical="center" wrapText="1"/>
    </xf>
    <xf numFmtId="0" fontId="0" fillId="0" borderId="1" xfId="0" applyFill="1" applyBorder="1"/>
    <xf numFmtId="0" fontId="0" fillId="0" borderId="0" xfId="0" applyBorder="1"/>
    <xf numFmtId="1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4" fontId="3" fillId="0" borderId="2" xfId="0" applyNumberFormat="1" applyFont="1" applyBorder="1" applyAlignment="1">
      <alignment horizontal="left" indent="2"/>
    </xf>
    <xf numFmtId="0" fontId="0" fillId="2" borderId="6" xfId="0" applyFill="1" applyBorder="1"/>
    <xf numFmtId="0" fontId="0" fillId="2" borderId="7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537884</xdr:colOff>
      <xdr:row>35</xdr:row>
      <xdr:rowOff>0</xdr:rowOff>
    </xdr:from>
    <xdr:to>
      <xdr:col>5</xdr:col>
      <xdr:colOff>2036934</xdr:colOff>
      <xdr:row>38</xdr:row>
      <xdr:rowOff>104869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4FEDF5-B331-4912-8C59-1A427B3E2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8119" y="6757147"/>
          <a:ext cx="4353533" cy="676369"/>
        </a:xfrm>
        <a:prstGeom prst="rect">
          <a:avLst/>
        </a:prstGeom>
      </xdr:spPr>
    </xdr:pic>
    <xdr:clientData/>
  </xdr:twoCellAnchor>
  <xdr:twoCellAnchor editAs="oneCell">
    <xdr:from>
      <xdr:col>2</xdr:col>
      <xdr:colOff>582706</xdr:colOff>
      <xdr:row>38</xdr:row>
      <xdr:rowOff>156882</xdr:rowOff>
    </xdr:from>
    <xdr:to>
      <xdr:col>4</xdr:col>
      <xdr:colOff>503433</xdr:colOff>
      <xdr:row>42</xdr:row>
      <xdr:rowOff>23620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D44A92-15C1-445F-90B2-81B0288D6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941" y="7485529"/>
          <a:ext cx="1762371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34</xdr:row>
      <xdr:rowOff>67235</xdr:rowOff>
    </xdr:from>
    <xdr:to>
      <xdr:col>2</xdr:col>
      <xdr:colOff>601756</xdr:colOff>
      <xdr:row>53</xdr:row>
      <xdr:rowOff>105335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72CC201B-166E-4745-A49F-C73A8FFF9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6712323"/>
          <a:ext cx="173355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17</xdr:col>
      <xdr:colOff>388598</xdr:colOff>
      <xdr:row>39</xdr:row>
      <xdr:rowOff>171660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3BCBD2-7486-4C59-A399-3446013AB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21239" y="6162261"/>
          <a:ext cx="3991532" cy="150516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484908</xdr:colOff>
      <xdr:row>24</xdr:row>
      <xdr:rowOff>69273</xdr:rowOff>
    </xdr:from>
    <xdr:to>
      <xdr:col>15</xdr:col>
      <xdr:colOff>325976</xdr:colOff>
      <xdr:row>28</xdr:row>
      <xdr:rowOff>147325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5EC5B3-72DB-44BA-A9DF-05A51593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62363" y="4762500"/>
          <a:ext cx="2819794" cy="85737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190501</xdr:colOff>
      <xdr:row>4</xdr:row>
      <xdr:rowOff>103909</xdr:rowOff>
    </xdr:from>
    <xdr:to>
      <xdr:col>26</xdr:col>
      <xdr:colOff>518874</xdr:colOff>
      <xdr:row>22</xdr:row>
      <xdr:rowOff>29663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2F21E5-D971-4F03-B9D0-BD1AD16EF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40546" y="865909"/>
          <a:ext cx="7602011" cy="3419952"/>
        </a:xfrm>
        <a:prstGeom prst="rect">
          <a:avLst/>
        </a:prstGeom>
      </xdr:spPr>
    </xdr:pic>
    <xdr:clientData/>
  </xdr:twoCellAnchor>
  <xdr:twoCellAnchor editAs="oneCell">
    <xdr:from>
      <xdr:col>6</xdr:col>
      <xdr:colOff>78440</xdr:colOff>
      <xdr:row>61</xdr:row>
      <xdr:rowOff>33617</xdr:rowOff>
    </xdr:from>
    <xdr:to>
      <xdr:col>8</xdr:col>
      <xdr:colOff>2766563</xdr:colOff>
      <xdr:row>67</xdr:row>
      <xdr:rowOff>62356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F749D2-FD0C-4A1E-BDEF-0C2473CFA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64087" y="11687735"/>
          <a:ext cx="6258798" cy="117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Q93"/>
  <sheetViews>
    <sheetView tabSelected="1" topLeftCell="A21" zoomScale="55" zoomScaleNormal="55" workbookViewId="0">
      <selection activeCell="L21" sqref="L21"/>
    </sheetView>
  </sheetViews>
  <sheetFormatPr defaultRowHeight="15" x14ac:dyDescent="0.25"/>
  <cols>
    <col min="4" max="4" width="18.42578125" bestFit="1" customWidth="1"/>
    <col min="5" max="5" width="15.140625" bestFit="1" customWidth="1"/>
    <col min="6" max="6" width="31.85546875" bestFit="1" customWidth="1"/>
    <col min="7" max="7" width="33.5703125" bestFit="1" customWidth="1"/>
    <col min="8" max="8" width="20" bestFit="1" customWidth="1"/>
    <col min="9" max="9" width="56" bestFit="1" customWidth="1"/>
    <col min="10" max="10" width="12.28515625" bestFit="1" customWidth="1"/>
    <col min="13" max="13" width="17.28515625" bestFit="1" customWidth="1"/>
  </cols>
  <sheetData>
    <row r="2" spans="4:13" x14ac:dyDescent="0.25">
      <c r="D2" s="8"/>
      <c r="E2" s="8"/>
      <c r="F2" s="8"/>
      <c r="G2" s="8"/>
      <c r="K2" s="8"/>
      <c r="L2" s="8"/>
      <c r="M2" s="8"/>
    </row>
    <row r="3" spans="4:13" x14ac:dyDescent="0.25">
      <c r="D3" s="9"/>
      <c r="E3" s="9"/>
      <c r="F3" s="9"/>
      <c r="G3" s="9"/>
    </row>
    <row r="4" spans="4:13" x14ac:dyDescent="0.25">
      <c r="D4" s="9"/>
      <c r="E4" s="9"/>
      <c r="F4" s="8"/>
      <c r="G4" s="8"/>
    </row>
    <row r="5" spans="4:13" x14ac:dyDescent="0.25">
      <c r="D5" s="9"/>
      <c r="E5" s="9"/>
      <c r="F5" s="9"/>
      <c r="G5" s="9"/>
    </row>
    <row r="6" spans="4:13" x14ac:dyDescent="0.25">
      <c r="D6" s="9"/>
      <c r="E6" s="9"/>
      <c r="F6" s="9"/>
      <c r="G6" s="9"/>
    </row>
    <row r="7" spans="4:13" x14ac:dyDescent="0.25">
      <c r="D7" s="9"/>
      <c r="E7" s="9"/>
      <c r="F7" s="9"/>
      <c r="G7" s="9"/>
    </row>
    <row r="8" spans="4:13" x14ac:dyDescent="0.25">
      <c r="D8" s="9"/>
      <c r="E8" s="9"/>
      <c r="F8" s="9"/>
      <c r="G8" s="10"/>
    </row>
    <row r="9" spans="4:13" x14ac:dyDescent="0.25">
      <c r="D9" s="9"/>
      <c r="E9" s="9"/>
      <c r="F9" s="9"/>
      <c r="G9" s="9"/>
    </row>
    <row r="10" spans="4:13" x14ac:dyDescent="0.25">
      <c r="D10" s="9"/>
      <c r="E10" s="9"/>
      <c r="F10" s="9"/>
      <c r="G10" s="9"/>
    </row>
    <row r="11" spans="4:13" x14ac:dyDescent="0.25">
      <c r="D11" s="9"/>
      <c r="E11" s="9"/>
      <c r="F11" s="9"/>
      <c r="G11" s="9"/>
    </row>
    <row r="12" spans="4:13" x14ac:dyDescent="0.25">
      <c r="D12" s="9"/>
      <c r="E12" s="9"/>
      <c r="F12" s="9"/>
      <c r="G12" s="9"/>
    </row>
    <row r="15" spans="4:13" ht="15.75" thickBot="1" x14ac:dyDescent="0.3"/>
    <row r="16" spans="4:13" ht="15.75" thickBot="1" x14ac:dyDescent="0.3">
      <c r="D16" s="5" t="s">
        <v>0</v>
      </c>
      <c r="E16" s="6" t="s">
        <v>1</v>
      </c>
      <c r="F16" s="6" t="s">
        <v>25</v>
      </c>
      <c r="G16" s="6" t="s">
        <v>2</v>
      </c>
      <c r="H16" s="6" t="s">
        <v>3</v>
      </c>
      <c r="I16" s="7" t="s">
        <v>24</v>
      </c>
      <c r="K16" s="20" t="s">
        <v>66</v>
      </c>
    </row>
    <row r="17" spans="4:17" x14ac:dyDescent="0.25">
      <c r="D17" s="4" t="s">
        <v>4</v>
      </c>
      <c r="E17" s="4">
        <v>10</v>
      </c>
      <c r="F17" s="4" t="s">
        <v>49</v>
      </c>
      <c r="G17" s="4" t="s">
        <v>5</v>
      </c>
      <c r="H17" s="4">
        <v>9500</v>
      </c>
      <c r="I17" s="4" t="s">
        <v>65</v>
      </c>
      <c r="K17">
        <f>9500/4</f>
        <v>2375</v>
      </c>
    </row>
    <row r="18" spans="4:17" x14ac:dyDescent="0.25">
      <c r="D18" s="1" t="s">
        <v>50</v>
      </c>
      <c r="E18" s="1">
        <v>1.5</v>
      </c>
      <c r="F18" s="1" t="s">
        <v>51</v>
      </c>
      <c r="G18" s="2" t="s">
        <v>7</v>
      </c>
      <c r="H18" s="2" t="s">
        <v>8</v>
      </c>
      <c r="I18" s="1" t="s">
        <v>26</v>
      </c>
      <c r="M18" s="9"/>
      <c r="N18" s="9"/>
    </row>
    <row r="19" spans="4:17" x14ac:dyDescent="0.25">
      <c r="D19" s="1" t="s">
        <v>10</v>
      </c>
      <c r="E19" s="1">
        <v>8</v>
      </c>
      <c r="F19" s="1" t="s">
        <v>48</v>
      </c>
      <c r="G19" s="1" t="s">
        <v>11</v>
      </c>
      <c r="H19" s="1">
        <v>200</v>
      </c>
      <c r="I19" s="1" t="s">
        <v>62</v>
      </c>
      <c r="M19" s="9"/>
      <c r="N19" s="9"/>
    </row>
    <row r="20" spans="4:17" x14ac:dyDescent="0.25">
      <c r="D20" s="1" t="s">
        <v>12</v>
      </c>
      <c r="E20" s="1">
        <v>2</v>
      </c>
      <c r="F20" s="3" t="s">
        <v>47</v>
      </c>
      <c r="G20" s="1" t="s">
        <v>13</v>
      </c>
      <c r="H20" s="1">
        <v>340</v>
      </c>
      <c r="I20" s="1" t="s">
        <v>43</v>
      </c>
      <c r="M20" s="9"/>
      <c r="N20" s="9"/>
    </row>
    <row r="21" spans="4:17" x14ac:dyDescent="0.25">
      <c r="D21" s="1" t="s">
        <v>15</v>
      </c>
      <c r="E21" s="1">
        <v>70</v>
      </c>
      <c r="F21" s="1" t="s">
        <v>46</v>
      </c>
      <c r="G21" s="1" t="s">
        <v>16</v>
      </c>
      <c r="H21" s="1">
        <v>310</v>
      </c>
      <c r="I21" s="1" t="s">
        <v>43</v>
      </c>
      <c r="M21" s="9"/>
      <c r="N21" s="9"/>
    </row>
    <row r="22" spans="4:17" x14ac:dyDescent="0.25">
      <c r="D22" s="1" t="s">
        <v>17</v>
      </c>
      <c r="E22" s="1">
        <v>44</v>
      </c>
      <c r="F22" s="1" t="s">
        <v>45</v>
      </c>
      <c r="G22" s="1" t="s">
        <v>18</v>
      </c>
      <c r="H22">
        <f>0.75*310*58</f>
        <v>13485</v>
      </c>
      <c r="I22" s="3" t="s">
        <v>44</v>
      </c>
    </row>
    <row r="23" spans="4:17" x14ac:dyDescent="0.25">
      <c r="D23" s="1" t="s">
        <v>19</v>
      </c>
      <c r="E23" s="1">
        <v>26</v>
      </c>
      <c r="F23" s="1" t="s">
        <v>45</v>
      </c>
      <c r="G23" s="1" t="s">
        <v>20</v>
      </c>
      <c r="H23" s="1">
        <f>0.21*H22*0.01</f>
        <v>28.3185</v>
      </c>
      <c r="I23" s="1" t="s">
        <v>42</v>
      </c>
    </row>
    <row r="24" spans="4:17" x14ac:dyDescent="0.25">
      <c r="D24" s="1" t="s">
        <v>21</v>
      </c>
      <c r="E24" s="15">
        <f>E25/(E25+E26)</f>
        <v>0.15014255522718586</v>
      </c>
      <c r="F24" s="1" t="s">
        <v>41</v>
      </c>
      <c r="G24" s="1" t="s">
        <v>63</v>
      </c>
      <c r="H24" s="1">
        <v>380</v>
      </c>
      <c r="I24" s="1" t="s">
        <v>64</v>
      </c>
    </row>
    <row r="25" spans="4:17" x14ac:dyDescent="0.25">
      <c r="D25" s="1" t="s">
        <v>22</v>
      </c>
      <c r="E25" s="16">
        <f>1/((0.026/(0.000058*200000000000))+(0.044/(0.0000785*200000000000)))</f>
        <v>198258219.02895713</v>
      </c>
      <c r="F25" s="1" t="s">
        <v>41</v>
      </c>
      <c r="G25" s="1"/>
      <c r="H25" s="1"/>
      <c r="I25" s="1"/>
    </row>
    <row r="26" spans="4:17" x14ac:dyDescent="0.25">
      <c r="D26" s="1" t="s">
        <v>23</v>
      </c>
      <c r="E26" s="16">
        <f>(PI()*0.0189^2*200000000000)/(4*0.05)</f>
        <v>1122208311.78881</v>
      </c>
      <c r="F26" s="1" t="s">
        <v>41</v>
      </c>
      <c r="G26" s="1"/>
      <c r="H26" s="1"/>
      <c r="I26" s="1"/>
    </row>
    <row r="27" spans="4:17" x14ac:dyDescent="0.25">
      <c r="D27" s="12" t="s">
        <v>34</v>
      </c>
      <c r="E27" s="1">
        <v>57.99</v>
      </c>
      <c r="F27" s="12" t="s">
        <v>40</v>
      </c>
      <c r="G27" s="1" t="s">
        <v>31</v>
      </c>
      <c r="H27" s="1">
        <f>5.7+0.02682*10</f>
        <v>5.9682000000000004</v>
      </c>
      <c r="I27" s="1" t="s">
        <v>42</v>
      </c>
      <c r="Q27" t="s">
        <v>32</v>
      </c>
    </row>
    <row r="28" spans="4:17" ht="15.75" thickBot="1" x14ac:dyDescent="0.3"/>
    <row r="29" spans="4:17" ht="15.75" thickBot="1" x14ac:dyDescent="0.3">
      <c r="D29" s="18" t="s">
        <v>6</v>
      </c>
      <c r="E29" s="19" t="s">
        <v>9</v>
      </c>
      <c r="F29" s="19" t="s">
        <v>35</v>
      </c>
      <c r="G29" s="19" t="s">
        <v>14</v>
      </c>
      <c r="H29" s="19" t="s">
        <v>36</v>
      </c>
    </row>
    <row r="30" spans="4:17" x14ac:dyDescent="0.25">
      <c r="D30" s="17">
        <f>340/((K17)/(E27))</f>
        <v>8.3017263157894732</v>
      </c>
      <c r="E30" s="17">
        <f>340/(K17/H41)</f>
        <v>5.3969254849037283</v>
      </c>
      <c r="F30" s="17">
        <f>(340000000)/((16*H23)/(PI()*0.00816^3))</f>
        <v>1.2808817498536369</v>
      </c>
      <c r="G30" s="17">
        <f>(H22/(K17*(1-E24)))</f>
        <v>6.6809966445136375</v>
      </c>
      <c r="H30" s="4">
        <v>14.15</v>
      </c>
    </row>
    <row r="32" spans="4:17" x14ac:dyDescent="0.25">
      <c r="M32" t="s">
        <v>30</v>
      </c>
    </row>
    <row r="33" spans="7:13" x14ac:dyDescent="0.25">
      <c r="H33" t="s">
        <v>27</v>
      </c>
    </row>
    <row r="34" spans="7:13" x14ac:dyDescent="0.25">
      <c r="H34" t="s">
        <v>28</v>
      </c>
    </row>
    <row r="40" spans="7:13" x14ac:dyDescent="0.25">
      <c r="G40" t="s">
        <v>38</v>
      </c>
    </row>
    <row r="41" spans="7:13" x14ac:dyDescent="0.25">
      <c r="G41" t="s">
        <v>37</v>
      </c>
      <c r="H41">
        <f>PI()*0.8*1.5*10</f>
        <v>37.699111843077517</v>
      </c>
    </row>
    <row r="48" spans="7:13" x14ac:dyDescent="0.25">
      <c r="G48" t="s">
        <v>29</v>
      </c>
      <c r="H48">
        <f>1/((0.026/(0.000058*200000000000))+(0.044/(0.0000785*200000000000)))</f>
        <v>198258219.02895713</v>
      </c>
      <c r="M48" t="s">
        <v>33</v>
      </c>
    </row>
    <row r="49" spans="7:13" x14ac:dyDescent="0.25">
      <c r="G49" t="s">
        <v>39</v>
      </c>
      <c r="H49">
        <f>(PI()*0.0189^2*200000000000)/(4*0.05)</f>
        <v>1122208311.78881</v>
      </c>
    </row>
    <row r="52" spans="7:13" x14ac:dyDescent="0.25">
      <c r="M52">
        <f>9500/(4*58)</f>
        <v>40.948275862068968</v>
      </c>
    </row>
    <row r="53" spans="7:13" x14ac:dyDescent="0.25">
      <c r="G53" t="s">
        <v>52</v>
      </c>
    </row>
    <row r="54" spans="7:13" x14ac:dyDescent="0.25">
      <c r="G54" s="13" t="s">
        <v>54</v>
      </c>
      <c r="H54">
        <f>(H57-H22)/2</f>
        <v>178.2942843322835</v>
      </c>
      <c r="I54" t="s">
        <v>56</v>
      </c>
      <c r="J54">
        <f>H27*(H54/(E27*0.00001))</f>
        <v>1834964.5589790212</v>
      </c>
    </row>
    <row r="55" spans="7:13" x14ac:dyDescent="0.25">
      <c r="G55" s="13" t="s">
        <v>53</v>
      </c>
      <c r="H55">
        <f>(H57+H22)/2</f>
        <v>13663.294284332283</v>
      </c>
      <c r="I55" t="s">
        <v>57</v>
      </c>
      <c r="J55">
        <f>H27*(H55/(E27*0.00001))</f>
        <v>140619542.93456101</v>
      </c>
    </row>
    <row r="56" spans="7:13" x14ac:dyDescent="0.25">
      <c r="G56" s="13"/>
      <c r="I56" t="s">
        <v>58</v>
      </c>
      <c r="J56">
        <f>H27*(H22/(E27*0.00001))</f>
        <v>138784578.37558198</v>
      </c>
    </row>
    <row r="57" spans="7:13" x14ac:dyDescent="0.25">
      <c r="G57" s="9" t="s">
        <v>55</v>
      </c>
      <c r="H57">
        <f>H22+K17*E24</f>
        <v>13841.588568664567</v>
      </c>
    </row>
    <row r="58" spans="7:13" x14ac:dyDescent="0.25">
      <c r="G58" s="9" t="s">
        <v>59</v>
      </c>
      <c r="H58">
        <f>5*380000000</f>
        <v>1900000000</v>
      </c>
    </row>
    <row r="59" spans="7:13" x14ac:dyDescent="0.25">
      <c r="G59" s="9" t="s">
        <v>60</v>
      </c>
      <c r="H59" s="14">
        <v>38000000000</v>
      </c>
    </row>
    <row r="60" spans="7:13" x14ac:dyDescent="0.25">
      <c r="I60" t="s">
        <v>61</v>
      </c>
      <c r="J60">
        <f>(H58*(H59-J56))/(H58*(J54-J56)+H59*J55)</f>
        <v>14.151391100124405</v>
      </c>
    </row>
    <row r="93" spans="9:15" x14ac:dyDescent="0.25">
      <c r="I93" s="11"/>
      <c r="J93" s="11"/>
      <c r="K93" s="11"/>
      <c r="L93" s="11"/>
      <c r="M93" s="11"/>
      <c r="N93" s="11"/>
      <c r="O9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Cabrera</dc:creator>
  <cp:lastModifiedBy>Rolando Cabrera</cp:lastModifiedBy>
  <dcterms:created xsi:type="dcterms:W3CDTF">2015-06-05T18:17:20Z</dcterms:created>
  <dcterms:modified xsi:type="dcterms:W3CDTF">2020-06-01T00:01:55Z</dcterms:modified>
</cp:coreProperties>
</file>