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Romai\Documents\predictive_maintenance\"/>
    </mc:Choice>
  </mc:AlternateContent>
  <xr:revisionPtr revIDLastSave="0" documentId="13_ncr:1_{335AC056-5BEB-4C29-BEB9-2EB7FD1844A9}" xr6:coauthVersionLast="46" xr6:coauthVersionMax="46" xr10:uidLastSave="{00000000-0000-0000-0000-000000000000}"/>
  <bookViews>
    <workbookView xWindow="-120" yWindow="-120" windowWidth="29040" windowHeight="14790" xr2:uid="{00000000-000D-0000-FFFF-FFFF00000000}"/>
  </bookViews>
  <sheets>
    <sheet name="Ex1.1" sheetId="1" r:id="rId1"/>
    <sheet name="Ex1.2" sheetId="2" r:id="rId2"/>
    <sheet name="Ex1.3" sheetId="3" r:id="rId3"/>
    <sheet name="Ex2.1" sheetId="4" r:id="rId4"/>
    <sheet name="Ex2.2" sheetId="5" r:id="rId5"/>
    <sheet name="Ex3.1" sheetId="6" r:id="rId6"/>
    <sheet name="Ex3.2" sheetId="7" r:id="rId7"/>
    <sheet name="Ex3.3" sheetId="8" r:id="rId8"/>
    <sheet name="Ex3.4" sheetId="9" r:id="rId9"/>
    <sheet name="Ex3.5" sheetId="10" r:id="rId10"/>
    <sheet name="Ex4.1" sheetId="11" r:id="rId1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9" i="8" l="1"/>
  <c r="B50" i="8"/>
  <c r="B51" i="8"/>
  <c r="B52" i="8"/>
  <c r="B53" i="8"/>
  <c r="B54" i="8"/>
  <c r="B55" i="8"/>
  <c r="B56" i="8"/>
  <c r="B57" i="8"/>
  <c r="B58" i="8"/>
  <c r="B59" i="8"/>
  <c r="B60" i="8"/>
  <c r="B61" i="8"/>
  <c r="B48" i="8"/>
  <c r="B47" i="8"/>
  <c r="B62" i="8" s="1"/>
  <c r="A47" i="8" a="1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Q40" i="8"/>
  <c r="P40" i="8"/>
  <c r="M40" i="8"/>
  <c r="O35" i="8"/>
  <c r="N35" i="8"/>
  <c r="H35" i="8"/>
  <c r="M34" i="8"/>
  <c r="L34" i="8"/>
  <c r="J34" i="8"/>
  <c r="G34" i="8"/>
  <c r="M33" i="8"/>
  <c r="K33" i="8"/>
  <c r="I33" i="8"/>
  <c r="F33" i="8"/>
  <c r="L32" i="8"/>
  <c r="K32" i="8"/>
  <c r="H32" i="8"/>
  <c r="E32" i="8"/>
  <c r="J31" i="8"/>
  <c r="I31" i="8"/>
  <c r="H31" i="8"/>
  <c r="D31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G30" i="8"/>
  <c r="F30" i="8"/>
  <c r="E30" i="8"/>
  <c r="D30" i="8"/>
  <c r="C30" i="8"/>
  <c r="R30" i="8" s="1"/>
  <c r="B30" i="8" a="1"/>
  <c r="B44" i="8" s="1"/>
  <c r="B10" i="8" a="1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88" i="7"/>
  <c r="A81" i="7" a="1"/>
  <c r="A81" i="7"/>
  <c r="A82" i="7"/>
  <c r="A83" i="7"/>
  <c r="A84" i="7"/>
  <c r="A85" i="7"/>
  <c r="A86" i="7"/>
  <c r="A87" i="7"/>
  <c r="J76" i="7"/>
  <c r="J77" i="7"/>
  <c r="J78" i="7"/>
  <c r="I75" i="7"/>
  <c r="H75" i="7"/>
  <c r="F75" i="7"/>
  <c r="J75" i="7" s="1"/>
  <c r="I74" i="7"/>
  <c r="G74" i="7"/>
  <c r="E74" i="7"/>
  <c r="J74" i="7" s="1"/>
  <c r="H73" i="7"/>
  <c r="G73" i="7"/>
  <c r="D73" i="7"/>
  <c r="J73" i="7" s="1"/>
  <c r="F72" i="7"/>
  <c r="E72" i="7"/>
  <c r="D72" i="7"/>
  <c r="C72" i="7"/>
  <c r="C81" i="7" s="1" a="1"/>
  <c r="B72" i="7" a="1"/>
  <c r="B78" i="7" s="1"/>
  <c r="B59" i="7" a="1"/>
  <c r="B59" i="7"/>
  <c r="B60" i="7"/>
  <c r="B61" i="7"/>
  <c r="B62" i="7"/>
  <c r="B63" i="7"/>
  <c r="B64" i="7"/>
  <c r="B65" i="7"/>
  <c r="B43" i="7"/>
  <c r="A35" i="7" a="1"/>
  <c r="A35" i="7"/>
  <c r="A36" i="7"/>
  <c r="A37" i="7"/>
  <c r="A38" i="7"/>
  <c r="A39" i="7"/>
  <c r="A40" i="7"/>
  <c r="A41" i="7"/>
  <c r="A42" i="7"/>
  <c r="K30" i="7"/>
  <c r="K31" i="7"/>
  <c r="K32" i="7"/>
  <c r="J29" i="7"/>
  <c r="G29" i="7"/>
  <c r="K29" i="7" s="1"/>
  <c r="I28" i="7"/>
  <c r="H28" i="7"/>
  <c r="F28" i="7"/>
  <c r="K28" i="7" s="1"/>
  <c r="I27" i="7"/>
  <c r="G27" i="7"/>
  <c r="E27" i="7"/>
  <c r="K27" i="7" s="1"/>
  <c r="H26" i="7"/>
  <c r="G26" i="7"/>
  <c r="D26" i="7"/>
  <c r="K26" i="7" s="1"/>
  <c r="F25" i="7"/>
  <c r="E25" i="7"/>
  <c r="D25" i="7"/>
  <c r="C25" i="7"/>
  <c r="C35" i="7" s="1" a="1"/>
  <c r="B25" i="7" a="1"/>
  <c r="B32" i="7" s="1"/>
  <c r="B11" i="7" a="1"/>
  <c r="B11" i="7"/>
  <c r="B12" i="7"/>
  <c r="B13" i="7"/>
  <c r="B14" i="7"/>
  <c r="B15" i="7"/>
  <c r="B16" i="7"/>
  <c r="B17" i="7"/>
  <c r="B18" i="7"/>
  <c r="B39" i="6"/>
  <c r="J27" i="6"/>
  <c r="J28" i="6"/>
  <c r="J29" i="6"/>
  <c r="I26" i="6"/>
  <c r="H26" i="6"/>
  <c r="F26" i="6"/>
  <c r="J26" i="6" s="1"/>
  <c r="H25" i="6"/>
  <c r="G25" i="6"/>
  <c r="E25" i="6"/>
  <c r="J25" i="6" s="1"/>
  <c r="F23" i="6"/>
  <c r="E23" i="6"/>
  <c r="D23" i="6"/>
  <c r="C23" i="6"/>
  <c r="I24" i="6"/>
  <c r="H24" i="6"/>
  <c r="G24" i="6"/>
  <c r="F24" i="6"/>
  <c r="E24" i="6"/>
  <c r="J24" i="6" s="1"/>
  <c r="F11" i="6"/>
  <c r="G11" i="6"/>
  <c r="H11" i="6"/>
  <c r="I11" i="6"/>
  <c r="E11" i="6"/>
  <c r="I17" i="5"/>
  <c r="I16" i="5"/>
  <c r="I15" i="5"/>
  <c r="I14" i="5"/>
  <c r="F54" i="5"/>
  <c r="F55" i="5"/>
  <c r="F56" i="5"/>
  <c r="F57" i="5"/>
  <c r="F58" i="5"/>
  <c r="F59" i="5"/>
  <c r="F60" i="5"/>
  <c r="F61" i="5"/>
  <c r="F62" i="5"/>
  <c r="F63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14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15" i="5"/>
  <c r="E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14" i="5"/>
  <c r="C54" i="5"/>
  <c r="C55" i="5"/>
  <c r="C56" i="5"/>
  <c r="C57" i="5"/>
  <c r="C58" i="5"/>
  <c r="C59" i="5"/>
  <c r="C60" i="5"/>
  <c r="C61" i="5"/>
  <c r="C62" i="5"/>
  <c r="C63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14" i="5"/>
  <c r="B56" i="5"/>
  <c r="B57" i="5"/>
  <c r="B58" i="5"/>
  <c r="B59" i="5"/>
  <c r="B60" i="5"/>
  <c r="B61" i="5"/>
  <c r="B62" i="5"/>
  <c r="B63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15" i="5"/>
  <c r="B14" i="5"/>
  <c r="C9" i="5"/>
  <c r="C8" i="5"/>
  <c r="I45" i="4"/>
  <c r="I44" i="4"/>
  <c r="B19" i="4"/>
  <c r="B20" i="4"/>
  <c r="B21" i="4" s="1"/>
  <c r="B22" i="4" s="1"/>
  <c r="B23" i="4" s="1"/>
  <c r="B24" i="4" s="1"/>
  <c r="B25" i="4" s="1"/>
  <c r="B26" i="4" s="1"/>
  <c r="I10" i="4"/>
  <c r="I11" i="4"/>
  <c r="E10" i="4"/>
  <c r="E11" i="4" s="1"/>
  <c r="I8" i="4"/>
  <c r="E8" i="4"/>
  <c r="C84" i="3"/>
  <c r="D83" i="3"/>
  <c r="E83" i="3"/>
  <c r="F83" i="3"/>
  <c r="G83" i="3"/>
  <c r="H83" i="3"/>
  <c r="C83" i="3"/>
  <c r="C61" i="1"/>
  <c r="H81" i="3"/>
  <c r="G81" i="3"/>
  <c r="F81" i="3"/>
  <c r="E81" i="3"/>
  <c r="D81" i="3"/>
  <c r="C81" i="3"/>
  <c r="G35" i="3"/>
  <c r="H35" i="3"/>
  <c r="F35" i="3"/>
  <c r="E35" i="3"/>
  <c r="D35" i="3"/>
  <c r="C35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61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62" i="3"/>
  <c r="B61" i="3"/>
  <c r="H51" i="3"/>
  <c r="I51" i="3" s="1"/>
  <c r="J51" i="3" s="1"/>
  <c r="G56" i="3"/>
  <c r="G55" i="3"/>
  <c r="G54" i="3"/>
  <c r="G48" i="3"/>
  <c r="G49" i="3"/>
  <c r="G50" i="3"/>
  <c r="G51" i="3"/>
  <c r="G52" i="3"/>
  <c r="G47" i="3"/>
  <c r="F51" i="3"/>
  <c r="I31" i="1"/>
  <c r="I32" i="1"/>
  <c r="I33" i="1"/>
  <c r="I34" i="1"/>
  <c r="I35" i="1"/>
  <c r="I36" i="1"/>
  <c r="I30" i="1"/>
  <c r="C39" i="3"/>
  <c r="C40" i="3"/>
  <c r="C41" i="3"/>
  <c r="C42" i="3"/>
  <c r="C43" i="3"/>
  <c r="C38" i="3"/>
  <c r="D38" i="3" s="1"/>
  <c r="B42" i="3"/>
  <c r="B51" i="3" s="1"/>
  <c r="B43" i="3"/>
  <c r="B52" i="3" s="1"/>
  <c r="B39" i="3"/>
  <c r="B48" i="3" s="1"/>
  <c r="B40" i="3"/>
  <c r="B49" i="3" s="1"/>
  <c r="B38" i="3"/>
  <c r="B47" i="3" s="1"/>
  <c r="B41" i="3"/>
  <c r="B50" i="3" s="1"/>
  <c r="F36" i="2"/>
  <c r="F35" i="2"/>
  <c r="F31" i="2"/>
  <c r="F32" i="2"/>
  <c r="F33" i="2"/>
  <c r="F34" i="2"/>
  <c r="F30" i="2"/>
  <c r="E31" i="2"/>
  <c r="E32" i="2"/>
  <c r="E33" i="2"/>
  <c r="E34" i="2"/>
  <c r="E30" i="2"/>
  <c r="D31" i="2"/>
  <c r="D32" i="2"/>
  <c r="D33" i="2"/>
  <c r="D34" i="2"/>
  <c r="D30" i="2"/>
  <c r="C38" i="2"/>
  <c r="C36" i="2"/>
  <c r="C31" i="2"/>
  <c r="C32" i="2"/>
  <c r="C33" i="2"/>
  <c r="C34" i="2"/>
  <c r="C30" i="2"/>
  <c r="B31" i="2"/>
  <c r="B32" i="2"/>
  <c r="B33" i="2"/>
  <c r="B34" i="2"/>
  <c r="B30" i="2"/>
  <c r="E24" i="2"/>
  <c r="E25" i="2"/>
  <c r="E26" i="2"/>
  <c r="E27" i="2"/>
  <c r="E23" i="2"/>
  <c r="D25" i="2"/>
  <c r="D26" i="2"/>
  <c r="D27" i="2"/>
  <c r="D24" i="2"/>
  <c r="D23" i="2"/>
  <c r="C24" i="2"/>
  <c r="C25" i="2"/>
  <c r="C26" i="2"/>
  <c r="C27" i="2"/>
  <c r="C23" i="2"/>
  <c r="B27" i="2"/>
  <c r="B26" i="2"/>
  <c r="B25" i="2"/>
  <c r="B24" i="2"/>
  <c r="B23" i="2"/>
  <c r="G20" i="2"/>
  <c r="F20" i="2"/>
  <c r="E20" i="2"/>
  <c r="D20" i="2"/>
  <c r="C20" i="2"/>
  <c r="H38" i="1"/>
  <c r="I58" i="1"/>
  <c r="I17" i="1"/>
  <c r="I60" i="1" s="1"/>
  <c r="C53" i="1"/>
  <c r="C21" i="1"/>
  <c r="C22" i="1"/>
  <c r="C23" i="1"/>
  <c r="C24" i="1"/>
  <c r="C25" i="1"/>
  <c r="C26" i="1"/>
  <c r="C20" i="1"/>
  <c r="D20" i="1" s="1"/>
  <c r="B26" i="1"/>
  <c r="C36" i="1" s="1"/>
  <c r="C13" i="1"/>
  <c r="D13" i="1"/>
  <c r="E13" i="1"/>
  <c r="H13" i="1"/>
  <c r="G13" i="1"/>
  <c r="F13" i="1"/>
  <c r="C47" i="8" l="1" a="1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C81" i="7"/>
  <c r="C82" i="7"/>
  <c r="C83" i="7"/>
  <c r="C84" i="7"/>
  <c r="C85" i="7"/>
  <c r="C86" i="7"/>
  <c r="C87" i="7"/>
  <c r="J72" i="7"/>
  <c r="B72" i="7"/>
  <c r="B73" i="7"/>
  <c r="B74" i="7"/>
  <c r="B75" i="7"/>
  <c r="B76" i="7"/>
  <c r="B77" i="7"/>
  <c r="C35" i="7"/>
  <c r="C36" i="7"/>
  <c r="C37" i="7"/>
  <c r="C38" i="7"/>
  <c r="C39" i="7"/>
  <c r="C40" i="7"/>
  <c r="C41" i="7"/>
  <c r="C42" i="7"/>
  <c r="K25" i="7"/>
  <c r="B25" i="7"/>
  <c r="B26" i="7"/>
  <c r="B27" i="7"/>
  <c r="B28" i="7"/>
  <c r="B29" i="7"/>
  <c r="B30" i="7"/>
  <c r="B31" i="7"/>
  <c r="C32" i="6" a="1"/>
  <c r="C32" i="6"/>
  <c r="C33" i="6"/>
  <c r="C34" i="6"/>
  <c r="C35" i="6"/>
  <c r="C36" i="6"/>
  <c r="C37" i="6"/>
  <c r="C38" i="6"/>
  <c r="J23" i="6"/>
  <c r="B27" i="4"/>
  <c r="D26" i="4"/>
  <c r="C19" i="4"/>
  <c r="C26" i="4"/>
  <c r="C25" i="4"/>
  <c r="C24" i="4"/>
  <c r="C23" i="4"/>
  <c r="C22" i="4"/>
  <c r="C21" i="4"/>
  <c r="C20" i="4"/>
  <c r="D25" i="4"/>
  <c r="D24" i="4"/>
  <c r="D23" i="4"/>
  <c r="D22" i="4"/>
  <c r="D21" i="4"/>
  <c r="D20" i="4"/>
  <c r="D19" i="4"/>
  <c r="E19" i="4" s="1"/>
  <c r="E20" i="4" s="1"/>
  <c r="E21" i="4" s="1"/>
  <c r="E22" i="4" s="1"/>
  <c r="E23" i="4" s="1"/>
  <c r="E24" i="4" s="1"/>
  <c r="E25" i="4" s="1"/>
  <c r="E26" i="4" s="1"/>
  <c r="F52" i="3"/>
  <c r="H52" i="3"/>
  <c r="I52" i="3" s="1"/>
  <c r="J52" i="3" s="1"/>
  <c r="F48" i="3"/>
  <c r="H48" i="3"/>
  <c r="I48" i="3" s="1"/>
  <c r="J48" i="3" s="1"/>
  <c r="F49" i="3"/>
  <c r="H49" i="3"/>
  <c r="I49" i="3" s="1"/>
  <c r="J49" i="3" s="1"/>
  <c r="F47" i="3"/>
  <c r="H47" i="3"/>
  <c r="I47" i="3" s="1"/>
  <c r="J47" i="3" s="1"/>
  <c r="F50" i="3"/>
  <c r="H50" i="3"/>
  <c r="I50" i="3" s="1"/>
  <c r="J50" i="3" s="1"/>
  <c r="B53" i="3"/>
  <c r="E38" i="3"/>
  <c r="D39" i="3"/>
  <c r="C17" i="1"/>
  <c r="D17" i="1"/>
  <c r="E17" i="1"/>
  <c r="F17" i="1"/>
  <c r="G17" i="1"/>
  <c r="H17" i="1"/>
  <c r="C58" i="1"/>
  <c r="H58" i="1"/>
  <c r="G58" i="1"/>
  <c r="F58" i="1"/>
  <c r="E58" i="1"/>
  <c r="D58" i="1"/>
  <c r="D51" i="1"/>
  <c r="E51" i="1" s="1"/>
  <c r="B51" i="1"/>
  <c r="E20" i="1"/>
  <c r="D21" i="1"/>
  <c r="B5" i="1"/>
  <c r="B6" i="1" s="1"/>
  <c r="B7" i="1" s="1"/>
  <c r="B8" i="1" s="1"/>
  <c r="B9" i="1" s="1"/>
  <c r="C47" i="8" l="1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88" i="7"/>
  <c r="D81" i="7" a="1"/>
  <c r="C43" i="7"/>
  <c r="D35" i="7" a="1"/>
  <c r="C39" i="6"/>
  <c r="D32" i="6" a="1"/>
  <c r="F20" i="4"/>
  <c r="F21" i="4"/>
  <c r="F22" i="4"/>
  <c r="F23" i="4"/>
  <c r="F24" i="4"/>
  <c r="F25" i="4"/>
  <c r="F26" i="4"/>
  <c r="F19" i="4"/>
  <c r="B28" i="4"/>
  <c r="D27" i="4"/>
  <c r="E27" i="4" s="1"/>
  <c r="C27" i="4"/>
  <c r="J54" i="3"/>
  <c r="J53" i="3"/>
  <c r="E39" i="3"/>
  <c r="D40" i="3"/>
  <c r="C45" i="1"/>
  <c r="H30" i="1"/>
  <c r="H60" i="1"/>
  <c r="G60" i="1"/>
  <c r="F60" i="1"/>
  <c r="E60" i="1"/>
  <c r="D60" i="1"/>
  <c r="C60" i="1"/>
  <c r="B25" i="1"/>
  <c r="B22" i="1"/>
  <c r="B21" i="1"/>
  <c r="B23" i="1"/>
  <c r="B20" i="1"/>
  <c r="J30" i="1" s="1"/>
  <c r="B24" i="1"/>
  <c r="E21" i="1"/>
  <c r="D22" i="1"/>
  <c r="D47" i="8" l="1" a="1"/>
  <c r="C62" i="8"/>
  <c r="D81" i="7"/>
  <c r="D82" i="7"/>
  <c r="D83" i="7"/>
  <c r="D84" i="7"/>
  <c r="D85" i="7"/>
  <c r="D86" i="7"/>
  <c r="D87" i="7"/>
  <c r="D35" i="7"/>
  <c r="D36" i="7"/>
  <c r="D37" i="7"/>
  <c r="D38" i="7"/>
  <c r="D39" i="7"/>
  <c r="D40" i="7"/>
  <c r="D41" i="7"/>
  <c r="D42" i="7"/>
  <c r="D32" i="6"/>
  <c r="D33" i="6"/>
  <c r="D34" i="6"/>
  <c r="D35" i="6"/>
  <c r="D36" i="6"/>
  <c r="D37" i="6"/>
  <c r="D38" i="6"/>
  <c r="F27" i="4"/>
  <c r="B29" i="4"/>
  <c r="D28" i="4"/>
  <c r="E28" i="4" s="1"/>
  <c r="C28" i="4"/>
  <c r="E40" i="3"/>
  <c r="D41" i="3"/>
  <c r="C46" i="1"/>
  <c r="H31" i="1"/>
  <c r="J31" i="1"/>
  <c r="C34" i="1"/>
  <c r="D49" i="1"/>
  <c r="E49" i="1" s="1"/>
  <c r="B49" i="1"/>
  <c r="C30" i="1"/>
  <c r="D45" i="1"/>
  <c r="E45" i="1" s="1"/>
  <c r="F45" i="1" s="1"/>
  <c r="B45" i="1"/>
  <c r="C33" i="1"/>
  <c r="D48" i="1"/>
  <c r="E48" i="1" s="1"/>
  <c r="B48" i="1"/>
  <c r="C31" i="1"/>
  <c r="D46" i="1"/>
  <c r="E46" i="1" s="1"/>
  <c r="F46" i="1" s="1"/>
  <c r="B46" i="1"/>
  <c r="C32" i="1"/>
  <c r="D47" i="1"/>
  <c r="E47" i="1" s="1"/>
  <c r="B47" i="1"/>
  <c r="C35" i="1"/>
  <c r="D50" i="1"/>
  <c r="E50" i="1" s="1"/>
  <c r="B50" i="1"/>
  <c r="E22" i="1"/>
  <c r="D23" i="1"/>
  <c r="D47" i="8" l="1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88" i="7"/>
  <c r="E81" i="7" a="1"/>
  <c r="D43" i="7"/>
  <c r="E35" i="7" a="1"/>
  <c r="D39" i="6"/>
  <c r="E32" i="6" a="1"/>
  <c r="F28" i="4"/>
  <c r="B30" i="4"/>
  <c r="D29" i="4"/>
  <c r="E29" i="4" s="1"/>
  <c r="C29" i="4"/>
  <c r="E41" i="3"/>
  <c r="D42" i="3"/>
  <c r="C47" i="1"/>
  <c r="F47" i="1" s="1"/>
  <c r="H32" i="1"/>
  <c r="J32" i="1"/>
  <c r="C37" i="1"/>
  <c r="E23" i="1"/>
  <c r="D24" i="1"/>
  <c r="E47" i="8" l="1" a="1"/>
  <c r="D62" i="8"/>
  <c r="E81" i="7"/>
  <c r="E82" i="7"/>
  <c r="E83" i="7"/>
  <c r="E84" i="7"/>
  <c r="E85" i="7"/>
  <c r="E86" i="7"/>
  <c r="E87" i="7"/>
  <c r="E35" i="7"/>
  <c r="E36" i="7"/>
  <c r="E37" i="7"/>
  <c r="E38" i="7"/>
  <c r="E39" i="7"/>
  <c r="E40" i="7"/>
  <c r="E41" i="7"/>
  <c r="E42" i="7"/>
  <c r="E32" i="6"/>
  <c r="E33" i="6"/>
  <c r="E34" i="6"/>
  <c r="E35" i="6"/>
  <c r="E36" i="6"/>
  <c r="E37" i="6"/>
  <c r="E38" i="6"/>
  <c r="F29" i="4"/>
  <c r="B31" i="4"/>
  <c r="D30" i="4"/>
  <c r="E30" i="4" s="1"/>
  <c r="C30" i="4"/>
  <c r="E42" i="3"/>
  <c r="D43" i="3"/>
  <c r="C48" i="1"/>
  <c r="F48" i="1" s="1"/>
  <c r="H33" i="1"/>
  <c r="J33" i="1"/>
  <c r="E24" i="1"/>
  <c r="D25" i="1"/>
  <c r="E47" i="8" l="1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88" i="7"/>
  <c r="F81" i="7" a="1"/>
  <c r="E43" i="7"/>
  <c r="F35" i="7" a="1"/>
  <c r="E39" i="6"/>
  <c r="F32" i="6" a="1"/>
  <c r="F30" i="4"/>
  <c r="B32" i="4"/>
  <c r="D31" i="4"/>
  <c r="E31" i="4" s="1"/>
  <c r="C31" i="4"/>
  <c r="B54" i="3"/>
  <c r="B55" i="3" s="1"/>
  <c r="B56" i="3" s="1"/>
  <c r="B57" i="3" s="1"/>
  <c r="E43" i="3"/>
  <c r="C49" i="1"/>
  <c r="F49" i="1" s="1"/>
  <c r="H34" i="1"/>
  <c r="J34" i="1"/>
  <c r="E25" i="1"/>
  <c r="D26" i="1"/>
  <c r="F47" i="8" l="1" a="1"/>
  <c r="E62" i="8"/>
  <c r="F81" i="7"/>
  <c r="F82" i="7"/>
  <c r="F83" i="7"/>
  <c r="F84" i="7"/>
  <c r="F85" i="7"/>
  <c r="F86" i="7"/>
  <c r="F87" i="7"/>
  <c r="F35" i="7"/>
  <c r="F36" i="7"/>
  <c r="F37" i="7"/>
  <c r="F38" i="7"/>
  <c r="F39" i="7"/>
  <c r="F40" i="7"/>
  <c r="F41" i="7"/>
  <c r="F42" i="7"/>
  <c r="F32" i="6"/>
  <c r="F33" i="6"/>
  <c r="F34" i="6"/>
  <c r="F35" i="6"/>
  <c r="F36" i="6"/>
  <c r="F37" i="6"/>
  <c r="F38" i="6"/>
  <c r="F31" i="4"/>
  <c r="B33" i="4"/>
  <c r="D32" i="4"/>
  <c r="E32" i="4" s="1"/>
  <c r="C32" i="4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61" i="3"/>
  <c r="C48" i="3"/>
  <c r="D48" i="3" s="1"/>
  <c r="C49" i="3"/>
  <c r="D49" i="3" s="1"/>
  <c r="C50" i="3"/>
  <c r="D50" i="3" s="1"/>
  <c r="C51" i="3"/>
  <c r="D51" i="3" s="1"/>
  <c r="C52" i="3"/>
  <c r="D52" i="3" s="1"/>
  <c r="C47" i="3"/>
  <c r="D47" i="3" s="1"/>
  <c r="C50" i="1"/>
  <c r="F50" i="1" s="1"/>
  <c r="F53" i="1" s="1"/>
  <c r="H35" i="1"/>
  <c r="J35" i="1"/>
  <c r="F52" i="1"/>
  <c r="C38" i="1"/>
  <c r="C39" i="1" s="1"/>
  <c r="C40" i="1" s="1"/>
  <c r="C41" i="1" s="1"/>
  <c r="E26" i="1"/>
  <c r="F47" i="8" l="1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88" i="7"/>
  <c r="G81" i="7" a="1"/>
  <c r="F43" i="7"/>
  <c r="G35" i="7" a="1"/>
  <c r="F39" i="6"/>
  <c r="J41" i="6"/>
  <c r="F32" i="4"/>
  <c r="B34" i="4"/>
  <c r="D33" i="4"/>
  <c r="E33" i="4" s="1"/>
  <c r="C33" i="4"/>
  <c r="D54" i="3"/>
  <c r="D53" i="3"/>
  <c r="C51" i="1"/>
  <c r="F51" i="1" s="1"/>
  <c r="H36" i="1"/>
  <c r="J36" i="1"/>
  <c r="J38" i="1" s="1"/>
  <c r="J37" i="1"/>
  <c r="D31" i="1"/>
  <c r="E31" i="1" s="1"/>
  <c r="D32" i="1"/>
  <c r="E32" i="1" s="1"/>
  <c r="D33" i="1"/>
  <c r="E33" i="1" s="1"/>
  <c r="D34" i="1"/>
  <c r="E34" i="1" s="1"/>
  <c r="D35" i="1"/>
  <c r="E35" i="1" s="1"/>
  <c r="D36" i="1"/>
  <c r="E36" i="1" s="1"/>
  <c r="D30" i="1"/>
  <c r="E30" i="1" s="1"/>
  <c r="R64" i="8" l="1"/>
  <c r="F62" i="8"/>
  <c r="G81" i="7"/>
  <c r="G82" i="7"/>
  <c r="G83" i="7"/>
  <c r="G84" i="7"/>
  <c r="G85" i="7"/>
  <c r="G86" i="7"/>
  <c r="G87" i="7"/>
  <c r="G35" i="7"/>
  <c r="G36" i="7"/>
  <c r="G37" i="7"/>
  <c r="G38" i="7"/>
  <c r="G39" i="7"/>
  <c r="G40" i="7"/>
  <c r="G41" i="7"/>
  <c r="G42" i="7"/>
  <c r="F33" i="4"/>
  <c r="B35" i="4"/>
  <c r="D34" i="4"/>
  <c r="E34" i="4" s="1"/>
  <c r="C34" i="4"/>
  <c r="E38" i="1"/>
  <c r="E37" i="1"/>
  <c r="G88" i="7" l="1"/>
  <c r="H81" i="7" a="1"/>
  <c r="G43" i="7"/>
  <c r="H35" i="7" a="1"/>
  <c r="F34" i="4"/>
  <c r="B36" i="4"/>
  <c r="D35" i="4"/>
  <c r="E35" i="4" s="1"/>
  <c r="C35" i="4"/>
  <c r="H81" i="7" l="1"/>
  <c r="H82" i="7"/>
  <c r="H83" i="7"/>
  <c r="H84" i="7"/>
  <c r="H85" i="7"/>
  <c r="H86" i="7"/>
  <c r="H87" i="7"/>
  <c r="H35" i="7"/>
  <c r="H36" i="7"/>
  <c r="H37" i="7"/>
  <c r="H38" i="7"/>
  <c r="H39" i="7"/>
  <c r="H40" i="7"/>
  <c r="H41" i="7"/>
  <c r="H42" i="7"/>
  <c r="F35" i="4"/>
  <c r="B37" i="4"/>
  <c r="D36" i="4"/>
  <c r="E36" i="4" s="1"/>
  <c r="C36" i="4"/>
  <c r="L90" i="7" l="1"/>
  <c r="H88" i="7"/>
  <c r="N45" i="7"/>
  <c r="H43" i="7"/>
  <c r="F36" i="4"/>
  <c r="B38" i="4"/>
  <c r="D37" i="4"/>
  <c r="E37" i="4" s="1"/>
  <c r="C37" i="4"/>
  <c r="F37" i="4" l="1"/>
  <c r="B39" i="4"/>
  <c r="D38" i="4"/>
  <c r="E38" i="4" s="1"/>
  <c r="C38" i="4"/>
  <c r="F38" i="4" l="1"/>
  <c r="B40" i="4"/>
  <c r="D39" i="4"/>
  <c r="E39" i="4" s="1"/>
  <c r="C39" i="4"/>
  <c r="F39" i="4" l="1"/>
  <c r="B41" i="4"/>
  <c r="D40" i="4"/>
  <c r="E40" i="4" s="1"/>
  <c r="C40" i="4"/>
  <c r="F40" i="4" l="1"/>
  <c r="B42" i="4"/>
  <c r="D41" i="4"/>
  <c r="E41" i="4" s="1"/>
  <c r="C41" i="4"/>
  <c r="F41" i="4" l="1"/>
  <c r="B43" i="4"/>
  <c r="D42" i="4"/>
  <c r="E42" i="4" s="1"/>
  <c r="C42" i="4"/>
  <c r="F42" i="4" l="1"/>
  <c r="B44" i="4"/>
  <c r="D43" i="4"/>
  <c r="E43" i="4" s="1"/>
  <c r="C43" i="4"/>
  <c r="F43" i="4" l="1"/>
  <c r="D44" i="4"/>
  <c r="E44" i="4" s="1"/>
  <c r="C44" i="4"/>
  <c r="B45" i="4"/>
  <c r="F44" i="4" l="1"/>
  <c r="D45" i="4"/>
  <c r="E45" i="4" s="1"/>
  <c r="C45" i="4"/>
  <c r="B46" i="4"/>
  <c r="F45" i="4" l="1"/>
  <c r="D46" i="4"/>
  <c r="E46" i="4" s="1"/>
  <c r="C46" i="4"/>
  <c r="B47" i="4"/>
  <c r="F46" i="4" l="1"/>
  <c r="D47" i="4"/>
  <c r="E47" i="4" s="1"/>
  <c r="C47" i="4"/>
  <c r="B48" i="4"/>
  <c r="F47" i="4" l="1"/>
  <c r="D48" i="4"/>
  <c r="E48" i="4" s="1"/>
  <c r="C48" i="4"/>
  <c r="B49" i="4"/>
  <c r="F48" i="4" l="1"/>
  <c r="D49" i="4"/>
  <c r="E49" i="4" s="1"/>
  <c r="C49" i="4"/>
  <c r="B50" i="4"/>
  <c r="F49" i="4" l="1"/>
  <c r="D50" i="4"/>
  <c r="E50" i="4" s="1"/>
  <c r="C50" i="4"/>
  <c r="B51" i="4"/>
  <c r="F50" i="4" l="1"/>
  <c r="D51" i="4"/>
  <c r="E51" i="4" s="1"/>
  <c r="C51" i="4"/>
  <c r="B52" i="4"/>
  <c r="F51" i="4" l="1"/>
  <c r="D52" i="4"/>
  <c r="E52" i="4" s="1"/>
  <c r="C52" i="4"/>
  <c r="B53" i="4"/>
  <c r="F52" i="4" l="1"/>
  <c r="D53" i="4"/>
  <c r="E53" i="4" s="1"/>
  <c r="C53" i="4"/>
  <c r="B54" i="4"/>
  <c r="F53" i="4" l="1"/>
  <c r="D54" i="4"/>
  <c r="E54" i="4" s="1"/>
  <c r="C54" i="4"/>
  <c r="B55" i="4"/>
  <c r="F54" i="4" l="1"/>
  <c r="D55" i="4"/>
  <c r="E55" i="4" s="1"/>
  <c r="C55" i="4"/>
  <c r="B56" i="4"/>
  <c r="F55" i="4" l="1"/>
  <c r="D56" i="4"/>
  <c r="E56" i="4" s="1"/>
  <c r="C56" i="4"/>
  <c r="B57" i="4"/>
  <c r="F56" i="4" l="1"/>
  <c r="D57" i="4"/>
  <c r="E57" i="4" s="1"/>
  <c r="C57" i="4"/>
  <c r="B58" i="4"/>
  <c r="F57" i="4" l="1"/>
  <c r="D58" i="4"/>
  <c r="E58" i="4" s="1"/>
  <c r="C58" i="4"/>
  <c r="B59" i="4"/>
  <c r="F58" i="4" l="1"/>
  <c r="D59" i="4"/>
  <c r="E59" i="4" s="1"/>
  <c r="C59" i="4"/>
  <c r="B60" i="4"/>
  <c r="F59" i="4" l="1"/>
  <c r="D60" i="4"/>
  <c r="E60" i="4" s="1"/>
  <c r="C60" i="4"/>
  <c r="B61" i="4"/>
  <c r="F60" i="4" l="1"/>
  <c r="D61" i="4"/>
  <c r="E61" i="4" s="1"/>
  <c r="C61" i="4"/>
  <c r="B62" i="4"/>
  <c r="F61" i="4" l="1"/>
  <c r="D62" i="4"/>
  <c r="E62" i="4" s="1"/>
  <c r="C62" i="4"/>
  <c r="B63" i="4"/>
  <c r="F62" i="4" l="1"/>
  <c r="D63" i="4"/>
  <c r="E63" i="4" s="1"/>
  <c r="C63" i="4"/>
  <c r="B64" i="4"/>
  <c r="F63" i="4" l="1"/>
  <c r="D64" i="4"/>
  <c r="E64" i="4" s="1"/>
  <c r="C64" i="4"/>
  <c r="B65" i="4"/>
  <c r="F64" i="4" l="1"/>
  <c r="D65" i="4"/>
  <c r="E65" i="4" s="1"/>
  <c r="C65" i="4"/>
  <c r="B66" i="4"/>
  <c r="F65" i="4" l="1"/>
  <c r="D66" i="4"/>
  <c r="E66" i="4" s="1"/>
  <c r="C66" i="4"/>
  <c r="B67" i="4"/>
  <c r="F66" i="4" l="1"/>
  <c r="D67" i="4"/>
  <c r="E67" i="4" s="1"/>
  <c r="C67" i="4"/>
  <c r="B68" i="4"/>
  <c r="F67" i="4" l="1"/>
  <c r="D68" i="4"/>
  <c r="E68" i="4" s="1"/>
  <c r="C68" i="4"/>
  <c r="F68" i="4" l="1"/>
  <c r="I42" i="4" l="1"/>
</calcChain>
</file>

<file path=xl/sharedStrings.xml><?xml version="1.0" encoding="utf-8"?>
<sst xmlns="http://schemas.openxmlformats.org/spreadsheetml/2006/main" count="352" uniqueCount="147">
  <si>
    <t>Measured tire thickness (new to 7mm)</t>
  </si>
  <si>
    <t>km</t>
  </si>
  <si>
    <t>Tire a</t>
  </si>
  <si>
    <t>Tire b</t>
  </si>
  <si>
    <t>Tire c</t>
  </si>
  <si>
    <t>Tire d</t>
  </si>
  <si>
    <t>Tire e</t>
  </si>
  <si>
    <t>Tire f</t>
  </si>
  <si>
    <t>Tire g</t>
  </si>
  <si>
    <t>t (h)</t>
  </si>
  <si>
    <t>Comp. 1</t>
  </si>
  <si>
    <t>Comp. 2</t>
  </si>
  <si>
    <t>Comp. 3</t>
  </si>
  <si>
    <t>Comp. 4</t>
  </si>
  <si>
    <t>Comp. 5</t>
  </si>
  <si>
    <t>Thickness measures</t>
  </si>
  <si>
    <r>
      <t>B</t>
    </r>
    <r>
      <rPr>
        <b/>
        <vertAlign val="subscript"/>
        <sz val="12"/>
        <color rgb="FF000000"/>
        <rFont val="Arial"/>
        <family val="2"/>
      </rPr>
      <t>1</t>
    </r>
  </si>
  <si>
    <r>
      <t>B</t>
    </r>
    <r>
      <rPr>
        <b/>
        <vertAlign val="subscript"/>
        <sz val="12"/>
        <color rgb="FF000000"/>
        <rFont val="Arial"/>
        <family val="2"/>
      </rPr>
      <t>2</t>
    </r>
  </si>
  <si>
    <r>
      <t>B</t>
    </r>
    <r>
      <rPr>
        <b/>
        <vertAlign val="subscript"/>
        <sz val="12"/>
        <color rgb="FF000000"/>
        <rFont val="Arial"/>
        <family val="2"/>
      </rPr>
      <t>3</t>
    </r>
  </si>
  <si>
    <r>
      <t>B</t>
    </r>
    <r>
      <rPr>
        <b/>
        <vertAlign val="subscript"/>
        <sz val="12"/>
        <color rgb="FF000000"/>
        <rFont val="Arial"/>
        <family val="2"/>
      </rPr>
      <t>4</t>
    </r>
  </si>
  <si>
    <r>
      <t>B</t>
    </r>
    <r>
      <rPr>
        <b/>
        <vertAlign val="subscript"/>
        <sz val="12"/>
        <color rgb="FF000000"/>
        <rFont val="Arial"/>
        <family val="2"/>
      </rPr>
      <t>5</t>
    </r>
  </si>
  <si>
    <r>
      <t>B</t>
    </r>
    <r>
      <rPr>
        <b/>
        <vertAlign val="subscript"/>
        <sz val="12"/>
        <color rgb="FF000000"/>
        <rFont val="Arial"/>
        <family val="2"/>
      </rPr>
      <t>6</t>
    </r>
  </si>
  <si>
    <t>Thickness</t>
  </si>
  <si>
    <t>Thickness (mm)</t>
  </si>
  <si>
    <t>Km Failure</t>
  </si>
  <si>
    <t>Km</t>
  </si>
  <si>
    <t>Failures</t>
  </si>
  <si>
    <t>CF</t>
  </si>
  <si>
    <t>FREX</t>
  </si>
  <si>
    <t>Systems</t>
  </si>
  <si>
    <t>Uptime</t>
  </si>
  <si>
    <t>T</t>
  </si>
  <si>
    <t>λ=</t>
  </si>
  <si>
    <t>MTBF=</t>
  </si>
  <si>
    <t>Residual UT=</t>
  </si>
  <si>
    <t>Total UT=</t>
  </si>
  <si>
    <t>Cumulative UT=</t>
  </si>
  <si>
    <t>Moy=</t>
  </si>
  <si>
    <t>Std=</t>
  </si>
  <si>
    <t>Rrex</t>
  </si>
  <si>
    <t>Fexp1</t>
  </si>
  <si>
    <t>Fexp2</t>
  </si>
  <si>
    <t>Weibull lifetime</t>
  </si>
  <si>
    <t>Exponential lifetime with uptime</t>
  </si>
  <si>
    <t>ln(km)</t>
  </si>
  <si>
    <t>Yrex</t>
  </si>
  <si>
    <t>Fw</t>
  </si>
  <si>
    <t>Yw</t>
  </si>
  <si>
    <t>β=</t>
  </si>
  <si>
    <t>α=</t>
  </si>
  <si>
    <t>A=</t>
  </si>
  <si>
    <t>Average</t>
  </si>
  <si>
    <t>&gt;&gt; KO</t>
  </si>
  <si>
    <t>&gt;&gt; OK</t>
  </si>
  <si>
    <t>Exponential lifetime with Rrex</t>
  </si>
  <si>
    <t>###########</t>
  </si>
  <si>
    <t>Temp</t>
  </si>
  <si>
    <t>t Failure</t>
  </si>
  <si>
    <t>t</t>
  </si>
  <si>
    <t>ln(t)</t>
  </si>
  <si>
    <t>t (years)</t>
  </si>
  <si>
    <t>Exp</t>
  </si>
  <si>
    <t>Weibull</t>
  </si>
  <si>
    <t>Reliability R(t)</t>
  </si>
  <si>
    <t>t Alarm</t>
  </si>
  <si>
    <t>Residual t</t>
  </si>
  <si>
    <t>Residual km</t>
  </si>
  <si>
    <t>System 1</t>
  </si>
  <si>
    <t>System 2</t>
  </si>
  <si>
    <t>cp</t>
  </si>
  <si>
    <t>P</t>
  </si>
  <si>
    <t>α</t>
  </si>
  <si>
    <t>β</t>
  </si>
  <si>
    <t>r = P / cp</t>
  </si>
  <si>
    <t>r=</t>
  </si>
  <si>
    <t>x=</t>
  </si>
  <si>
    <t>T=</t>
  </si>
  <si>
    <t>T = x  * α</t>
  </si>
  <si>
    <t>x = chart</t>
  </si>
  <si>
    <t>Graphical method s1, s2</t>
  </si>
  <si>
    <t>Analytical method s2</t>
  </si>
  <si>
    <t>dt=</t>
  </si>
  <si>
    <t>T(month)=</t>
  </si>
  <si>
    <t>1=</t>
  </si>
  <si>
    <t>2=</t>
  </si>
  <si>
    <t xml:space="preserve">3= </t>
  </si>
  <si>
    <t>4=</t>
  </si>
  <si>
    <t>3=</t>
  </si>
  <si>
    <t>x=idt</t>
  </si>
  <si>
    <t>x=i*dt</t>
  </si>
  <si>
    <t>MINc2/c1=</t>
  </si>
  <si>
    <t>&lt; 1 &gt;&gt; OK</t>
  </si>
  <si>
    <t>&lt; 1 =&gt; OK</t>
  </si>
  <si>
    <t>4=c2(T)/c1</t>
  </si>
  <si>
    <t>cp=</t>
  </si>
  <si>
    <t>P=</t>
  </si>
  <si>
    <t>Minc2/c1=</t>
  </si>
  <si>
    <t>a</t>
  </si>
  <si>
    <t>b</t>
  </si>
  <si>
    <t>Q=</t>
  </si>
  <si>
    <t>No failure</t>
  </si>
  <si>
    <t>1-λ1-λ2-λ3</t>
  </si>
  <si>
    <t>λ1</t>
  </si>
  <si>
    <t>λ2</t>
  </si>
  <si>
    <t>λ3</t>
  </si>
  <si>
    <t>1-λ1-λ3</t>
  </si>
  <si>
    <t>1-λ2-λ1</t>
  </si>
  <si>
    <t>λ1=</t>
  </si>
  <si>
    <t>λ2=</t>
  </si>
  <si>
    <t>λ3=</t>
  </si>
  <si>
    <t>S0=</t>
  </si>
  <si>
    <t>S1=QT*S0</t>
  </si>
  <si>
    <t>S2=QT*S1</t>
  </si>
  <si>
    <t>S3=QT*S2</t>
  </si>
  <si>
    <t>S4=QT*S3</t>
  </si>
  <si>
    <t xml:space="preserve">R(t=4) = P(S4=No failure OR S4=2 OR S4=3) = P(S4=No failure) + P(S4=2) + P(S4=3) = </t>
  </si>
  <si>
    <t>Total=</t>
  </si>
  <si>
    <t>No failures</t>
  </si>
  <si>
    <t>1-λ2-λ3</t>
  </si>
  <si>
    <t>1-λ1-λ2</t>
  </si>
  <si>
    <t>1-λ3</t>
  </si>
  <si>
    <t>S5=QT*S4</t>
  </si>
  <si>
    <t>S6=QT*S5</t>
  </si>
  <si>
    <t xml:space="preserve">R(t=6) = P(S6=No failure OR S6=1 OR S6=2 OR S6=3 OR S6=12) = P(S6=No failure) + P(S6=1) + P(S6=2) + P(S6=3) + P(S6=12) = </t>
  </si>
  <si>
    <t xml:space="preserve">R(t=6) = P(S6=No failure OR S6=1 OR S6=2 OR S6=3) = P(S6=No failure) + P(S6=1) + P(S6=2) + P(S6=3) = </t>
  </si>
  <si>
    <t>1|</t>
  </si>
  <si>
    <t>1|1</t>
  </si>
  <si>
    <t>2|</t>
  </si>
  <si>
    <t>|1</t>
  </si>
  <si>
    <t>|2</t>
  </si>
  <si>
    <t>12|</t>
  </si>
  <si>
    <t>1|2</t>
  </si>
  <si>
    <t>2|1</t>
  </si>
  <si>
    <t>2|2</t>
  </si>
  <si>
    <t>|12</t>
  </si>
  <si>
    <t>12|1</t>
  </si>
  <si>
    <t>12|2</t>
  </si>
  <si>
    <t>1|12</t>
  </si>
  <si>
    <t>2|12</t>
  </si>
  <si>
    <t>1-2λ1-2λ2</t>
  </si>
  <si>
    <t>1-λ1-2λ2</t>
  </si>
  <si>
    <t>1-2λ1-λ2</t>
  </si>
  <si>
    <t>No failure|</t>
  </si>
  <si>
    <t xml:space="preserve">R(t=4) = P(S4=No failure| OR S4=1| OR S4=2| OR S4=|1 OR S4=|2 OR S4=12| OR S4=|12) = P(S4=No failure|) + P(S4=1|) + P(S4=2|) + P(S4=|1) + P(S4=|2) + P(S4=12|) + P(S4=|12) = </t>
  </si>
  <si>
    <t>Markov Chain</t>
  </si>
  <si>
    <t>Dynamic Bayesian Network</t>
  </si>
  <si>
    <t>correction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</si>
</sst>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sz val="12"/>
      <color theme="1"/>
      <name val="Arial"/>
      <family val="2"/>
    </font>
    <font>
      <b/>
      <vertAlign val="subscript"/>
      <sz val="12"/>
      <color rgb="FF000000"/>
      <name val="Arial"/>
      <family val="2"/>
    </font>
    <font>
      <b/>
      <sz val="12"/>
      <color rgb="FFFF0000"/>
      <name val="Arial"/>
      <family val="2"/>
    </font>
    <font>
      <sz val="12"/>
      <name val="Arial"/>
      <family val="2"/>
    </font>
    <font>
      <b/>
      <sz val="12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4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</borders>
  <cellStyleXfs count="1">
    <xf numFmtId="0" fontId="0" fillId="0" borderId="0"/>
  </cellStyleXfs>
  <cellXfs count="135">
    <xf numFmtId="0" fontId="0" fillId="0" borderId="0" xfId="0"/>
    <xf numFmtId="0" fontId="1" fillId="0" borderId="0" xfId="0" applyFont="1" applyAlignment="1">
      <alignment horizontal="center" vertical="center"/>
    </xf>
    <xf numFmtId="0" fontId="3" fillId="0" borderId="0" xfId="0" applyFont="1"/>
    <xf numFmtId="0" fontId="1" fillId="0" borderId="1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2" fontId="1" fillId="0" borderId="24" xfId="0" applyNumberFormat="1" applyFont="1" applyBorder="1" applyAlignment="1">
      <alignment horizontal="center" vertical="center"/>
    </xf>
    <xf numFmtId="2" fontId="1" fillId="0" borderId="3" xfId="0" applyNumberFormat="1" applyFont="1" applyBorder="1" applyAlignment="1">
      <alignment horizontal="center" vertical="center"/>
    </xf>
    <xf numFmtId="2" fontId="1" fillId="0" borderId="4" xfId="0" applyNumberFormat="1" applyFont="1" applyBorder="1" applyAlignment="1">
      <alignment horizontal="center" vertical="center"/>
    </xf>
    <xf numFmtId="2" fontId="1" fillId="0" borderId="19" xfId="0" applyNumberFormat="1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2" fontId="1" fillId="0" borderId="6" xfId="0" applyNumberFormat="1" applyFont="1" applyBorder="1" applyAlignment="1">
      <alignment horizontal="center" vertical="center"/>
    </xf>
    <xf numFmtId="2" fontId="1" fillId="0" borderId="8" xfId="0" applyNumberFormat="1" applyFont="1" applyBorder="1" applyAlignment="1">
      <alignment horizontal="center" vertical="center"/>
    </xf>
    <xf numFmtId="0" fontId="3" fillId="0" borderId="1" xfId="0" applyFont="1" applyBorder="1"/>
    <xf numFmtId="0" fontId="3" fillId="0" borderId="26" xfId="0" applyFont="1" applyBorder="1"/>
    <xf numFmtId="0" fontId="3" fillId="0" borderId="3" xfId="0" applyFont="1" applyBorder="1"/>
    <xf numFmtId="0" fontId="3" fillId="0" borderId="3" xfId="0" applyNumberFormat="1" applyFont="1" applyBorder="1"/>
    <xf numFmtId="0" fontId="3" fillId="0" borderId="4" xfId="0" applyFont="1" applyBorder="1"/>
    <xf numFmtId="0" fontId="3" fillId="0" borderId="7" xfId="0" applyFont="1" applyBorder="1"/>
    <xf numFmtId="0" fontId="3" fillId="0" borderId="8" xfId="0" applyFont="1" applyBorder="1"/>
    <xf numFmtId="0" fontId="3" fillId="0" borderId="9" xfId="0" applyFont="1" applyBorder="1"/>
    <xf numFmtId="0" fontId="3" fillId="0" borderId="24" xfId="0" applyFont="1" applyBorder="1"/>
    <xf numFmtId="0" fontId="3" fillId="0" borderId="27" xfId="0" applyFont="1" applyBorder="1"/>
    <xf numFmtId="0" fontId="3" fillId="0" borderId="2" xfId="0" applyFont="1" applyBorder="1"/>
    <xf numFmtId="0" fontId="3" fillId="0" borderId="21" xfId="0" applyFont="1" applyBorder="1"/>
    <xf numFmtId="0" fontId="3" fillId="0" borderId="28" xfId="0" applyFont="1" applyBorder="1"/>
    <xf numFmtId="0" fontId="3" fillId="0" borderId="29" xfId="0" applyFont="1" applyBorder="1"/>
    <xf numFmtId="0" fontId="3" fillId="0" borderId="30" xfId="0" applyFont="1" applyBorder="1"/>
    <xf numFmtId="0" fontId="3" fillId="0" borderId="25" xfId="0" applyFont="1" applyBorder="1"/>
    <xf numFmtId="0" fontId="3" fillId="0" borderId="10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31" xfId="0" applyFont="1" applyBorder="1"/>
    <xf numFmtId="0" fontId="3" fillId="0" borderId="0" xfId="0" applyFont="1" applyBorder="1"/>
    <xf numFmtId="0" fontId="3" fillId="0" borderId="33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15" xfId="0" applyFont="1" applyBorder="1"/>
    <xf numFmtId="0" fontId="3" fillId="0" borderId="14" xfId="0" applyFont="1" applyBorder="1"/>
    <xf numFmtId="0" fontId="3" fillId="0" borderId="13" xfId="0" applyFont="1" applyBorder="1"/>
    <xf numFmtId="0" fontId="3" fillId="0" borderId="0" xfId="0" applyFont="1" applyAlignment="1">
      <alignment horizontal="right"/>
    </xf>
    <xf numFmtId="0" fontId="3" fillId="0" borderId="34" xfId="0" applyFont="1" applyBorder="1"/>
    <xf numFmtId="0" fontId="2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" fillId="0" borderId="36" xfId="0" applyFont="1" applyBorder="1"/>
    <xf numFmtId="0" fontId="3" fillId="0" borderId="37" xfId="0" applyFont="1" applyBorder="1"/>
    <xf numFmtId="0" fontId="3" fillId="0" borderId="38" xfId="0" applyFont="1" applyBorder="1"/>
    <xf numFmtId="0" fontId="3" fillId="0" borderId="2" xfId="0" applyFont="1" applyBorder="1" applyAlignment="1">
      <alignment horizontal="right"/>
    </xf>
    <xf numFmtId="0" fontId="3" fillId="0" borderId="39" xfId="0" applyFont="1" applyBorder="1"/>
    <xf numFmtId="0" fontId="3" fillId="0" borderId="0" xfId="0" applyFont="1" applyBorder="1" applyAlignment="1">
      <alignment horizontal="right"/>
    </xf>
    <xf numFmtId="0" fontId="3" fillId="0" borderId="35" xfId="0" applyFont="1" applyBorder="1"/>
    <xf numFmtId="0" fontId="3" fillId="0" borderId="40" xfId="0" applyFont="1" applyBorder="1"/>
    <xf numFmtId="0" fontId="3" fillId="0" borderId="41" xfId="0" applyFont="1" applyBorder="1"/>
    <xf numFmtId="0" fontId="3" fillId="2" borderId="14" xfId="0" applyFont="1" applyFill="1" applyBorder="1"/>
    <xf numFmtId="0" fontId="3" fillId="2" borderId="15" xfId="0" applyFont="1" applyFill="1" applyBorder="1"/>
    <xf numFmtId="0" fontId="3" fillId="2" borderId="13" xfId="0" applyFont="1" applyFill="1" applyBorder="1"/>
    <xf numFmtId="0" fontId="3" fillId="2" borderId="36" xfId="0" applyFont="1" applyFill="1" applyBorder="1"/>
    <xf numFmtId="0" fontId="3" fillId="2" borderId="38" xfId="0" applyFont="1" applyFill="1" applyBorder="1"/>
    <xf numFmtId="0" fontId="3" fillId="3" borderId="13" xfId="0" applyFont="1" applyFill="1" applyBorder="1"/>
    <xf numFmtId="0" fontId="3" fillId="3" borderId="14" xfId="0" applyFont="1" applyFill="1" applyBorder="1"/>
    <xf numFmtId="0" fontId="3" fillId="3" borderId="15" xfId="0" applyFont="1" applyFill="1" applyBorder="1"/>
    <xf numFmtId="0" fontId="3" fillId="4" borderId="14" xfId="0" applyFont="1" applyFill="1" applyBorder="1"/>
    <xf numFmtId="0" fontId="3" fillId="4" borderId="15" xfId="0" applyFont="1" applyFill="1" applyBorder="1"/>
    <xf numFmtId="0" fontId="3" fillId="4" borderId="2" xfId="0" applyFont="1" applyFill="1" applyBorder="1" applyAlignment="1">
      <alignment horizontal="right"/>
    </xf>
    <xf numFmtId="0" fontId="3" fillId="4" borderId="36" xfId="0" applyFont="1" applyFill="1" applyBorder="1"/>
    <xf numFmtId="0" fontId="3" fillId="4" borderId="38" xfId="0" applyFont="1" applyFill="1" applyBorder="1"/>
    <xf numFmtId="0" fontId="5" fillId="0" borderId="0" xfId="0" applyFont="1"/>
    <xf numFmtId="0" fontId="6" fillId="2" borderId="37" xfId="0" applyFont="1" applyFill="1" applyBorder="1"/>
    <xf numFmtId="0" fontId="6" fillId="3" borderId="2" xfId="0" applyFont="1" applyFill="1" applyBorder="1" applyAlignment="1">
      <alignment horizontal="right"/>
    </xf>
    <xf numFmtId="0" fontId="6" fillId="3" borderId="38" xfId="0" applyFont="1" applyFill="1" applyBorder="1"/>
    <xf numFmtId="0" fontId="2" fillId="0" borderId="22" xfId="0" applyFont="1" applyBorder="1" applyAlignment="1">
      <alignment vertical="center" wrapText="1"/>
    </xf>
    <xf numFmtId="2" fontId="1" fillId="0" borderId="0" xfId="0" applyNumberFormat="1" applyFont="1" applyBorder="1" applyAlignment="1">
      <alignment horizontal="center" vertical="center"/>
    </xf>
    <xf numFmtId="0" fontId="3" fillId="0" borderId="22" xfId="0" applyFont="1" applyBorder="1"/>
    <xf numFmtId="0" fontId="3" fillId="0" borderId="42" xfId="0" applyFont="1" applyBorder="1"/>
    <xf numFmtId="0" fontId="3" fillId="0" borderId="43" xfId="0" applyFont="1" applyBorder="1"/>
    <xf numFmtId="0" fontId="3" fillId="0" borderId="22" xfId="0" applyFont="1" applyBorder="1" applyAlignment="1">
      <alignment horizontal="right"/>
    </xf>
    <xf numFmtId="0" fontId="3" fillId="0" borderId="0" xfId="0" applyFont="1" applyAlignment="1"/>
    <xf numFmtId="0" fontId="3" fillId="0" borderId="1" xfId="0" applyFont="1" applyFill="1" applyBorder="1"/>
    <xf numFmtId="0" fontId="3" fillId="3" borderId="1" xfId="0" applyFont="1" applyFill="1" applyBorder="1"/>
    <xf numFmtId="0" fontId="3" fillId="0" borderId="5" xfId="0" applyFont="1" applyFill="1" applyBorder="1"/>
    <xf numFmtId="0" fontId="3" fillId="0" borderId="6" xfId="0" applyFont="1" applyFill="1" applyBorder="1"/>
    <xf numFmtId="0" fontId="3" fillId="3" borderId="5" xfId="0" applyFont="1" applyFill="1" applyBorder="1"/>
    <xf numFmtId="0" fontId="3" fillId="3" borderId="6" xfId="0" applyFont="1" applyFill="1" applyBorder="1"/>
    <xf numFmtId="0" fontId="3" fillId="0" borderId="17" xfId="0" applyFont="1" applyBorder="1"/>
    <xf numFmtId="0" fontId="3" fillId="0" borderId="19" xfId="0" applyFont="1" applyBorder="1"/>
    <xf numFmtId="0" fontId="3" fillId="0" borderId="18" xfId="0" applyFont="1" applyBorder="1"/>
    <xf numFmtId="0" fontId="3" fillId="0" borderId="20" xfId="0" applyFont="1" applyBorder="1"/>
    <xf numFmtId="0" fontId="3" fillId="0" borderId="16" xfId="0" applyFont="1" applyBorder="1"/>
    <xf numFmtId="0" fontId="3" fillId="3" borderId="0" xfId="0" applyFont="1" applyFill="1"/>
    <xf numFmtId="0" fontId="3" fillId="3" borderId="16" xfId="0" applyFont="1" applyFill="1" applyBorder="1"/>
    <xf numFmtId="0" fontId="3" fillId="3" borderId="18" xfId="0" applyFont="1" applyFill="1" applyBorder="1"/>
    <xf numFmtId="0" fontId="3" fillId="0" borderId="44" xfId="0" applyFont="1" applyBorder="1"/>
    <xf numFmtId="0" fontId="3" fillId="0" borderId="45" xfId="0" applyFont="1" applyBorder="1"/>
    <xf numFmtId="0" fontId="3" fillId="0" borderId="46" xfId="0" applyFont="1" applyBorder="1"/>
    <xf numFmtId="0" fontId="3" fillId="3" borderId="47" xfId="0" applyFont="1" applyFill="1" applyBorder="1"/>
    <xf numFmtId="0" fontId="3" fillId="3" borderId="37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30" xfId="0" applyFont="1" applyBorder="1" applyAlignment="1">
      <alignment horizontal="center"/>
    </xf>
    <xf numFmtId="0" fontId="3" fillId="0" borderId="32" xfId="0" applyFont="1" applyBorder="1" applyAlignment="1">
      <alignment horizontal="center"/>
    </xf>
    <xf numFmtId="0" fontId="3" fillId="0" borderId="25" xfId="0" applyFont="1" applyBorder="1" applyAlignment="1">
      <alignment horizontal="center"/>
    </xf>
    <xf numFmtId="0" fontId="2" fillId="0" borderId="25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3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5" fillId="0" borderId="29" xfId="0" applyFont="1" applyBorder="1" applyAlignment="1">
      <alignment horizontal="center"/>
    </xf>
    <xf numFmtId="0" fontId="3" fillId="3" borderId="0" xfId="0" applyFont="1" applyFill="1" applyAlignment="1">
      <alignment horizontal="left"/>
    </xf>
    <xf numFmtId="0" fontId="3" fillId="0" borderId="0" xfId="0" applyFont="1" applyAlignment="1">
      <alignment horizontal="center"/>
    </xf>
    <xf numFmtId="16" fontId="3" fillId="0" borderId="2" xfId="0" applyNumberFormat="1" applyFont="1" applyBorder="1"/>
    <xf numFmtId="0" fontId="8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9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'Ex1.1'!$C$3</c:f>
              <c:strCache>
                <c:ptCount val="1"/>
                <c:pt idx="0">
                  <c:v>Tire 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29353937007874015"/>
                  <c:y val="6.412219305920093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baseline="0"/>
                      <a:t>y = 7,4166e</a:t>
                    </a:r>
                    <a:r>
                      <a:rPr lang="en-US" sz="1200" baseline="30000"/>
                      <a:t>-4E-05x</a:t>
                    </a:r>
                    <a:br>
                      <a:rPr lang="en-US" sz="1200" baseline="0"/>
                    </a:br>
                    <a:r>
                      <a:rPr lang="en-US" sz="1200" baseline="0"/>
                      <a:t>R² = 0,9963</a:t>
                    </a:r>
                    <a:endParaRPr lang="en-US" sz="12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'Ex1.1'!$B$4:$B$9</c:f>
              <c:numCache>
                <c:formatCode>General</c:formatCode>
                <c:ptCount val="6"/>
                <c:pt idx="0">
                  <c:v>5000</c:v>
                </c:pt>
                <c:pt idx="1">
                  <c:v>10000</c:v>
                </c:pt>
                <c:pt idx="2">
                  <c:v>15000</c:v>
                </c:pt>
                <c:pt idx="3">
                  <c:v>20000</c:v>
                </c:pt>
                <c:pt idx="4">
                  <c:v>25000</c:v>
                </c:pt>
                <c:pt idx="5">
                  <c:v>30000</c:v>
                </c:pt>
              </c:numCache>
            </c:numRef>
          </c:xVal>
          <c:yVal>
            <c:numRef>
              <c:f>'Ex1.1'!$C$4:$C$9</c:f>
              <c:numCache>
                <c:formatCode>General</c:formatCode>
                <c:ptCount val="6"/>
                <c:pt idx="0">
                  <c:v>6.1</c:v>
                </c:pt>
                <c:pt idx="1">
                  <c:v>5</c:v>
                </c:pt>
                <c:pt idx="2">
                  <c:v>4</c:v>
                </c:pt>
                <c:pt idx="3">
                  <c:v>3.2</c:v>
                </c:pt>
                <c:pt idx="4">
                  <c:v>2.8</c:v>
                </c:pt>
                <c:pt idx="5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D3-48FC-99AD-FE0CDC6E4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182200"/>
        <c:axId val="441182528"/>
      </c:scatterChart>
      <c:valAx>
        <c:axId val="441182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41182528"/>
        <c:crosses val="autoZero"/>
        <c:crossBetween val="midCat"/>
      </c:valAx>
      <c:valAx>
        <c:axId val="44118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41182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'Ex1.1'!$D$3</c:f>
              <c:strCache>
                <c:ptCount val="1"/>
                <c:pt idx="0">
                  <c:v>Tire 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379838145231846"/>
                  <c:y val="2.0991542723826188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baseline="0"/>
                      <a:t>y = 7,2311e</a:t>
                    </a:r>
                    <a:r>
                      <a:rPr lang="en-US" sz="1200" baseline="30000"/>
                      <a:t>-4E-05x</a:t>
                    </a:r>
                    <a:br>
                      <a:rPr lang="en-US" sz="1200" baseline="0"/>
                    </a:br>
                    <a:r>
                      <a:rPr lang="en-US" sz="1200" baseline="0"/>
                      <a:t>R² = 0,9931</a:t>
                    </a:r>
                    <a:endParaRPr lang="en-US" sz="12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'Ex1.1'!$B$4:$B$9</c:f>
              <c:numCache>
                <c:formatCode>General</c:formatCode>
                <c:ptCount val="6"/>
                <c:pt idx="0">
                  <c:v>5000</c:v>
                </c:pt>
                <c:pt idx="1">
                  <c:v>10000</c:v>
                </c:pt>
                <c:pt idx="2">
                  <c:v>15000</c:v>
                </c:pt>
                <c:pt idx="3">
                  <c:v>20000</c:v>
                </c:pt>
                <c:pt idx="4">
                  <c:v>25000</c:v>
                </c:pt>
                <c:pt idx="5">
                  <c:v>30000</c:v>
                </c:pt>
              </c:numCache>
            </c:numRef>
          </c:xVal>
          <c:yVal>
            <c:numRef>
              <c:f>'Ex1.1'!$D$4:$D$9</c:f>
              <c:numCache>
                <c:formatCode>General</c:formatCode>
                <c:ptCount val="6"/>
                <c:pt idx="0">
                  <c:v>5.9</c:v>
                </c:pt>
                <c:pt idx="1">
                  <c:v>5.0999999999999996</c:v>
                </c:pt>
                <c:pt idx="2">
                  <c:v>4.3</c:v>
                </c:pt>
                <c:pt idx="3">
                  <c:v>3.3</c:v>
                </c:pt>
                <c:pt idx="4">
                  <c:v>2.9</c:v>
                </c:pt>
                <c:pt idx="5">
                  <c:v>2.4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44-4B82-B05D-A0DFDDEA8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699664"/>
        <c:axId val="450700976"/>
      </c:scatterChart>
      <c:valAx>
        <c:axId val="450699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50700976"/>
        <c:crosses val="autoZero"/>
        <c:crossBetween val="midCat"/>
      </c:valAx>
      <c:valAx>
        <c:axId val="45070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50699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'Ex1.1'!$E$3</c:f>
              <c:strCache>
                <c:ptCount val="1"/>
                <c:pt idx="0">
                  <c:v>Tire 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5742825896762903"/>
                  <c:y val="6.3112423447069113E-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baseline="0"/>
                      <a:t>y = 7,0787e</a:t>
                    </a:r>
                    <a:r>
                      <a:rPr lang="en-US" sz="1200" baseline="30000"/>
                      <a:t>-4E-05x</a:t>
                    </a:r>
                    <a:br>
                      <a:rPr lang="en-US" sz="1200" baseline="0"/>
                    </a:br>
                    <a:r>
                      <a:rPr lang="en-US" sz="1200" baseline="0"/>
                      <a:t>R² = 0,9986</a:t>
                    </a:r>
                    <a:endParaRPr lang="en-US" sz="12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'Ex1.1'!$B$4:$B$9</c:f>
              <c:numCache>
                <c:formatCode>General</c:formatCode>
                <c:ptCount val="6"/>
                <c:pt idx="0">
                  <c:v>5000</c:v>
                </c:pt>
                <c:pt idx="1">
                  <c:v>10000</c:v>
                </c:pt>
                <c:pt idx="2">
                  <c:v>15000</c:v>
                </c:pt>
                <c:pt idx="3">
                  <c:v>20000</c:v>
                </c:pt>
                <c:pt idx="4">
                  <c:v>25000</c:v>
                </c:pt>
                <c:pt idx="5">
                  <c:v>30000</c:v>
                </c:pt>
              </c:numCache>
            </c:numRef>
          </c:xVal>
          <c:yVal>
            <c:numRef>
              <c:f>'Ex1.1'!$E$4:$E$9</c:f>
              <c:numCache>
                <c:formatCode>General</c:formatCode>
                <c:ptCount val="6"/>
                <c:pt idx="0">
                  <c:v>5.9</c:v>
                </c:pt>
                <c:pt idx="1">
                  <c:v>5</c:v>
                </c:pt>
                <c:pt idx="2">
                  <c:v>4.05</c:v>
                </c:pt>
                <c:pt idx="3">
                  <c:v>3.5</c:v>
                </c:pt>
                <c:pt idx="4">
                  <c:v>2.9</c:v>
                </c:pt>
                <c:pt idx="5">
                  <c:v>2.4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F5-45B4-9E05-D5EFDB242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447400"/>
        <c:axId val="453446416"/>
      </c:scatterChart>
      <c:valAx>
        <c:axId val="453447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53446416"/>
        <c:crosses val="autoZero"/>
        <c:crossBetween val="midCat"/>
      </c:valAx>
      <c:valAx>
        <c:axId val="4534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53447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'Ex1.1'!$F$3</c:f>
              <c:strCache>
                <c:ptCount val="1"/>
                <c:pt idx="0">
                  <c:v>Tire 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6808114610673665"/>
                  <c:y val="2.0951808107319919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baseline="0"/>
                      <a:t>y = 7,3856e</a:t>
                    </a:r>
                    <a:r>
                      <a:rPr lang="en-US" sz="1200" baseline="30000"/>
                      <a:t>-4E-05x</a:t>
                    </a:r>
                    <a:br>
                      <a:rPr lang="en-US" sz="1200" baseline="0"/>
                    </a:br>
                    <a:r>
                      <a:rPr lang="en-US" sz="1200" baseline="0"/>
                      <a:t>R² = 0,9999</a:t>
                    </a:r>
                    <a:endParaRPr lang="en-US" sz="12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'Ex1.1'!$B$4:$B$9</c:f>
              <c:numCache>
                <c:formatCode>General</c:formatCode>
                <c:ptCount val="6"/>
                <c:pt idx="0">
                  <c:v>5000</c:v>
                </c:pt>
                <c:pt idx="1">
                  <c:v>10000</c:v>
                </c:pt>
                <c:pt idx="2">
                  <c:v>15000</c:v>
                </c:pt>
                <c:pt idx="3">
                  <c:v>20000</c:v>
                </c:pt>
                <c:pt idx="4">
                  <c:v>25000</c:v>
                </c:pt>
                <c:pt idx="5">
                  <c:v>30000</c:v>
                </c:pt>
              </c:numCache>
            </c:numRef>
          </c:xVal>
          <c:yVal>
            <c:numRef>
              <c:f>'Ex1.1'!$F$4:$F$9</c:f>
              <c:numCache>
                <c:formatCode>General</c:formatCode>
                <c:ptCount val="6"/>
                <c:pt idx="0">
                  <c:v>6.1</c:v>
                </c:pt>
                <c:pt idx="1">
                  <c:v>5</c:v>
                </c:pt>
                <c:pt idx="2">
                  <c:v>4.0999999999999996</c:v>
                </c:pt>
                <c:pt idx="3">
                  <c:v>3.4</c:v>
                </c:pt>
                <c:pt idx="4">
                  <c:v>2.8</c:v>
                </c:pt>
                <c:pt idx="5">
                  <c:v>2.2999999999999998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E6-4DC9-97C1-45BDA5584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666976"/>
        <c:axId val="446660416"/>
      </c:scatterChart>
      <c:valAx>
        <c:axId val="446666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46660416"/>
        <c:crosses val="autoZero"/>
        <c:crossBetween val="midCat"/>
      </c:valAx>
      <c:valAx>
        <c:axId val="44666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46666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'Ex1.1'!$G$3</c:f>
              <c:strCache>
                <c:ptCount val="1"/>
                <c:pt idx="0">
                  <c:v>Tire 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9076159230096236"/>
                  <c:y val="9.7024278215223095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baseline="0"/>
                      <a:t>y = 6,9533e</a:t>
                    </a:r>
                    <a:r>
                      <a:rPr lang="en-US" sz="1200" baseline="30000"/>
                      <a:t>-4E-05x</a:t>
                    </a:r>
                    <a:br>
                      <a:rPr lang="en-US" sz="1200" baseline="0"/>
                    </a:br>
                    <a:r>
                      <a:rPr lang="en-US" sz="1200" baseline="0"/>
                      <a:t>R² = 0,9995</a:t>
                    </a:r>
                    <a:endParaRPr lang="en-US" sz="12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'Ex1.1'!$B$4:$B$9</c:f>
              <c:numCache>
                <c:formatCode>General</c:formatCode>
                <c:ptCount val="6"/>
                <c:pt idx="0">
                  <c:v>5000</c:v>
                </c:pt>
                <c:pt idx="1">
                  <c:v>10000</c:v>
                </c:pt>
                <c:pt idx="2">
                  <c:v>15000</c:v>
                </c:pt>
                <c:pt idx="3">
                  <c:v>20000</c:v>
                </c:pt>
                <c:pt idx="4">
                  <c:v>25000</c:v>
                </c:pt>
                <c:pt idx="5">
                  <c:v>30000</c:v>
                </c:pt>
              </c:numCache>
            </c:numRef>
          </c:xVal>
          <c:yVal>
            <c:numRef>
              <c:f>'Ex1.1'!$G$4:$G$9</c:f>
              <c:numCache>
                <c:formatCode>General</c:formatCode>
                <c:ptCount val="6"/>
                <c:pt idx="0">
                  <c:v>5.7</c:v>
                </c:pt>
                <c:pt idx="1">
                  <c:v>4.7</c:v>
                </c:pt>
                <c:pt idx="2">
                  <c:v>3.8</c:v>
                </c:pt>
                <c:pt idx="3">
                  <c:v>3.1</c:v>
                </c:pt>
                <c:pt idx="4">
                  <c:v>2.6</c:v>
                </c:pt>
                <c:pt idx="5">
                  <c:v>2.1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E8-49EE-BBE1-BAF217F69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704256"/>
        <c:axId val="450704584"/>
      </c:scatterChart>
      <c:valAx>
        <c:axId val="450704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50704584"/>
        <c:crosses val="autoZero"/>
        <c:crossBetween val="midCat"/>
      </c:valAx>
      <c:valAx>
        <c:axId val="45070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50704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'Ex1.1'!$H$3</c:f>
              <c:strCache>
                <c:ptCount val="1"/>
                <c:pt idx="0">
                  <c:v>Tire 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40419225721784779"/>
                  <c:y val="2.4534120734908137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baseline="0"/>
                      <a:t>y = 7,3405e</a:t>
                    </a:r>
                    <a:r>
                      <a:rPr lang="en-US" sz="1200" baseline="30000"/>
                      <a:t>-4E-05x</a:t>
                    </a:r>
                    <a:br>
                      <a:rPr lang="en-US" sz="1200" baseline="0"/>
                    </a:br>
                    <a:r>
                      <a:rPr lang="en-US" sz="1200" baseline="0"/>
                      <a:t>R² = 0,9938</a:t>
                    </a:r>
                    <a:endParaRPr lang="en-US" sz="12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'Ex1.1'!$B$4:$B$9</c:f>
              <c:numCache>
                <c:formatCode>General</c:formatCode>
                <c:ptCount val="6"/>
                <c:pt idx="0">
                  <c:v>5000</c:v>
                </c:pt>
                <c:pt idx="1">
                  <c:v>10000</c:v>
                </c:pt>
                <c:pt idx="2">
                  <c:v>15000</c:v>
                </c:pt>
                <c:pt idx="3">
                  <c:v>20000</c:v>
                </c:pt>
                <c:pt idx="4">
                  <c:v>25000</c:v>
                </c:pt>
                <c:pt idx="5">
                  <c:v>30000</c:v>
                </c:pt>
              </c:numCache>
            </c:numRef>
          </c:xVal>
          <c:yVal>
            <c:numRef>
              <c:f>'Ex1.1'!$H$4:$H$9</c:f>
              <c:numCache>
                <c:formatCode>General</c:formatCode>
                <c:ptCount val="6"/>
                <c:pt idx="0">
                  <c:v>5.7</c:v>
                </c:pt>
                <c:pt idx="1">
                  <c:v>5</c:v>
                </c:pt>
                <c:pt idx="2">
                  <c:v>3.9</c:v>
                </c:pt>
                <c:pt idx="3">
                  <c:v>3.2</c:v>
                </c:pt>
                <c:pt idx="4">
                  <c:v>2.6</c:v>
                </c:pt>
                <c:pt idx="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B8-42EE-B54D-0ED0CB35E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712784"/>
        <c:axId val="450712456"/>
      </c:scatterChart>
      <c:valAx>
        <c:axId val="450712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50712456"/>
        <c:crosses val="autoZero"/>
        <c:crossBetween val="midCat"/>
      </c:valAx>
      <c:valAx>
        <c:axId val="45071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50712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'Ex1.1'!$I$3</c:f>
              <c:strCache>
                <c:ptCount val="1"/>
                <c:pt idx="0">
                  <c:v>Tire 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30980336832895888"/>
                  <c:y val="3.1159594634004084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baseline="0"/>
                      <a:t>y = -2,079ln(x) + 23,784</a:t>
                    </a:r>
                    <a:br>
                      <a:rPr lang="en-US" sz="1200" baseline="0"/>
                    </a:br>
                    <a:r>
                      <a:rPr lang="en-US" sz="1200" baseline="0"/>
                      <a:t>R² = 0,9903</a:t>
                    </a:r>
                    <a:endParaRPr lang="en-US" sz="12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'Ex1.1'!$B$4:$B$9</c:f>
              <c:numCache>
                <c:formatCode>General</c:formatCode>
                <c:ptCount val="6"/>
                <c:pt idx="0">
                  <c:v>5000</c:v>
                </c:pt>
                <c:pt idx="1">
                  <c:v>10000</c:v>
                </c:pt>
                <c:pt idx="2">
                  <c:v>15000</c:v>
                </c:pt>
                <c:pt idx="3">
                  <c:v>20000</c:v>
                </c:pt>
                <c:pt idx="4">
                  <c:v>25000</c:v>
                </c:pt>
                <c:pt idx="5">
                  <c:v>30000</c:v>
                </c:pt>
              </c:numCache>
            </c:numRef>
          </c:xVal>
          <c:yVal>
            <c:numRef>
              <c:f>'Ex1.1'!$I$4:$I$9</c:f>
              <c:numCache>
                <c:formatCode>General</c:formatCode>
                <c:ptCount val="6"/>
                <c:pt idx="0">
                  <c:v>6</c:v>
                </c:pt>
                <c:pt idx="1">
                  <c:v>4.8</c:v>
                </c:pt>
                <c:pt idx="2">
                  <c:v>3.7</c:v>
                </c:pt>
                <c:pt idx="3">
                  <c:v>3.2</c:v>
                </c:pt>
                <c:pt idx="4">
                  <c:v>2.9</c:v>
                </c:pt>
                <c:pt idx="5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E8-4A0C-A051-729DBB491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101312"/>
        <c:axId val="530097704"/>
      </c:scatterChart>
      <c:valAx>
        <c:axId val="530101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0097704"/>
        <c:crosses val="autoZero"/>
        <c:crossBetween val="midCat"/>
      </c:valAx>
      <c:valAx>
        <c:axId val="530097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0101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Weibull lifetime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755343289997441"/>
                  <c:y val="-2.2762417736159432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baseline="0"/>
                      <a:t>y = 69,291x - 749,43</a:t>
                    </a:r>
                    <a:br>
                      <a:rPr lang="en-US" sz="1200" baseline="0"/>
                    </a:br>
                    <a:r>
                      <a:rPr lang="en-US" sz="1200" baseline="0"/>
                      <a:t>R² = 0,9659</a:t>
                    </a:r>
                    <a:endParaRPr lang="en-US" sz="12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'Ex1.1'!$B$45:$B$50</c:f>
              <c:numCache>
                <c:formatCode>General</c:formatCode>
                <c:ptCount val="6"/>
                <c:pt idx="0">
                  <c:v>10.788915060801004</c:v>
                </c:pt>
                <c:pt idx="1">
                  <c:v>10.798089920493645</c:v>
                </c:pt>
                <c:pt idx="2">
                  <c:v>10.808915077075888</c:v>
                </c:pt>
                <c:pt idx="3">
                  <c:v>10.8164763190165</c:v>
                </c:pt>
                <c:pt idx="4">
                  <c:v>10.819544336272319</c:v>
                </c:pt>
                <c:pt idx="5">
                  <c:v>10.82163692164333</c:v>
                </c:pt>
              </c:numCache>
            </c:numRef>
          </c:xVal>
          <c:yVal>
            <c:numRef>
              <c:f>'Ex1.1'!$C$45:$C$50</c:f>
              <c:numCache>
                <c:formatCode>General</c:formatCode>
                <c:ptCount val="6"/>
                <c:pt idx="0">
                  <c:v>-1.8698247144926041</c:v>
                </c:pt>
                <c:pt idx="1">
                  <c:v>-1.0892396396274506</c:v>
                </c:pt>
                <c:pt idx="2">
                  <c:v>-0.58050482369489376</c:v>
                </c:pt>
                <c:pt idx="3">
                  <c:v>-0.16570298099369637</c:v>
                </c:pt>
                <c:pt idx="4">
                  <c:v>0.22535148682596154</c:v>
                </c:pt>
                <c:pt idx="5">
                  <c:v>0.66572981057827629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19-47EE-AD07-20E58F2C7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754424"/>
        <c:axId val="598750488"/>
      </c:scatterChart>
      <c:valAx>
        <c:axId val="598754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8750488"/>
        <c:crosses val="autoZero"/>
        <c:crossBetween val="midCat"/>
      </c:valAx>
      <c:valAx>
        <c:axId val="59875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8754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Exponential lifetime from Rrex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3.3679962489903223E-2"/>
                  <c:y val="-0.30304699396614371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baseline="0"/>
                      <a:t>y = 1,4193e</a:t>
                    </a:r>
                    <a:r>
                      <a:rPr lang="en-US" sz="1200" baseline="30000"/>
                      <a:t>-0,343x</a:t>
                    </a:r>
                    <a:br>
                      <a:rPr lang="en-US" sz="1200" baseline="0"/>
                    </a:br>
                    <a:r>
                      <a:rPr lang="en-US" sz="1200" baseline="0"/>
                      <a:t>R² = 0,9363</a:t>
                    </a:r>
                    <a:endParaRPr lang="en-US" sz="12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yVal>
            <c:numRef>
              <c:f>'Ex1.1'!$H$30:$H$35</c:f>
              <c:numCache>
                <c:formatCode>General</c:formatCode>
                <c:ptCount val="6"/>
                <c:pt idx="0">
                  <c:v>0.85714285714285721</c:v>
                </c:pt>
                <c:pt idx="1">
                  <c:v>0.7142857142857143</c:v>
                </c:pt>
                <c:pt idx="2">
                  <c:v>0.5714285714285714</c:v>
                </c:pt>
                <c:pt idx="3">
                  <c:v>0.4285714285714286</c:v>
                </c:pt>
                <c:pt idx="4">
                  <c:v>0.2857142857142857</c:v>
                </c:pt>
                <c:pt idx="5">
                  <c:v>0.1428571428571429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0F-4227-87F5-DA80CAC25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355472"/>
        <c:axId val="593360720"/>
      </c:scatterChart>
      <c:valAx>
        <c:axId val="593355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3360720"/>
        <c:crosses val="autoZero"/>
        <c:crossBetween val="midCat"/>
      </c:valAx>
      <c:valAx>
        <c:axId val="59336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3355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'Ex1.2'!$C$2</c:f>
              <c:strCache>
                <c:ptCount val="1"/>
                <c:pt idx="0">
                  <c:v>Comp. 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46418941382327211"/>
                  <c:y val="-2.3564814814814816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baseline="0"/>
                      <a:t>y = 18,001e</a:t>
                    </a:r>
                    <a:r>
                      <a:rPr lang="en-US" sz="1200" baseline="30000"/>
                      <a:t>0,002x</a:t>
                    </a:r>
                    <a:br>
                      <a:rPr lang="en-US" sz="1200" baseline="0"/>
                    </a:br>
                    <a:r>
                      <a:rPr lang="en-US" sz="1200" baseline="0"/>
                      <a:t>R² = 1</a:t>
                    </a:r>
                    <a:endParaRPr lang="en-US" sz="12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'Ex1.2'!$B$3:$B$12</c:f>
              <c:numCache>
                <c:formatCode>General</c:formatCode>
                <c:ptCount val="1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</c:numCache>
            </c:numRef>
          </c:xVal>
          <c:yVal>
            <c:numRef>
              <c:f>'Ex1.2'!$C$3:$C$12</c:f>
              <c:numCache>
                <c:formatCode>General</c:formatCode>
                <c:ptCount val="10"/>
                <c:pt idx="0">
                  <c:v>21.99</c:v>
                </c:pt>
                <c:pt idx="1">
                  <c:v>26.85</c:v>
                </c:pt>
                <c:pt idx="2">
                  <c:v>32.799999999999997</c:v>
                </c:pt>
                <c:pt idx="3">
                  <c:v>40.06</c:v>
                </c:pt>
                <c:pt idx="4">
                  <c:v>48.93</c:v>
                </c:pt>
                <c:pt idx="5">
                  <c:v>59.76</c:v>
                </c:pt>
                <c:pt idx="6">
                  <c:v>72.989999999999995</c:v>
                </c:pt>
                <c:pt idx="7">
                  <c:v>89.15</c:v>
                </c:pt>
                <c:pt idx="8">
                  <c:v>108.89</c:v>
                </c:pt>
                <c:pt idx="9">
                  <c:v>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22-4BE1-AC9E-7F41BED94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731792"/>
        <c:axId val="598732448"/>
      </c:scatterChart>
      <c:valAx>
        <c:axId val="598731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8732448"/>
        <c:crosses val="autoZero"/>
        <c:crossBetween val="midCat"/>
      </c:valAx>
      <c:valAx>
        <c:axId val="59873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8731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'Ex1.2'!$D$2</c:f>
              <c:strCache>
                <c:ptCount val="1"/>
                <c:pt idx="0">
                  <c:v>Comp. 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3631198600174978"/>
                  <c:y val="-4.0628098571011975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baseline="0"/>
                      <a:t>y = 41,999ln(x) - 79,996</a:t>
                    </a:r>
                    <a:br>
                      <a:rPr lang="en-US" sz="1200" baseline="0"/>
                    </a:br>
                    <a:r>
                      <a:rPr lang="en-US" sz="1200" baseline="0"/>
                      <a:t>R² = 1</a:t>
                    </a:r>
                    <a:endParaRPr lang="en-US" sz="12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'Ex1.2'!$B$3:$B$12</c:f>
              <c:numCache>
                <c:formatCode>General</c:formatCode>
                <c:ptCount val="1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</c:numCache>
            </c:numRef>
          </c:xVal>
          <c:yVal>
            <c:numRef>
              <c:f>'Ex1.2'!$D$3:$D$12</c:f>
              <c:numCache>
                <c:formatCode>General</c:formatCode>
                <c:ptCount val="10"/>
                <c:pt idx="0">
                  <c:v>113.42</c:v>
                </c:pt>
                <c:pt idx="1">
                  <c:v>142.53</c:v>
                </c:pt>
                <c:pt idx="2">
                  <c:v>159.56</c:v>
                </c:pt>
                <c:pt idx="3">
                  <c:v>171.64</c:v>
                </c:pt>
                <c:pt idx="4">
                  <c:v>181.01</c:v>
                </c:pt>
                <c:pt idx="5">
                  <c:v>188.67</c:v>
                </c:pt>
                <c:pt idx="6">
                  <c:v>195.15</c:v>
                </c:pt>
                <c:pt idx="7">
                  <c:v>200.75</c:v>
                </c:pt>
                <c:pt idx="8">
                  <c:v>205.7</c:v>
                </c:pt>
                <c:pt idx="9">
                  <c:v>210.13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22-4272-AA1B-9CA008F7F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753768"/>
        <c:axId val="598749176"/>
      </c:scatterChart>
      <c:valAx>
        <c:axId val="59875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8749176"/>
        <c:crosses val="autoZero"/>
        <c:crossBetween val="midCat"/>
      </c:valAx>
      <c:valAx>
        <c:axId val="598749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8753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'Ex1.2'!$E$2</c:f>
              <c:strCache>
                <c:ptCount val="1"/>
                <c:pt idx="0">
                  <c:v>Comp. 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52317541557305336"/>
                  <c:y val="-2.3564814814814816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baseline="0"/>
                      <a:t>y = 35e</a:t>
                    </a:r>
                    <a:r>
                      <a:rPr lang="en-US" sz="1200" baseline="30000"/>
                      <a:t>0,001x</a:t>
                    </a:r>
                    <a:br>
                      <a:rPr lang="en-US" sz="1200" baseline="0"/>
                    </a:br>
                    <a:r>
                      <a:rPr lang="en-US" sz="1200" baseline="0"/>
                      <a:t>R² = 1</a:t>
                    </a:r>
                    <a:endParaRPr lang="en-US" sz="12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'Ex1.2'!$B$3:$B$12</c:f>
              <c:numCache>
                <c:formatCode>General</c:formatCode>
                <c:ptCount val="1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</c:numCache>
            </c:numRef>
          </c:xVal>
          <c:yVal>
            <c:numRef>
              <c:f>'Ex1.2'!$E$3:$E$12</c:f>
              <c:numCache>
                <c:formatCode>General</c:formatCode>
                <c:ptCount val="10"/>
                <c:pt idx="0">
                  <c:v>38.68</c:v>
                </c:pt>
                <c:pt idx="1">
                  <c:v>42.75</c:v>
                </c:pt>
                <c:pt idx="2">
                  <c:v>47.25</c:v>
                </c:pt>
                <c:pt idx="3">
                  <c:v>52.21</c:v>
                </c:pt>
                <c:pt idx="4">
                  <c:v>57.71</c:v>
                </c:pt>
                <c:pt idx="5">
                  <c:v>63.77</c:v>
                </c:pt>
                <c:pt idx="6">
                  <c:v>70.48</c:v>
                </c:pt>
                <c:pt idx="7">
                  <c:v>77.89</c:v>
                </c:pt>
                <c:pt idx="8">
                  <c:v>86.09</c:v>
                </c:pt>
                <c:pt idx="9">
                  <c:v>95.14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26-4C65-BB65-A1B5216C1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729168"/>
        <c:axId val="598729496"/>
      </c:scatterChart>
      <c:valAx>
        <c:axId val="598729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8729496"/>
        <c:crosses val="autoZero"/>
        <c:crossBetween val="midCat"/>
      </c:valAx>
      <c:valAx>
        <c:axId val="598729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8729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'Ex1.2'!$F$2</c:f>
              <c:strCache>
                <c:ptCount val="1"/>
                <c:pt idx="0">
                  <c:v>Comp. 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8423097112860891"/>
                  <c:y val="-2.8194444444444466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baseline="0"/>
                      <a:t>y = 0,07x + 14,5</a:t>
                    </a:r>
                    <a:br>
                      <a:rPr lang="en-US" sz="1200" baseline="0"/>
                    </a:br>
                    <a:r>
                      <a:rPr lang="en-US" sz="1200" baseline="0"/>
                      <a:t>R² = 1</a:t>
                    </a:r>
                    <a:endParaRPr lang="en-US" sz="12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'Ex1.2'!$B$3:$B$12</c:f>
              <c:numCache>
                <c:formatCode>General</c:formatCode>
                <c:ptCount val="1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</c:numCache>
            </c:numRef>
          </c:xVal>
          <c:yVal>
            <c:numRef>
              <c:f>'Ex1.2'!$F$3:$F$12</c:f>
              <c:numCache>
                <c:formatCode>General</c:formatCode>
                <c:ptCount val="10"/>
                <c:pt idx="0">
                  <c:v>21.5</c:v>
                </c:pt>
                <c:pt idx="1">
                  <c:v>28.5</c:v>
                </c:pt>
                <c:pt idx="2">
                  <c:v>35.5</c:v>
                </c:pt>
                <c:pt idx="3">
                  <c:v>42.5</c:v>
                </c:pt>
                <c:pt idx="4">
                  <c:v>49.5</c:v>
                </c:pt>
                <c:pt idx="5">
                  <c:v>56.5</c:v>
                </c:pt>
                <c:pt idx="6">
                  <c:v>63.5</c:v>
                </c:pt>
                <c:pt idx="7">
                  <c:v>70.5</c:v>
                </c:pt>
                <c:pt idx="8">
                  <c:v>77.5</c:v>
                </c:pt>
                <c:pt idx="9">
                  <c:v>84.5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A9-49D0-A26C-97C4FA976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702272"/>
        <c:axId val="598697024"/>
      </c:scatterChart>
      <c:valAx>
        <c:axId val="598702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8697024"/>
        <c:crosses val="autoZero"/>
        <c:crossBetween val="midCat"/>
      </c:valAx>
      <c:valAx>
        <c:axId val="59869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8702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'Ex1.2'!$G$2</c:f>
              <c:strCache>
                <c:ptCount val="1"/>
                <c:pt idx="0">
                  <c:v>Comp. 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066616360454943"/>
                  <c:y val="-1.4305555555555556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baseline="0"/>
                      <a:t>y = 0,06x + 20</a:t>
                    </a:r>
                    <a:br>
                      <a:rPr lang="en-US" sz="1200" baseline="0"/>
                    </a:br>
                    <a:r>
                      <a:rPr lang="en-US" sz="1200" baseline="0"/>
                      <a:t>R² = 1</a:t>
                    </a:r>
                    <a:endParaRPr lang="en-US" sz="12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'Ex1.2'!$B$3:$B$12</c:f>
              <c:numCache>
                <c:formatCode>General</c:formatCode>
                <c:ptCount val="1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</c:numCache>
            </c:numRef>
          </c:xVal>
          <c:yVal>
            <c:numRef>
              <c:f>'Ex1.2'!$G$3:$G$12</c:f>
              <c:numCache>
                <c:formatCode>General</c:formatCode>
                <c:ptCount val="10"/>
                <c:pt idx="0">
                  <c:v>26</c:v>
                </c:pt>
                <c:pt idx="1">
                  <c:v>32</c:v>
                </c:pt>
                <c:pt idx="2">
                  <c:v>38</c:v>
                </c:pt>
                <c:pt idx="3">
                  <c:v>44</c:v>
                </c:pt>
                <c:pt idx="4">
                  <c:v>50</c:v>
                </c:pt>
                <c:pt idx="5">
                  <c:v>56</c:v>
                </c:pt>
                <c:pt idx="6">
                  <c:v>62</c:v>
                </c:pt>
                <c:pt idx="7">
                  <c:v>68</c:v>
                </c:pt>
                <c:pt idx="8">
                  <c:v>74</c:v>
                </c:pt>
                <c:pt idx="9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7D-40BD-8C10-E4AF73841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715720"/>
        <c:axId val="598711784"/>
      </c:scatterChart>
      <c:valAx>
        <c:axId val="598715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8711784"/>
        <c:crosses val="autoZero"/>
        <c:crossBetween val="midCat"/>
      </c:valAx>
      <c:valAx>
        <c:axId val="598711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8715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Weibull</a:t>
            </a:r>
            <a:r>
              <a:rPr lang="fr-FR" baseline="0"/>
              <a:t> lifetime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'Ex1.2'!$C$29</c:f>
              <c:strCache>
                <c:ptCount val="1"/>
                <c:pt idx="0">
                  <c:v>Yrex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046951006124234"/>
                  <c:y val="-4.9151720618256053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baseline="0"/>
                      <a:t>y = 2,1049x - 16,624</a:t>
                    </a:r>
                    <a:br>
                      <a:rPr lang="en-US" sz="1200" baseline="0"/>
                    </a:br>
                    <a:r>
                      <a:rPr lang="en-US" sz="1200" baseline="0"/>
                      <a:t>R² = 0,9999</a:t>
                    </a:r>
                    <a:endParaRPr lang="en-US" sz="12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'Ex1.2'!$B$30:$B$33</c:f>
              <c:numCache>
                <c:formatCode>General</c:formatCode>
                <c:ptCount val="4"/>
                <c:pt idx="0">
                  <c:v>7.1819848734712464</c:v>
                </c:pt>
                <c:pt idx="1">
                  <c:v>7.5838137031149193</c:v>
                </c:pt>
                <c:pt idx="2">
                  <c:v>7.8572346960641912</c:v>
                </c:pt>
                <c:pt idx="3">
                  <c:v>8.1209709503892498</c:v>
                </c:pt>
              </c:numCache>
            </c:numRef>
          </c:xVal>
          <c:yVal>
            <c:numRef>
              <c:f>'Ex1.2'!$C$30:$C$33</c:f>
              <c:numCache>
                <c:formatCode>General</c:formatCode>
                <c:ptCount val="4"/>
                <c:pt idx="0">
                  <c:v>-1.4999399867595158</c:v>
                </c:pt>
                <c:pt idx="1">
                  <c:v>-0.67172699209212194</c:v>
                </c:pt>
                <c:pt idx="2">
                  <c:v>-8.7421571790755173E-2</c:v>
                </c:pt>
                <c:pt idx="3">
                  <c:v>0.4758849953271107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B7-48DE-B783-0651A6BB5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703256"/>
        <c:axId val="598706208"/>
      </c:scatterChart>
      <c:valAx>
        <c:axId val="598703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8706208"/>
        <c:crosses val="autoZero"/>
        <c:crossBetween val="midCat"/>
      </c:valAx>
      <c:valAx>
        <c:axId val="59870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8703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'Ex1.3'!$C$3</c:f>
              <c:strCache>
                <c:ptCount val="1"/>
                <c:pt idx="0">
                  <c:v>B1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5671850393700786"/>
                  <c:y val="-3.5209973753280839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baseline="0"/>
                      <a:t>y = -6,5942x + 35,058</a:t>
                    </a:r>
                    <a:br>
                      <a:rPr lang="en-US" sz="1200" baseline="0"/>
                    </a:br>
                    <a:r>
                      <a:rPr lang="en-US" sz="1200" baseline="0"/>
                      <a:t>R² = 1</a:t>
                    </a:r>
                    <a:endParaRPr lang="en-US" sz="12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'Ex1.3'!$B$4:$B$16</c:f>
              <c:numCache>
                <c:formatCode>General</c:formatCode>
                <c:ptCount val="13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</c:numCache>
            </c:numRef>
          </c:xVal>
          <c:yVal>
            <c:numRef>
              <c:f>'Ex1.3'!$C$4:$C$16</c:f>
              <c:numCache>
                <c:formatCode>0.00</c:formatCode>
                <c:ptCount val="13"/>
                <c:pt idx="0">
                  <c:v>33.409447368421098</c:v>
                </c:pt>
                <c:pt idx="1">
                  <c:v>31.760894736842101</c:v>
                </c:pt>
                <c:pt idx="2">
                  <c:v>30.112342105263199</c:v>
                </c:pt>
                <c:pt idx="3">
                  <c:v>28.463789473684201</c:v>
                </c:pt>
                <c:pt idx="4">
                  <c:v>26.8152368421053</c:v>
                </c:pt>
                <c:pt idx="5">
                  <c:v>25.166684210526299</c:v>
                </c:pt>
                <c:pt idx="6">
                  <c:v>23.518131578947401</c:v>
                </c:pt>
                <c:pt idx="7">
                  <c:v>21.869578947368399</c:v>
                </c:pt>
                <c:pt idx="8">
                  <c:v>20.221026315789501</c:v>
                </c:pt>
                <c:pt idx="9">
                  <c:v>18.5724736842105</c:v>
                </c:pt>
                <c:pt idx="10">
                  <c:v>16.923921052631599</c:v>
                </c:pt>
                <c:pt idx="11">
                  <c:v>15.275368421052599</c:v>
                </c:pt>
                <c:pt idx="12">
                  <c:v>13.626815789473699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AF-4A93-89D3-AFF7FA1CE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353832"/>
        <c:axId val="593354160"/>
      </c:scatterChart>
      <c:valAx>
        <c:axId val="59335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3354160"/>
        <c:crosses val="autoZero"/>
        <c:crossBetween val="midCat"/>
      </c:valAx>
      <c:valAx>
        <c:axId val="59335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3353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'Ex1.3'!$D$3</c:f>
              <c:strCache>
                <c:ptCount val="1"/>
                <c:pt idx="0">
                  <c:v>B2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49969991251093615"/>
                  <c:y val="-6.6477107028288128E-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baseline="0"/>
                      <a:t>y = 35e</a:t>
                    </a:r>
                    <a:r>
                      <a:rPr lang="en-US" sz="1200" baseline="30000"/>
                      <a:t>-1,138x</a:t>
                    </a:r>
                    <a:br>
                      <a:rPr lang="en-US" sz="1200" baseline="0"/>
                    </a:br>
                    <a:r>
                      <a:rPr lang="en-US" sz="1200" baseline="0"/>
                      <a:t>R² = 1</a:t>
                    </a:r>
                    <a:endParaRPr lang="en-US" sz="12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'Ex1.3'!$B$4:$B$7</c:f>
              <c:numCache>
                <c:formatCode>General</c:formatCode>
                <c:ptCount val="4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</c:numCache>
            </c:numRef>
          </c:xVal>
          <c:yVal>
            <c:numRef>
              <c:f>'Ex1.3'!$D$4:$D$7</c:f>
              <c:numCache>
                <c:formatCode>0.00</c:formatCode>
                <c:ptCount val="4"/>
                <c:pt idx="0">
                  <c:v>26.333662441239799</c:v>
                </c:pt>
                <c:pt idx="1">
                  <c:v>19.813193644833198</c:v>
                </c:pt>
                <c:pt idx="2">
                  <c:v>14.907255809313</c:v>
                </c:pt>
                <c:pt idx="3">
                  <c:v>11.2160754973617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7A-4A82-BFB4-DFE5DC45B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638424"/>
        <c:axId val="539640392"/>
      </c:scatterChart>
      <c:valAx>
        <c:axId val="539638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9640392"/>
        <c:crosses val="autoZero"/>
        <c:crossBetween val="midCat"/>
      </c:valAx>
      <c:valAx>
        <c:axId val="539640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9638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'Ex1.3'!$E$3</c:f>
              <c:strCache>
                <c:ptCount val="1"/>
                <c:pt idx="0">
                  <c:v>B3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35461767279090112"/>
                  <c:y val="0.1197874744823563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baseline="0"/>
                      <a:t>y = -3,086ln(x) + 13,684</a:t>
                    </a:r>
                    <a:br>
                      <a:rPr lang="en-US" sz="1200" baseline="0"/>
                    </a:br>
                    <a:r>
                      <a:rPr lang="en-US" sz="1200" baseline="0"/>
                      <a:t>R² = 1</a:t>
                    </a:r>
                    <a:endParaRPr lang="en-US" sz="12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'Ex1.3'!$B$4:$B$13</c:f>
              <c:numCache>
                <c:formatCode>General</c:formatCode>
                <c:ptCount val="10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</c:numCache>
            </c:numRef>
          </c:xVal>
          <c:yVal>
            <c:numRef>
              <c:f>'Ex1.3'!$E$4:$E$13</c:f>
              <c:numCache>
                <c:formatCode>0.00</c:formatCode>
                <c:ptCount val="10"/>
                <c:pt idx="0">
                  <c:v>17.961983030005701</c:v>
                </c:pt>
                <c:pt idx="1">
                  <c:v>15.823082909047001</c:v>
                </c:pt>
                <c:pt idx="2">
                  <c:v>14.571906545498299</c:v>
                </c:pt>
                <c:pt idx="3">
                  <c:v>13.6841827880884</c:v>
                </c:pt>
                <c:pt idx="4">
                  <c:v>12.995610746993799</c:v>
                </c:pt>
                <c:pt idx="5">
                  <c:v>12.433006424539601</c:v>
                </c:pt>
                <c:pt idx="6">
                  <c:v>11.9573312476428</c:v>
                </c:pt>
                <c:pt idx="7">
                  <c:v>11.545282667129699</c:v>
                </c:pt>
                <c:pt idx="8">
                  <c:v>11.181830060990899</c:v>
                </c:pt>
                <c:pt idx="9">
                  <c:v>10.8567106260352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C6-42E9-899E-45B44C34D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110168"/>
        <c:axId val="530103608"/>
      </c:scatterChart>
      <c:valAx>
        <c:axId val="530110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0103608"/>
        <c:crosses val="autoZero"/>
        <c:crossBetween val="midCat"/>
      </c:valAx>
      <c:valAx>
        <c:axId val="53010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0110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'Ex1.3'!$F$3</c:f>
              <c:strCache>
                <c:ptCount val="1"/>
                <c:pt idx="0">
                  <c:v>B4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250218722659665"/>
                  <c:y val="3.3976013414989792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baseline="0"/>
                      <a:t>y = -10,865x + 34,99</a:t>
                    </a:r>
                    <a:br>
                      <a:rPr lang="en-US" sz="1200" baseline="0"/>
                    </a:br>
                    <a:r>
                      <a:rPr lang="en-US" sz="1200" baseline="0"/>
                      <a:t>R² = 1</a:t>
                    </a:r>
                    <a:endParaRPr lang="en-US" sz="12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'Ex1.3'!$B$4:$B$11</c:f>
              <c:numCache>
                <c:formatCode>General</c:formatCode>
                <c:ptCount val="8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</c:numCache>
            </c:numRef>
          </c:xVal>
          <c:yVal>
            <c:numRef>
              <c:f>'Ex1.3'!$F$4:$F$11</c:f>
              <c:numCache>
                <c:formatCode>0.00</c:formatCode>
                <c:ptCount val="8"/>
                <c:pt idx="0">
                  <c:v>32.273695652173899</c:v>
                </c:pt>
                <c:pt idx="1">
                  <c:v>29.557391304347799</c:v>
                </c:pt>
                <c:pt idx="2">
                  <c:v>26.8410869565217</c:v>
                </c:pt>
                <c:pt idx="3">
                  <c:v>24.1247826086957</c:v>
                </c:pt>
                <c:pt idx="4">
                  <c:v>21.4084782608696</c:v>
                </c:pt>
                <c:pt idx="5">
                  <c:v>18.692173913043501</c:v>
                </c:pt>
                <c:pt idx="6">
                  <c:v>15.975869565217399</c:v>
                </c:pt>
                <c:pt idx="7">
                  <c:v>13.2595652173913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DB-4A0E-84AE-8423C405C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354816"/>
        <c:axId val="593358096"/>
      </c:scatterChart>
      <c:valAx>
        <c:axId val="59335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3358096"/>
        <c:crosses val="autoZero"/>
        <c:crossBetween val="midCat"/>
      </c:valAx>
      <c:valAx>
        <c:axId val="59335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3354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'Ex1.3'!$G$3</c:f>
              <c:strCache>
                <c:ptCount val="1"/>
                <c:pt idx="0">
                  <c:v>B5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47473972003499565"/>
                  <c:y val="-6.6242709244677747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baseline="0"/>
                      <a:t>y = 35,015e</a:t>
                    </a:r>
                    <a:r>
                      <a:rPr lang="en-US" sz="1200" baseline="30000"/>
                      <a:t>-0,169x</a:t>
                    </a:r>
                    <a:br>
                      <a:rPr lang="en-US" sz="1200" baseline="0"/>
                    </a:br>
                    <a:r>
                      <a:rPr lang="en-US" sz="1200" baseline="0"/>
                      <a:t>R² = 1</a:t>
                    </a:r>
                    <a:endParaRPr lang="en-US" sz="12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'Ex1.3'!$B$4:$B$27</c:f>
              <c:numCache>
                <c:formatCode>General</c:formatCode>
                <c:ptCount val="24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</c:numCache>
            </c:numRef>
          </c:xVal>
          <c:yVal>
            <c:numRef>
              <c:f>'Ex1.3'!$G$4:$G$27</c:f>
              <c:numCache>
                <c:formatCode>0.00</c:formatCode>
                <c:ptCount val="24"/>
                <c:pt idx="0">
                  <c:v>33.563494133141901</c:v>
                </c:pt>
                <c:pt idx="1">
                  <c:v>32.172158744122498</c:v>
                </c:pt>
                <c:pt idx="2">
                  <c:v>30.838499536166399</c:v>
                </c:pt>
                <c:pt idx="3">
                  <c:v>29.560125610653099</c:v>
                </c:pt>
                <c:pt idx="4">
                  <c:v>28.334745180868001</c:v>
                </c:pt>
                <c:pt idx="5">
                  <c:v>27.160161463433699</c:v>
                </c:pt>
                <c:pt idx="6">
                  <c:v>26.034268740058401</c:v>
                </c:pt>
                <c:pt idx="7">
                  <c:v>24.955048582538598</c:v>
                </c:pt>
                <c:pt idx="8">
                  <c:v>23.920566234251201</c:v>
                </c:pt>
                <c:pt idx="9">
                  <c:v>22.9289671416456</c:v>
                </c:pt>
                <c:pt idx="10">
                  <c:v>21.978473629519499</c:v>
                </c:pt>
                <c:pt idx="11">
                  <c:v>21.0673817141166</c:v>
                </c:pt>
                <c:pt idx="12">
                  <c:v>20.194058048333901</c:v>
                </c:pt>
                <c:pt idx="13">
                  <c:v>19.356936993562201</c:v>
                </c:pt>
                <c:pt idx="14">
                  <c:v>18.554517812909399</c:v>
                </c:pt>
                <c:pt idx="15">
                  <c:v>17.785361980775701</c:v>
                </c:pt>
                <c:pt idx="16">
                  <c:v>17.048090603957402</c:v>
                </c:pt>
                <c:pt idx="17">
                  <c:v>16.341381949655801</c:v>
                </c:pt>
                <c:pt idx="18">
                  <c:v>15.663969075958899</c:v>
                </c:pt>
                <c:pt idx="19">
                  <c:v>15.014637560550099</c:v>
                </c:pt>
                <c:pt idx="20">
                  <c:v>14.392223323569199</c:v>
                </c:pt>
                <c:pt idx="21">
                  <c:v>13.795610540724899</c:v>
                </c:pt>
                <c:pt idx="22">
                  <c:v>13.223729642916799</c:v>
                </c:pt>
                <c:pt idx="23">
                  <c:v>12.6755553987803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4C-43B0-AE9D-6B40A5B24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854768"/>
        <c:axId val="450861328"/>
      </c:scatterChart>
      <c:valAx>
        <c:axId val="45085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50861328"/>
        <c:crosses val="autoZero"/>
        <c:crossBetween val="midCat"/>
      </c:valAx>
      <c:valAx>
        <c:axId val="45086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5085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'Ex1.3'!$H$3</c:f>
              <c:strCache>
                <c:ptCount val="1"/>
                <c:pt idx="0">
                  <c:v>B6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41115857392825894"/>
                  <c:y val="7.5997375328083996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baseline="0"/>
                      <a:t>y = -2,98ln(x) + 14,415</a:t>
                    </a:r>
                    <a:br>
                      <a:rPr lang="en-US" sz="1200" baseline="0"/>
                    </a:br>
                    <a:r>
                      <a:rPr lang="en-US" sz="1200" baseline="0"/>
                      <a:t>R² = 1</a:t>
                    </a:r>
                    <a:endParaRPr lang="en-US" sz="12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'Ex1.3'!$B$4:$B$19</c:f>
              <c:numCache>
                <c:formatCode>General</c:formatCode>
                <c:ptCount val="16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</c:numCache>
            </c:numRef>
          </c:xVal>
          <c:yVal>
            <c:numRef>
              <c:f>'Ex1.3'!$H$4:$H$19</c:f>
              <c:numCache>
                <c:formatCode>0.00</c:formatCode>
                <c:ptCount val="16"/>
                <c:pt idx="0">
                  <c:v>18.5462388180059</c:v>
                </c:pt>
                <c:pt idx="1">
                  <c:v>16.480684367369399</c:v>
                </c:pt>
                <c:pt idx="2">
                  <c:v>15.2724124705494</c:v>
                </c:pt>
                <c:pt idx="3">
                  <c:v>14.4151299167329</c:v>
                </c:pt>
                <c:pt idx="4">
                  <c:v>13.750169907553399</c:v>
                </c:pt>
                <c:pt idx="5">
                  <c:v>13.206858019912801</c:v>
                </c:pt>
                <c:pt idx="6">
                  <c:v>12.7474943642335</c:v>
                </c:pt>
                <c:pt idx="7">
                  <c:v>12.3495754660964</c:v>
                </c:pt>
                <c:pt idx="8">
                  <c:v>11.998586123092799</c:v>
                </c:pt>
                <c:pt idx="9">
                  <c:v>11.6846154569169</c:v>
                </c:pt>
                <c:pt idx="10">
                  <c:v>11.400594441457001</c:v>
                </c:pt>
                <c:pt idx="11">
                  <c:v>11.1413035692763</c:v>
                </c:pt>
                <c:pt idx="13">
                  <c:v>10.681939913597001</c:v>
                </c:pt>
                <c:pt idx="14">
                  <c:v>10.476343560096799</c:v>
                </c:pt>
                <c:pt idx="15">
                  <c:v>10.284021015459899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6A-4547-9A56-1CF23A2CF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865920"/>
        <c:axId val="450866904"/>
      </c:scatterChart>
      <c:valAx>
        <c:axId val="450865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50866904"/>
        <c:crosses val="autoZero"/>
        <c:crossBetween val="midCat"/>
      </c:valAx>
      <c:valAx>
        <c:axId val="45086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50865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Weibull lifetime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'Ex1.3'!$G$46</c:f>
              <c:strCache>
                <c:ptCount val="1"/>
                <c:pt idx="0">
                  <c:v>Yrex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4485018836465923"/>
                  <c:y val="-5.0278621428497171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baseline="0"/>
                      <a:t>y = 1,5521x - 1,9921</a:t>
                    </a:r>
                    <a:br>
                      <a:rPr lang="en-US" sz="1200" baseline="0"/>
                    </a:br>
                    <a:r>
                      <a:rPr lang="en-US" sz="1200" baseline="0"/>
                      <a:t>R² = 0,9398</a:t>
                    </a:r>
                    <a:endParaRPr lang="en-US" sz="12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'Ex1.3'!$F$47:$F$51</c:f>
              <c:numCache>
                <c:formatCode>General</c:formatCode>
                <c:ptCount val="5"/>
                <c:pt idx="0">
                  <c:v>9.6079151121822484E-2</c:v>
                </c:pt>
                <c:pt idx="1">
                  <c:v>0.832929131138468</c:v>
                </c:pt>
                <c:pt idx="2">
                  <c:v>1.1937783538561242</c:v>
                </c:pt>
                <c:pt idx="3">
                  <c:v>1.3350026630302061</c:v>
                </c:pt>
                <c:pt idx="4">
                  <c:v>1.4815436241610735</c:v>
                </c:pt>
              </c:numCache>
            </c:numRef>
          </c:xVal>
          <c:yVal>
            <c:numRef>
              <c:f>'Ex1.3'!$G$47:$G$51</c:f>
              <c:numCache>
                <c:formatCode>General</c:formatCode>
                <c:ptCount val="5"/>
                <c:pt idx="0">
                  <c:v>-1.7019833552815005</c:v>
                </c:pt>
                <c:pt idx="1">
                  <c:v>-0.90272045571788029</c:v>
                </c:pt>
                <c:pt idx="2">
                  <c:v>-0.36651292058166435</c:v>
                </c:pt>
                <c:pt idx="3">
                  <c:v>9.4047827616698901E-2</c:v>
                </c:pt>
                <c:pt idx="4">
                  <c:v>0.58319808078265944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66-471E-A93A-4301A2B61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360064"/>
        <c:axId val="593371544"/>
      </c:scatterChart>
      <c:valAx>
        <c:axId val="593360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3371544"/>
        <c:crosses val="autoZero"/>
        <c:crossBetween val="midCat"/>
      </c:valAx>
      <c:valAx>
        <c:axId val="59337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3360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Reliability R(t)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'Ex1.3'!$C$60</c:f>
              <c:strCache>
                <c:ptCount val="1"/>
                <c:pt idx="0">
                  <c:v>Exp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'Ex1.3'!$B$61:$B$77</c:f>
              <c:numCache>
                <c:formatCode>General</c:formatCode>
                <c:ptCount val="17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</c:numCache>
            </c:numRef>
          </c:xVal>
          <c:yVal>
            <c:numRef>
              <c:f>'Ex1.3'!$C$61:$C$77</c:f>
              <c:numCache>
                <c:formatCode>General</c:formatCode>
                <c:ptCount val="17"/>
                <c:pt idx="0">
                  <c:v>1</c:v>
                </c:pt>
                <c:pt idx="1">
                  <c:v>0.87420902396459088</c:v>
                </c:pt>
                <c:pt idx="2">
                  <c:v>0.76424141758112252</c:v>
                </c:pt>
                <c:pt idx="3">
                  <c:v>0.66810674373690848</c:v>
                </c:pt>
                <c:pt idx="4">
                  <c:v>0.58406494434640377</c:v>
                </c:pt>
                <c:pt idx="5">
                  <c:v>0.51059484492900264</c:v>
                </c:pt>
                <c:pt idx="6">
                  <c:v>0.44636662102673502</c:v>
                </c:pt>
                <c:pt idx="7">
                  <c:v>0.39021772809815447</c:v>
                </c:pt>
                <c:pt idx="8">
                  <c:v>0.34113185921436767</c:v>
                </c:pt>
                <c:pt idx="9">
                  <c:v>0.29822054968701855</c:v>
                </c:pt>
                <c:pt idx="10">
                  <c:v>0.26070709566807226</c:v>
                </c:pt>
                <c:pt idx="11">
                  <c:v>0.2279124956446287</c:v>
                </c:pt>
                <c:pt idx="12">
                  <c:v>0.19924316036682491</c:v>
                </c:pt>
                <c:pt idx="13">
                  <c:v>0.17418016875590242</c:v>
                </c:pt>
                <c:pt idx="14">
                  <c:v>0.15226987532208519</c:v>
                </c:pt>
                <c:pt idx="15">
                  <c:v>0.13311569908453005</c:v>
                </c:pt>
                <c:pt idx="16">
                  <c:v>0.11637094537105118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B3-41FD-B98C-132F6C0785FD}"/>
            </c:ext>
          </c:extLst>
        </c:ser>
        <c:ser>
          <c:idx val="1"/>
          <c:order val="1"/>
          <c:tx>
            <c:strRef>
              <c:f>'Ex1.3'!$D$60</c:f>
              <c:strCache>
                <c:ptCount val="1"/>
                <c:pt idx="0">
                  <c:v>Weibull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'Ex1.3'!$B$61:$B$77</c:f>
              <c:numCache>
                <c:formatCode>General</c:formatCode>
                <c:ptCount val="17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</c:numCache>
            </c:numRef>
          </c:xVal>
          <c:yVal>
            <c:numRef>
              <c:f>'Ex1.3'!$D$61:$D$77</c:f>
              <c:numCache>
                <c:formatCode>General</c:formatCode>
                <c:ptCount val="17"/>
                <c:pt idx="0">
                  <c:v>1</c:v>
                </c:pt>
                <c:pt idx="1">
                  <c:v>0.95454816869318215</c:v>
                </c:pt>
                <c:pt idx="2">
                  <c:v>0.87248600403519561</c:v>
                </c:pt>
                <c:pt idx="3">
                  <c:v>0.77418155657582954</c:v>
                </c:pt>
                <c:pt idx="4">
                  <c:v>0.67031348467466134</c:v>
                </c:pt>
                <c:pt idx="5">
                  <c:v>0.56803754221165659</c:v>
                </c:pt>
                <c:pt idx="6">
                  <c:v>0.47210500086568224</c:v>
                </c:pt>
                <c:pt idx="7">
                  <c:v>0.3854157916025911</c:v>
                </c:pt>
                <c:pt idx="8">
                  <c:v>0.30943618010029617</c:v>
                </c:pt>
                <c:pt idx="9">
                  <c:v>0.2445603245267535</c:v>
                </c:pt>
                <c:pt idx="10">
                  <c:v>0.19042598026584118</c:v>
                </c:pt>
                <c:pt idx="11">
                  <c:v>0.14618099808294838</c:v>
                </c:pt>
                <c:pt idx="12">
                  <c:v>0.11069775363757846</c:v>
                </c:pt>
                <c:pt idx="13">
                  <c:v>8.2736361998026725E-2</c:v>
                </c:pt>
                <c:pt idx="14">
                  <c:v>6.1061076379100104E-2</c:v>
                </c:pt>
                <c:pt idx="15">
                  <c:v>4.4516639465959539E-2</c:v>
                </c:pt>
                <c:pt idx="16">
                  <c:v>3.2072435245144172E-2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B3-41FD-B98C-132F6C078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139392"/>
        <c:axId val="455141360"/>
      </c:scatterChart>
      <c:valAx>
        <c:axId val="455139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55141360"/>
        <c:crosses val="autoZero"/>
        <c:crossBetween val="midCat"/>
      </c:valAx>
      <c:valAx>
        <c:axId val="45514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55139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'Ex2.1'!$F$18</c:f>
              <c:strCache>
                <c:ptCount val="1"/>
                <c:pt idx="0">
                  <c:v>4=c2(T)/c1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'Ex2.1'!$B$19:$B$68</c:f>
              <c:numCache>
                <c:formatCode>General</c:formatCode>
                <c:ptCount val="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0.12000000000000001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0.19999999999999998</c:v>
                </c:pt>
                <c:pt idx="10">
                  <c:v>0.21999999999999997</c:v>
                </c:pt>
                <c:pt idx="11">
                  <c:v>0.23999999999999996</c:v>
                </c:pt>
                <c:pt idx="12">
                  <c:v>0.25999999999999995</c:v>
                </c:pt>
                <c:pt idx="13">
                  <c:v>0.27999999999999997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0.36000000000000004</c:v>
                </c:pt>
                <c:pt idx="18">
                  <c:v>0.38000000000000006</c:v>
                </c:pt>
                <c:pt idx="19">
                  <c:v>0.40000000000000008</c:v>
                </c:pt>
                <c:pt idx="20">
                  <c:v>0.4200000000000001</c:v>
                </c:pt>
                <c:pt idx="21">
                  <c:v>0.44000000000000011</c:v>
                </c:pt>
                <c:pt idx="22">
                  <c:v>0.46000000000000013</c:v>
                </c:pt>
                <c:pt idx="23">
                  <c:v>0.48000000000000015</c:v>
                </c:pt>
                <c:pt idx="24">
                  <c:v>0.50000000000000011</c:v>
                </c:pt>
                <c:pt idx="25">
                  <c:v>0.52000000000000013</c:v>
                </c:pt>
                <c:pt idx="26">
                  <c:v>0.54000000000000015</c:v>
                </c:pt>
                <c:pt idx="27">
                  <c:v>0.56000000000000016</c:v>
                </c:pt>
                <c:pt idx="28">
                  <c:v>0.58000000000000018</c:v>
                </c:pt>
                <c:pt idx="29">
                  <c:v>0.6000000000000002</c:v>
                </c:pt>
                <c:pt idx="30">
                  <c:v>0.62000000000000022</c:v>
                </c:pt>
                <c:pt idx="31">
                  <c:v>0.64000000000000024</c:v>
                </c:pt>
                <c:pt idx="32">
                  <c:v>0.66000000000000025</c:v>
                </c:pt>
                <c:pt idx="33">
                  <c:v>0.68000000000000027</c:v>
                </c:pt>
                <c:pt idx="34">
                  <c:v>0.70000000000000029</c:v>
                </c:pt>
                <c:pt idx="35">
                  <c:v>0.72000000000000031</c:v>
                </c:pt>
                <c:pt idx="36">
                  <c:v>0.74000000000000032</c:v>
                </c:pt>
                <c:pt idx="37">
                  <c:v>0.76000000000000034</c:v>
                </c:pt>
                <c:pt idx="38">
                  <c:v>0.78000000000000036</c:v>
                </c:pt>
                <c:pt idx="39">
                  <c:v>0.80000000000000038</c:v>
                </c:pt>
                <c:pt idx="40">
                  <c:v>0.8200000000000004</c:v>
                </c:pt>
                <c:pt idx="41">
                  <c:v>0.84000000000000041</c:v>
                </c:pt>
                <c:pt idx="42">
                  <c:v>0.86000000000000043</c:v>
                </c:pt>
                <c:pt idx="43">
                  <c:v>0.88000000000000045</c:v>
                </c:pt>
                <c:pt idx="44">
                  <c:v>0.90000000000000047</c:v>
                </c:pt>
                <c:pt idx="45">
                  <c:v>0.92000000000000048</c:v>
                </c:pt>
                <c:pt idx="46">
                  <c:v>0.9400000000000005</c:v>
                </c:pt>
                <c:pt idx="47">
                  <c:v>0.96000000000000052</c:v>
                </c:pt>
                <c:pt idx="48">
                  <c:v>0.98000000000000054</c:v>
                </c:pt>
                <c:pt idx="49">
                  <c:v>1.0000000000000004</c:v>
                </c:pt>
              </c:numCache>
            </c:numRef>
          </c:xVal>
          <c:yVal>
            <c:numRef>
              <c:f>'Ex2.1'!$F$19:$F$68</c:f>
              <c:numCache>
                <c:formatCode>General</c:formatCode>
                <c:ptCount val="50"/>
                <c:pt idx="0">
                  <c:v>4.9406007663946125</c:v>
                </c:pt>
                <c:pt idx="1">
                  <c:v>2.4705366328948344</c:v>
                </c:pt>
                <c:pt idx="2">
                  <c:v>1.6475668727036568</c:v>
                </c:pt>
                <c:pt idx="3">
                  <c:v>1.2366078946756911</c:v>
                </c:pt>
                <c:pt idx="4">
                  <c:v>0.99067825302335777</c:v>
                </c:pt>
                <c:pt idx="5">
                  <c:v>0.82747600037930469</c:v>
                </c:pt>
                <c:pt idx="6">
                  <c:v>0.71174801923393871</c:v>
                </c:pt>
                <c:pt idx="7">
                  <c:v>0.62588286599584175</c:v>
                </c:pt>
                <c:pt idx="8">
                  <c:v>0.56010864212659861</c:v>
                </c:pt>
                <c:pt idx="9">
                  <c:v>0.50857227580321307</c:v>
                </c:pt>
                <c:pt idx="10">
                  <c:v>0.46755744365854934</c:v>
                </c:pt>
                <c:pt idx="11">
                  <c:v>0.43459355889547385</c:v>
                </c:pt>
                <c:pt idx="12">
                  <c:v>0.40797599849959965</c:v>
                </c:pt>
                <c:pt idx="13">
                  <c:v>0.38649193435547141</c:v>
                </c:pt>
                <c:pt idx="14">
                  <c:v>0.36925580832247373</c:v>
                </c:pt>
                <c:pt idx="15">
                  <c:v>0.35560647339555768</c:v>
                </c:pt>
                <c:pt idx="16">
                  <c:v>0.34504060239847545</c:v>
                </c:pt>
                <c:pt idx="17">
                  <c:v>0.33716825505364922</c:v>
                </c:pt>
                <c:pt idx="18">
                  <c:v>0.33168243591732027</c:v>
                </c:pt>
                <c:pt idx="19">
                  <c:v>0.32833774350379463</c:v>
                </c:pt>
                <c:pt idx="20">
                  <c:v>0.32693507823411577</c:v>
                </c:pt>
                <c:pt idx="21">
                  <c:v>0.32731048026311144</c:v>
                </c:pt>
                <c:pt idx="22">
                  <c:v>0.32932683991210504</c:v>
                </c:pt>
                <c:pt idx="23">
                  <c:v>0.33286764327108687</c:v>
                </c:pt>
                <c:pt idx="24">
                  <c:v>0.33783218427896772</c:v>
                </c:pt>
                <c:pt idx="25">
                  <c:v>0.34413185036329408</c:v>
                </c:pt>
                <c:pt idx="26">
                  <c:v>0.35168720596037611</c:v>
                </c:pt>
                <c:pt idx="27">
                  <c:v>0.36042567785038249</c:v>
                </c:pt>
                <c:pt idx="28">
                  <c:v>0.37027970120422204</c:v>
                </c:pt>
                <c:pt idx="29">
                  <c:v>0.3811852237648744</c:v>
                </c:pt>
                <c:pt idx="30">
                  <c:v>0.39308049297250225</c:v>
                </c:pt>
                <c:pt idx="31">
                  <c:v>0.40590507056354541</c:v>
                </c:pt>
                <c:pt idx="32">
                  <c:v>0.41959903354126604</c:v>
                </c:pt>
                <c:pt idx="33">
                  <c:v>0.43410233098930928</c:v>
                </c:pt>
                <c:pt idx="34">
                  <c:v>0.44935427404667133</c:v>
                </c:pt>
                <c:pt idx="35">
                  <c:v>0.46529314221786638</c:v>
                </c:pt>
                <c:pt idx="36">
                  <c:v>0.48185589356845493</c:v>
                </c:pt>
                <c:pt idx="37">
                  <c:v>0.49897796961289131</c:v>
                </c:pt>
                <c:pt idx="38">
                  <c:v>0.51659318809223675</c:v>
                </c:pt>
                <c:pt idx="39">
                  <c:v>0.53463371854313946</c:v>
                </c:pt>
                <c:pt idx="40">
                  <c:v>0.55303013670425882</c:v>
                </c:pt>
                <c:pt idx="41">
                  <c:v>0.57171155448352029</c:v>
                </c:pt>
                <c:pt idx="42">
                  <c:v>0.59060582248603322</c:v>
                </c:pt>
                <c:pt idx="43">
                  <c:v>0.60963980202868284</c:v>
                </c:pt>
                <c:pt idx="44">
                  <c:v>0.62873970318411032</c:v>
                </c:pt>
                <c:pt idx="45">
                  <c:v>0.64783148474021435</c:v>
                </c:pt>
                <c:pt idx="46">
                  <c:v>0.66684131106729516</c:v>
                </c:pt>
                <c:pt idx="47">
                  <c:v>0.68569605979229531</c:v>
                </c:pt>
                <c:pt idx="48">
                  <c:v>0.70432387293277976</c:v>
                </c:pt>
                <c:pt idx="49">
                  <c:v>0.72265474279434949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8E-43B7-8921-38A7E3782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547624"/>
        <c:axId val="542548280"/>
      </c:scatterChart>
      <c:valAx>
        <c:axId val="542547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42548280"/>
        <c:crosses val="autoZero"/>
        <c:crossBetween val="midCat"/>
      </c:valAx>
      <c:valAx>
        <c:axId val="54254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42547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'Ex2.2'!$F$13</c:f>
              <c:strCache>
                <c:ptCount val="1"/>
                <c:pt idx="0">
                  <c:v>4=c2(T)/c1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'Ex2.2'!$B$14:$B$63</c:f>
              <c:numCache>
                <c:formatCode>General</c:formatCode>
                <c:ptCount val="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0.12000000000000001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0.19999999999999998</c:v>
                </c:pt>
                <c:pt idx="10">
                  <c:v>0.21999999999999997</c:v>
                </c:pt>
                <c:pt idx="11">
                  <c:v>0.23999999999999996</c:v>
                </c:pt>
                <c:pt idx="12">
                  <c:v>0.25999999999999995</c:v>
                </c:pt>
                <c:pt idx="13">
                  <c:v>0.27999999999999997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0.36000000000000004</c:v>
                </c:pt>
                <c:pt idx="18">
                  <c:v>0.38000000000000006</c:v>
                </c:pt>
                <c:pt idx="19">
                  <c:v>0.40000000000000008</c:v>
                </c:pt>
                <c:pt idx="20">
                  <c:v>0.4200000000000001</c:v>
                </c:pt>
                <c:pt idx="21">
                  <c:v>0.44000000000000011</c:v>
                </c:pt>
                <c:pt idx="22">
                  <c:v>0.46000000000000013</c:v>
                </c:pt>
                <c:pt idx="23">
                  <c:v>0.48000000000000015</c:v>
                </c:pt>
                <c:pt idx="24">
                  <c:v>0.50000000000000011</c:v>
                </c:pt>
                <c:pt idx="25">
                  <c:v>0.52000000000000013</c:v>
                </c:pt>
                <c:pt idx="26">
                  <c:v>0.54000000000000015</c:v>
                </c:pt>
                <c:pt idx="27">
                  <c:v>0.56000000000000016</c:v>
                </c:pt>
                <c:pt idx="28">
                  <c:v>0.58000000000000018</c:v>
                </c:pt>
                <c:pt idx="29">
                  <c:v>0.6000000000000002</c:v>
                </c:pt>
                <c:pt idx="30">
                  <c:v>0.62000000000000022</c:v>
                </c:pt>
                <c:pt idx="31">
                  <c:v>0.64000000000000024</c:v>
                </c:pt>
                <c:pt idx="32">
                  <c:v>0.66000000000000025</c:v>
                </c:pt>
                <c:pt idx="33">
                  <c:v>0.68000000000000027</c:v>
                </c:pt>
                <c:pt idx="34">
                  <c:v>0.70000000000000029</c:v>
                </c:pt>
                <c:pt idx="35">
                  <c:v>0.72000000000000031</c:v>
                </c:pt>
                <c:pt idx="36">
                  <c:v>0.74000000000000032</c:v>
                </c:pt>
                <c:pt idx="37">
                  <c:v>0.76000000000000034</c:v>
                </c:pt>
                <c:pt idx="38">
                  <c:v>0.78000000000000036</c:v>
                </c:pt>
                <c:pt idx="39">
                  <c:v>0.80000000000000038</c:v>
                </c:pt>
                <c:pt idx="40">
                  <c:v>0.8200000000000004</c:v>
                </c:pt>
                <c:pt idx="41">
                  <c:v>0.84000000000000041</c:v>
                </c:pt>
                <c:pt idx="42">
                  <c:v>0.86000000000000043</c:v>
                </c:pt>
                <c:pt idx="43">
                  <c:v>0.88000000000000045</c:v>
                </c:pt>
                <c:pt idx="44">
                  <c:v>0.90000000000000047</c:v>
                </c:pt>
                <c:pt idx="45">
                  <c:v>0.92000000000000048</c:v>
                </c:pt>
                <c:pt idx="46">
                  <c:v>0.9400000000000005</c:v>
                </c:pt>
                <c:pt idx="47">
                  <c:v>0.96000000000000052</c:v>
                </c:pt>
                <c:pt idx="48">
                  <c:v>0.98000000000000054</c:v>
                </c:pt>
                <c:pt idx="49">
                  <c:v>1.0000000000000004</c:v>
                </c:pt>
              </c:numCache>
            </c:numRef>
          </c:xVal>
          <c:yVal>
            <c:numRef>
              <c:f>'Ex2.2'!$F$14:$F$63</c:f>
              <c:numCache>
                <c:formatCode>General</c:formatCode>
                <c:ptCount val="50"/>
                <c:pt idx="0">
                  <c:v>1.4512687122969992</c:v>
                </c:pt>
                <c:pt idx="1">
                  <c:v>0.72629121486111226</c:v>
                </c:pt>
                <c:pt idx="2">
                  <c:v>0.48550178894613427</c:v>
                </c:pt>
                <c:pt idx="3">
                  <c:v>0.36616508971992523</c:v>
                </c:pt>
                <c:pt idx="4">
                  <c:v>0.29575699834656727</c:v>
                </c:pt>
                <c:pt idx="5">
                  <c:v>0.25011757486089109</c:v>
                </c:pt>
                <c:pt idx="6">
                  <c:v>0.21890280726275188</c:v>
                </c:pt>
                <c:pt idx="7">
                  <c:v>0.19694809105293859</c:v>
                </c:pt>
                <c:pt idx="8">
                  <c:v>0.18138964024805301</c:v>
                </c:pt>
                <c:pt idx="9">
                  <c:v>0.1705131728157285</c:v>
                </c:pt>
                <c:pt idx="10">
                  <c:v>0.16323064159933637</c:v>
                </c:pt>
                <c:pt idx="11">
                  <c:v>0.1588186201547892</c:v>
                </c:pt>
                <c:pt idx="12">
                  <c:v>0.15677743387124773</c:v>
                </c:pt>
                <c:pt idx="13">
                  <c:v>0.15675065205451658</c:v>
                </c:pt>
                <c:pt idx="14">
                  <c:v>0.15847676496602955</c:v>
                </c:pt>
                <c:pt idx="15">
                  <c:v>0.16175895998377998</c:v>
                </c:pt>
                <c:pt idx="16">
                  <c:v>0.16644554118447247</c:v>
                </c:pt>
                <c:pt idx="17">
                  <c:v>0.17241685140437471</c:v>
                </c:pt>
                <c:pt idx="18">
                  <c:v>0.17957630026629912</c:v>
                </c:pt>
                <c:pt idx="19">
                  <c:v>0.18784406099211154</c:v>
                </c:pt>
                <c:pt idx="20">
                  <c:v>0.19715254695077941</c:v>
                </c:pt>
                <c:pt idx="21">
                  <c:v>0.20744310275626829</c:v>
                </c:pt>
                <c:pt idx="22">
                  <c:v>0.218663541850839</c:v>
                </c:pt>
                <c:pt idx="23">
                  <c:v>0.23076628570741894</c:v>
                </c:pt>
                <c:pt idx="24">
                  <c:v>0.24370693863531726</c:v>
                </c:pt>
                <c:pt idx="25">
                  <c:v>0.25744318373695418</c:v>
                </c:pt>
                <c:pt idx="26">
                  <c:v>0.27193391994722033</c:v>
                </c:pt>
                <c:pt idx="27">
                  <c:v>0.28713858342674592</c:v>
                </c:pt>
                <c:pt idx="28">
                  <c:v>0.30301661268213942</c:v>
                </c:pt>
                <c:pt idx="29">
                  <c:v>0.31952702805939992</c:v>
                </c:pt>
                <c:pt idx="30">
                  <c:v>0.33662810425396633</c:v>
                </c:pt>
                <c:pt idx="31">
                  <c:v>0.35427712021973212</c:v>
                </c:pt>
                <c:pt idx="32">
                  <c:v>0.37243017501650078</c:v>
                </c:pt>
                <c:pt idx="33">
                  <c:v>0.39104206116692986</c:v>
                </c:pt>
                <c:pt idx="34">
                  <c:v>0.41006618931114458</c:v>
                </c:pt>
                <c:pt idx="35">
                  <c:v>0.42945455956438949</c:v>
                </c:pt>
                <c:pt idx="36">
                  <c:v>0.44915777614952018</c:v>
                </c:pt>
                <c:pt idx="37">
                  <c:v>0.46912510269651869</c:v>
                </c:pt>
                <c:pt idx="38">
                  <c:v>0.48930455614959872</c:v>
                </c:pt>
                <c:pt idx="39">
                  <c:v>0.50964303755180229</c:v>
                </c:pt>
                <c:pt idx="40">
                  <c:v>0.53008649812569597</c:v>
                </c:pt>
                <c:pt idx="41">
                  <c:v>0.55058013906545544</c:v>
                </c:pt>
                <c:pt idx="42">
                  <c:v>0.57106864332242491</c:v>
                </c:pt>
                <c:pt idx="43">
                  <c:v>0.59149643742140934</c:v>
                </c:pt>
                <c:pt idx="44">
                  <c:v>0.61180798100473366</c:v>
                </c:pt>
                <c:pt idx="45">
                  <c:v>0.63194808138116021</c:v>
                </c:pt>
                <c:pt idx="46">
                  <c:v>0.65186222987334741</c:v>
                </c:pt>
                <c:pt idx="47">
                  <c:v>0.67149695622827343</c:v>
                </c:pt>
                <c:pt idx="48">
                  <c:v>0.69080019679950044</c:v>
                </c:pt>
                <c:pt idx="49">
                  <c:v>0.70972167165007594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B6-43C9-A37B-F8984F38C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537456"/>
        <c:axId val="542536144"/>
      </c:scatterChart>
      <c:valAx>
        <c:axId val="542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42536144"/>
        <c:crosses val="autoZero"/>
        <c:crossBetween val="midCat"/>
      </c:valAx>
      <c:valAx>
        <c:axId val="54253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42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4.xml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28575</xdr:colOff>
      <xdr:row>1</xdr:row>
      <xdr:rowOff>4762</xdr:rowOff>
    </xdr:from>
    <xdr:to>
      <xdr:col>19</xdr:col>
      <xdr:colOff>333375</xdr:colOff>
      <xdr:row>16</xdr:row>
      <xdr:rowOff>33337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DED8398-E45B-43E0-AC25-7827C4EE8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33337</xdr:colOff>
      <xdr:row>1</xdr:row>
      <xdr:rowOff>23812</xdr:rowOff>
    </xdr:from>
    <xdr:to>
      <xdr:col>27</xdr:col>
      <xdr:colOff>338137</xdr:colOff>
      <xdr:row>16</xdr:row>
      <xdr:rowOff>52387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66AF5E7E-57FC-4EEC-8BF6-DF8AF79B9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33337</xdr:colOff>
      <xdr:row>17</xdr:row>
      <xdr:rowOff>23812</xdr:rowOff>
    </xdr:from>
    <xdr:to>
      <xdr:col>19</xdr:col>
      <xdr:colOff>338137</xdr:colOff>
      <xdr:row>32</xdr:row>
      <xdr:rowOff>100012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AD30FB04-E44C-4C9A-9A26-8E0945349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52387</xdr:colOff>
      <xdr:row>17</xdr:row>
      <xdr:rowOff>14287</xdr:rowOff>
    </xdr:from>
    <xdr:to>
      <xdr:col>27</xdr:col>
      <xdr:colOff>357187</xdr:colOff>
      <xdr:row>32</xdr:row>
      <xdr:rowOff>90487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FD4A6F4F-1540-4603-8912-2FAF0CAE5D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33337</xdr:colOff>
      <xdr:row>33</xdr:row>
      <xdr:rowOff>128587</xdr:rowOff>
    </xdr:from>
    <xdr:to>
      <xdr:col>19</xdr:col>
      <xdr:colOff>338137</xdr:colOff>
      <xdr:row>61</xdr:row>
      <xdr:rowOff>14287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0B0BE9F0-9D8C-4666-8CD0-E46F209764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61912</xdr:colOff>
      <xdr:row>33</xdr:row>
      <xdr:rowOff>138112</xdr:rowOff>
    </xdr:from>
    <xdr:to>
      <xdr:col>27</xdr:col>
      <xdr:colOff>366712</xdr:colOff>
      <xdr:row>61</xdr:row>
      <xdr:rowOff>23812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03E6A19F-4D4B-401C-8D5D-A9BCE4C6A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42862</xdr:colOff>
      <xdr:row>62</xdr:row>
      <xdr:rowOff>33337</xdr:rowOff>
    </xdr:from>
    <xdr:to>
      <xdr:col>19</xdr:col>
      <xdr:colOff>347662</xdr:colOff>
      <xdr:row>76</xdr:row>
      <xdr:rowOff>109537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374E64F1-1A21-4F3F-9020-752BD6D5B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104774</xdr:colOff>
      <xdr:row>42</xdr:row>
      <xdr:rowOff>9524</xdr:rowOff>
    </xdr:from>
    <xdr:to>
      <xdr:col>11</xdr:col>
      <xdr:colOff>581025</xdr:colOff>
      <xdr:row>54</xdr:row>
      <xdr:rowOff>171449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D1AF4BAD-AB84-4069-92FD-A2BE1682D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561974</xdr:colOff>
      <xdr:row>17</xdr:row>
      <xdr:rowOff>133350</xdr:rowOff>
    </xdr:from>
    <xdr:to>
      <xdr:col>11</xdr:col>
      <xdr:colOff>23811</xdr:colOff>
      <xdr:row>26</xdr:row>
      <xdr:rowOff>33337</xdr:rowOff>
    </xdr:to>
    <xdr:graphicFrame macro="">
      <xdr:nvGraphicFramePr>
        <xdr:cNvPr id="14" name="Graphique 13">
          <a:extLst>
            <a:ext uri="{FF2B5EF4-FFF2-40B4-BE49-F238E27FC236}">
              <a16:creationId xmlns:a16="http://schemas.microsoft.com/office/drawing/2014/main" id="{A85BAE05-366A-4310-A7B8-506E29CD1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</xdr:colOff>
      <xdr:row>1</xdr:row>
      <xdr:rowOff>14287</xdr:rowOff>
    </xdr:from>
    <xdr:to>
      <xdr:col>14</xdr:col>
      <xdr:colOff>33337</xdr:colOff>
      <xdr:row>15</xdr:row>
      <xdr:rowOff>71437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67D8062-838B-4633-869C-B76F76531C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42862</xdr:colOff>
      <xdr:row>16</xdr:row>
      <xdr:rowOff>14287</xdr:rowOff>
    </xdr:from>
    <xdr:to>
      <xdr:col>14</xdr:col>
      <xdr:colOff>42862</xdr:colOff>
      <xdr:row>30</xdr:row>
      <xdr:rowOff>90487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6FB59A00-73C7-4F6C-87AF-8D1D46F83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42862</xdr:colOff>
      <xdr:row>31</xdr:row>
      <xdr:rowOff>52387</xdr:rowOff>
    </xdr:from>
    <xdr:to>
      <xdr:col>14</xdr:col>
      <xdr:colOff>42862</xdr:colOff>
      <xdr:row>45</xdr:row>
      <xdr:rowOff>128587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FD54F184-6160-4E68-A9F8-B27774D15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214312</xdr:colOff>
      <xdr:row>1</xdr:row>
      <xdr:rowOff>23812</xdr:rowOff>
    </xdr:from>
    <xdr:to>
      <xdr:col>20</xdr:col>
      <xdr:colOff>214312</xdr:colOff>
      <xdr:row>15</xdr:row>
      <xdr:rowOff>80962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471F2BF8-D76B-4C46-B08C-5957C6D85D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214312</xdr:colOff>
      <xdr:row>16</xdr:row>
      <xdr:rowOff>14287</xdr:rowOff>
    </xdr:from>
    <xdr:to>
      <xdr:col>20</xdr:col>
      <xdr:colOff>214312</xdr:colOff>
      <xdr:row>30</xdr:row>
      <xdr:rowOff>90487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30AFAE32-1C16-4A57-AF8C-BAB2D2F4A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28575</xdr:colOff>
      <xdr:row>38</xdr:row>
      <xdr:rowOff>85725</xdr:rowOff>
    </xdr:from>
    <xdr:to>
      <xdr:col>6</xdr:col>
      <xdr:colOff>61912</xdr:colOff>
      <xdr:row>49</xdr:row>
      <xdr:rowOff>52387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A22D0F15-B517-497F-A57F-07BA5CAB8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9525</xdr:colOff>
      <xdr:row>1</xdr:row>
      <xdr:rowOff>14287</xdr:rowOff>
    </xdr:from>
    <xdr:to>
      <xdr:col>17</xdr:col>
      <xdr:colOff>9525</xdr:colOff>
      <xdr:row>15</xdr:row>
      <xdr:rowOff>14287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8477F7CC-14EA-4B57-9444-72C5318EB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23812</xdr:colOff>
      <xdr:row>15</xdr:row>
      <xdr:rowOff>90487</xdr:rowOff>
    </xdr:from>
    <xdr:to>
      <xdr:col>17</xdr:col>
      <xdr:colOff>23812</xdr:colOff>
      <xdr:row>29</xdr:row>
      <xdr:rowOff>157162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8004364E-9890-4F32-8DA2-A56F26946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</xdr:colOff>
      <xdr:row>30</xdr:row>
      <xdr:rowOff>71437</xdr:rowOff>
    </xdr:from>
    <xdr:to>
      <xdr:col>17</xdr:col>
      <xdr:colOff>23812</xdr:colOff>
      <xdr:row>45</xdr:row>
      <xdr:rowOff>147637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190183F8-4F46-46EB-BD5A-6DF9D37382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242887</xdr:colOff>
      <xdr:row>1</xdr:row>
      <xdr:rowOff>4762</xdr:rowOff>
    </xdr:from>
    <xdr:to>
      <xdr:col>23</xdr:col>
      <xdr:colOff>242887</xdr:colOff>
      <xdr:row>15</xdr:row>
      <xdr:rowOff>4762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4882C583-461F-403E-98DA-A56E8092A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242887</xdr:colOff>
      <xdr:row>15</xdr:row>
      <xdr:rowOff>90487</xdr:rowOff>
    </xdr:from>
    <xdr:to>
      <xdr:col>23</xdr:col>
      <xdr:colOff>242887</xdr:colOff>
      <xdr:row>29</xdr:row>
      <xdr:rowOff>157162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8828C7A1-FE48-48A7-AB30-DF75708118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252412</xdr:colOff>
      <xdr:row>30</xdr:row>
      <xdr:rowOff>61912</xdr:rowOff>
    </xdr:from>
    <xdr:to>
      <xdr:col>23</xdr:col>
      <xdr:colOff>252412</xdr:colOff>
      <xdr:row>45</xdr:row>
      <xdr:rowOff>138112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84A1220B-7F3D-49DF-A4A8-ED8764EE9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100012</xdr:colOff>
      <xdr:row>35</xdr:row>
      <xdr:rowOff>100012</xdr:rowOff>
    </xdr:from>
    <xdr:to>
      <xdr:col>10</xdr:col>
      <xdr:colOff>95250</xdr:colOff>
      <xdr:row>43</xdr:row>
      <xdr:rowOff>85725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EC74BE0B-7AD8-4653-B1C8-1471D717E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366712</xdr:colOff>
      <xdr:row>58</xdr:row>
      <xdr:rowOff>90487</xdr:rowOff>
    </xdr:from>
    <xdr:to>
      <xdr:col>10</xdr:col>
      <xdr:colOff>100012</xdr:colOff>
      <xdr:row>72</xdr:row>
      <xdr:rowOff>147637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B06ED114-660A-4571-90E9-CA74EFB76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19050</xdr:colOff>
      <xdr:row>1</xdr:row>
      <xdr:rowOff>19050</xdr:rowOff>
    </xdr:from>
    <xdr:to>
      <xdr:col>21</xdr:col>
      <xdr:colOff>122955</xdr:colOff>
      <xdr:row>42</xdr:row>
      <xdr:rowOff>65671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ED14C1B5-0272-4B42-859C-C3EB3CF1E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63050" y="219075"/>
          <a:ext cx="6961905" cy="80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295275</xdr:colOff>
      <xdr:row>17</xdr:row>
      <xdr:rowOff>152401</xdr:rowOff>
    </xdr:from>
    <xdr:to>
      <xdr:col>9</xdr:col>
      <xdr:colOff>161925</xdr:colOff>
      <xdr:row>20</xdr:row>
      <xdr:rowOff>185692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AE5EA536-835E-485F-9845-99C1315D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9275" y="3495676"/>
          <a:ext cx="1390650" cy="614316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21</xdr:row>
      <xdr:rowOff>42825</xdr:rowOff>
    </xdr:from>
    <xdr:to>
      <xdr:col>11</xdr:col>
      <xdr:colOff>747154</xdr:colOff>
      <xdr:row>24</xdr:row>
      <xdr:rowOff>109116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6E135FCE-8151-4198-9DA0-AFF99AA1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1175" y="4148100"/>
          <a:ext cx="3537979" cy="637791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161924</xdr:colOff>
      <xdr:row>34</xdr:row>
      <xdr:rowOff>54675</xdr:rowOff>
    </xdr:from>
    <xdr:to>
      <xdr:col>11</xdr:col>
      <xdr:colOff>692849</xdr:colOff>
      <xdr:row>39</xdr:row>
      <xdr:rowOff>68337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6E996741-1C41-434C-91FC-927AEB605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3924" y="6636450"/>
          <a:ext cx="4340925" cy="966162"/>
        </a:xfrm>
        <a:prstGeom prst="rect">
          <a:avLst/>
        </a:prstGeom>
      </xdr:spPr>
    </xdr:pic>
    <xdr:clientData/>
  </xdr:twoCellAnchor>
  <xdr:twoCellAnchor editAs="oneCell">
    <xdr:from>
      <xdr:col>7</xdr:col>
      <xdr:colOff>314325</xdr:colOff>
      <xdr:row>28</xdr:row>
      <xdr:rowOff>171450</xdr:rowOff>
    </xdr:from>
    <xdr:to>
      <xdr:col>10</xdr:col>
      <xdr:colOff>552134</xdr:colOff>
      <xdr:row>32</xdr:row>
      <xdr:rowOff>171355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EDEADF96-D8DF-4114-AFDE-7589281D5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8325" y="5610225"/>
          <a:ext cx="2523809" cy="761905"/>
        </a:xfrm>
        <a:prstGeom prst="rect">
          <a:avLst/>
        </a:prstGeom>
      </xdr:spPr>
    </xdr:pic>
    <xdr:clientData/>
  </xdr:twoCellAnchor>
  <xdr:twoCellAnchor>
    <xdr:from>
      <xdr:col>6</xdr:col>
      <xdr:colOff>152400</xdr:colOff>
      <xdr:row>46</xdr:row>
      <xdr:rowOff>100012</xdr:rowOff>
    </xdr:from>
    <xdr:to>
      <xdr:col>12</xdr:col>
      <xdr:colOff>152400</xdr:colOff>
      <xdr:row>60</xdr:row>
      <xdr:rowOff>176212</xdr:rowOff>
    </xdr:to>
    <xdr:graphicFrame macro="">
      <xdr:nvGraphicFramePr>
        <xdr:cNvPr id="25" name="Graphique 24">
          <a:extLst>
            <a:ext uri="{FF2B5EF4-FFF2-40B4-BE49-F238E27FC236}">
              <a16:creationId xmlns:a16="http://schemas.microsoft.com/office/drawing/2014/main" id="{22C60B5C-0C8E-4DD5-83A3-F7F2A6AC2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7</xdr:col>
      <xdr:colOff>285750</xdr:colOff>
      <xdr:row>24</xdr:row>
      <xdr:rowOff>171450</xdr:rowOff>
    </xdr:from>
    <xdr:to>
      <xdr:col>11</xdr:col>
      <xdr:colOff>171083</xdr:colOff>
      <xdr:row>28</xdr:row>
      <xdr:rowOff>47545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id="{210F4644-512A-4585-A4B7-CDEBB267B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4050" y="4895850"/>
          <a:ext cx="2933333" cy="6380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18</xdr:row>
      <xdr:rowOff>23812</xdr:rowOff>
    </xdr:from>
    <xdr:to>
      <xdr:col>13</xdr:col>
      <xdr:colOff>9525</xdr:colOff>
      <xdr:row>32</xdr:row>
      <xdr:rowOff>100012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CDBADF97-AA13-4016-BEA0-A04D95DD6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104775</xdr:rowOff>
    </xdr:from>
    <xdr:to>
      <xdr:col>3</xdr:col>
      <xdr:colOff>742950</xdr:colOff>
      <xdr:row>5</xdr:row>
      <xdr:rowOff>28575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94010653-05BE-436D-976C-06CDB5D68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104775"/>
          <a:ext cx="2305050" cy="876300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133350</xdr:colOff>
      <xdr:row>0</xdr:row>
      <xdr:rowOff>0</xdr:rowOff>
    </xdr:from>
    <xdr:to>
      <xdr:col>16</xdr:col>
      <xdr:colOff>656493</xdr:colOff>
      <xdr:row>18</xdr:row>
      <xdr:rowOff>199554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A48897AD-6594-4BE0-A059-7538F6A1F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8025" y="0"/>
          <a:ext cx="5857143" cy="3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3</xdr:col>
      <xdr:colOff>571500</xdr:colOff>
      <xdr:row>53</xdr:row>
      <xdr:rowOff>142875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B8BD24D3-238C-46FA-B321-CDD7BE3B0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9077325"/>
          <a:ext cx="2162175" cy="1476375"/>
        </a:xfrm>
        <a:prstGeom prst="rect">
          <a:avLst/>
        </a:prstGeom>
      </xdr:spPr>
    </xdr:pic>
    <xdr:clientData/>
  </xdr:twoCellAnchor>
  <xdr:twoCellAnchor editAs="oneCell">
    <xdr:from>
      <xdr:col>4</xdr:col>
      <xdr:colOff>321450</xdr:colOff>
      <xdr:row>45</xdr:row>
      <xdr:rowOff>188100</xdr:rowOff>
    </xdr:from>
    <xdr:to>
      <xdr:col>6</xdr:col>
      <xdr:colOff>721500</xdr:colOff>
      <xdr:row>53</xdr:row>
      <xdr:rowOff>92850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7B932A49-88A7-4D3D-BBAC-F1ED210B7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6125" y="9074925"/>
          <a:ext cx="1924050" cy="1428750"/>
        </a:xfrm>
        <a:prstGeom prst="rect">
          <a:avLst/>
        </a:prstGeom>
      </xdr:spPr>
    </xdr:pic>
    <xdr:clientData/>
  </xdr:twoCellAnchor>
  <xdr:twoCellAnchor editAs="oneCell">
    <xdr:from>
      <xdr:col>7</xdr:col>
      <xdr:colOff>557175</xdr:colOff>
      <xdr:row>46</xdr:row>
      <xdr:rowOff>4725</xdr:rowOff>
    </xdr:from>
    <xdr:to>
      <xdr:col>10</xdr:col>
      <xdr:colOff>128550</xdr:colOff>
      <xdr:row>53</xdr:row>
      <xdr:rowOff>119025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5CE41401-6540-4A10-891A-6DCF4C9F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7850" y="9082050"/>
          <a:ext cx="1857375" cy="1447800"/>
        </a:xfrm>
        <a:prstGeom prst="rect">
          <a:avLst/>
        </a:prstGeom>
      </xdr:spPr>
    </xdr:pic>
    <xdr:clientData/>
  </xdr:twoCellAnchor>
  <xdr:twoCellAnchor editAs="oneCell">
    <xdr:from>
      <xdr:col>0</xdr:col>
      <xdr:colOff>611925</xdr:colOff>
      <xdr:row>54</xdr:row>
      <xdr:rowOff>183300</xdr:rowOff>
    </xdr:from>
    <xdr:to>
      <xdr:col>3</xdr:col>
      <xdr:colOff>726225</xdr:colOff>
      <xdr:row>63</xdr:row>
      <xdr:rowOff>97575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9DCB0444-C88E-48C0-AE3C-EA7E04D99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925" y="10784625"/>
          <a:ext cx="2466975" cy="1628775"/>
        </a:xfrm>
        <a:prstGeom prst="rect">
          <a:avLst/>
        </a:prstGeom>
      </xdr:spPr>
    </xdr:pic>
    <xdr:clientData/>
  </xdr:twoCellAnchor>
  <xdr:twoCellAnchor editAs="oneCell">
    <xdr:from>
      <xdr:col>4</xdr:col>
      <xdr:colOff>57075</xdr:colOff>
      <xdr:row>54</xdr:row>
      <xdr:rowOff>180900</xdr:rowOff>
    </xdr:from>
    <xdr:to>
      <xdr:col>7</xdr:col>
      <xdr:colOff>247575</xdr:colOff>
      <xdr:row>63</xdr:row>
      <xdr:rowOff>104700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C3F91F31-C62A-4381-9673-892738B3C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1750" y="10782225"/>
          <a:ext cx="2476500" cy="1638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330900</xdr:colOff>
      <xdr:row>54</xdr:row>
      <xdr:rowOff>188025</xdr:rowOff>
    </xdr:from>
    <xdr:to>
      <xdr:col>10</xdr:col>
      <xdr:colOff>569025</xdr:colOff>
      <xdr:row>63</xdr:row>
      <xdr:rowOff>35625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AC7258C2-11EC-477C-9E0A-DCDCAC267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1575" y="10789350"/>
          <a:ext cx="2524125" cy="1562100"/>
        </a:xfrm>
        <a:prstGeom prst="rect">
          <a:avLst/>
        </a:prstGeom>
      </xdr:spPr>
    </xdr:pic>
    <xdr:clientData/>
  </xdr:twoCellAnchor>
  <xdr:twoCellAnchor editAs="oneCell">
    <xdr:from>
      <xdr:col>5</xdr:col>
      <xdr:colOff>299925</xdr:colOff>
      <xdr:row>64</xdr:row>
      <xdr:rowOff>14175</xdr:rowOff>
    </xdr:from>
    <xdr:to>
      <xdr:col>9</xdr:col>
      <xdr:colOff>309450</xdr:colOff>
      <xdr:row>73</xdr:row>
      <xdr:rowOff>128475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46015C-8103-4878-8052-C44C7A53E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600" y="12520500"/>
          <a:ext cx="3057525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87975</xdr:colOff>
      <xdr:row>75</xdr:row>
      <xdr:rowOff>30825</xdr:rowOff>
    </xdr:from>
    <xdr:to>
      <xdr:col>6</xdr:col>
      <xdr:colOff>173700</xdr:colOff>
      <xdr:row>84</xdr:row>
      <xdr:rowOff>97500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12F47E72-44C7-4569-8AC9-3973C3532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1975" y="14632650"/>
          <a:ext cx="3200400" cy="1781175"/>
        </a:xfrm>
        <a:prstGeom prst="rect">
          <a:avLst/>
        </a:prstGeom>
      </xdr:spPr>
    </xdr:pic>
    <xdr:clientData/>
  </xdr:twoCellAnchor>
  <xdr:twoCellAnchor editAs="oneCell">
    <xdr:from>
      <xdr:col>11</xdr:col>
      <xdr:colOff>47475</xdr:colOff>
      <xdr:row>46</xdr:row>
      <xdr:rowOff>18900</xdr:rowOff>
    </xdr:from>
    <xdr:to>
      <xdr:col>21</xdr:col>
      <xdr:colOff>199875</xdr:colOff>
      <xdr:row>78</xdr:row>
      <xdr:rowOff>188322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D872F9A-0698-433B-9E36-B8E661A86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96150" y="9096225"/>
          <a:ext cx="7772400" cy="626542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0</xdr:row>
      <xdr:rowOff>152400</xdr:rowOff>
    </xdr:from>
    <xdr:to>
      <xdr:col>4</xdr:col>
      <xdr:colOff>200025</xdr:colOff>
      <xdr:row>8</xdr:row>
      <xdr:rowOff>9525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4599312-4134-4D12-9288-6BE47239C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152400"/>
          <a:ext cx="2486025" cy="1381125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1</xdr:row>
      <xdr:rowOff>9525</xdr:rowOff>
    </xdr:from>
    <xdr:to>
      <xdr:col>19</xdr:col>
      <xdr:colOff>599165</xdr:colOff>
      <xdr:row>18</xdr:row>
      <xdr:rowOff>199584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B6DB127E-9D74-49C1-B821-6B21FBE19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7650" y="200025"/>
          <a:ext cx="7276190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46</xdr:row>
      <xdr:rowOff>76200</xdr:rowOff>
    </xdr:from>
    <xdr:to>
      <xdr:col>2</xdr:col>
      <xdr:colOff>752475</xdr:colOff>
      <xdr:row>55</xdr:row>
      <xdr:rowOff>152400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93A70403-5E1D-4F8B-AA5F-1E1A35342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9096375"/>
          <a:ext cx="1304925" cy="1790700"/>
        </a:xfrm>
        <a:prstGeom prst="rect">
          <a:avLst/>
        </a:prstGeom>
      </xdr:spPr>
    </xdr:pic>
    <xdr:clientData/>
  </xdr:twoCellAnchor>
  <xdr:twoCellAnchor editAs="oneCell">
    <xdr:from>
      <xdr:col>9</xdr:col>
      <xdr:colOff>159525</xdr:colOff>
      <xdr:row>49</xdr:row>
      <xdr:rowOff>7125</xdr:rowOff>
    </xdr:from>
    <xdr:to>
      <xdr:col>16</xdr:col>
      <xdr:colOff>444573</xdr:colOff>
      <xdr:row>66</xdr:row>
      <xdr:rowOff>197184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9F3DC975-8FBD-4C51-A933-01E9921A7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0875" y="9598800"/>
          <a:ext cx="5619048" cy="35238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0</xdr:rowOff>
    </xdr:from>
    <xdr:to>
      <xdr:col>4</xdr:col>
      <xdr:colOff>400050</xdr:colOff>
      <xdr:row>7</xdr:row>
      <xdr:rowOff>19050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19E16B30-3307-4E77-9FEB-30643F1E6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190500"/>
          <a:ext cx="2609850" cy="1162050"/>
        </a:xfrm>
        <a:prstGeom prst="rect">
          <a:avLst/>
        </a:prstGeom>
      </xdr:spPr>
    </xdr:pic>
    <xdr:clientData/>
  </xdr:twoCellAnchor>
  <xdr:twoCellAnchor editAs="oneCell">
    <xdr:from>
      <xdr:col>18</xdr:col>
      <xdr:colOff>207150</xdr:colOff>
      <xdr:row>0</xdr:row>
      <xdr:rowOff>130950</xdr:rowOff>
    </xdr:from>
    <xdr:to>
      <xdr:col>28</xdr:col>
      <xdr:colOff>359550</xdr:colOff>
      <xdr:row>32</xdr:row>
      <xdr:rowOff>198431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E5EEC31F-290C-4344-8EC7-1A59C7348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3150" y="130950"/>
          <a:ext cx="7772400" cy="640160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4</xdr:row>
      <xdr:rowOff>9525</xdr:rowOff>
    </xdr:from>
    <xdr:to>
      <xdr:col>4</xdr:col>
      <xdr:colOff>342900</xdr:colOff>
      <xdr:row>12</xdr:row>
      <xdr:rowOff>19050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163C8D7A-9E5A-43BC-8BE2-BC5270148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771525"/>
          <a:ext cx="2590800" cy="1533525"/>
        </a:xfrm>
        <a:prstGeom prst="rect">
          <a:avLst/>
        </a:prstGeom>
      </xdr:spPr>
    </xdr:pic>
    <xdr:clientData/>
  </xdr:twoCellAnchor>
  <xdr:twoCellAnchor editAs="oneCell">
    <xdr:from>
      <xdr:col>5</xdr:col>
      <xdr:colOff>254775</xdr:colOff>
      <xdr:row>4</xdr:row>
      <xdr:rowOff>64275</xdr:rowOff>
    </xdr:from>
    <xdr:to>
      <xdr:col>8</xdr:col>
      <xdr:colOff>511950</xdr:colOff>
      <xdr:row>11</xdr:row>
      <xdr:rowOff>130950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7CB4FC12-53E5-49AB-AB44-7297CE422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4775" y="826275"/>
          <a:ext cx="2543175" cy="1400175"/>
        </a:xfrm>
        <a:prstGeom prst="rect">
          <a:avLst/>
        </a:prstGeom>
      </xdr:spPr>
    </xdr:pic>
    <xdr:clientData/>
  </xdr:twoCellAnchor>
  <xdr:twoCellAnchor editAs="oneCell">
    <xdr:from>
      <xdr:col>9</xdr:col>
      <xdr:colOff>433350</xdr:colOff>
      <xdr:row>4</xdr:row>
      <xdr:rowOff>61875</xdr:rowOff>
    </xdr:from>
    <xdr:to>
      <xdr:col>12</xdr:col>
      <xdr:colOff>480975</xdr:colOff>
      <xdr:row>11</xdr:row>
      <xdr:rowOff>80925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8E830677-48C1-4EEA-85DE-2CC822E7D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1350" y="823875"/>
          <a:ext cx="2333625" cy="1352550"/>
        </a:xfrm>
        <a:prstGeom prst="rect">
          <a:avLst/>
        </a:prstGeom>
      </xdr:spPr>
    </xdr:pic>
    <xdr:clientData/>
  </xdr:twoCellAnchor>
  <xdr:twoCellAnchor editAs="oneCell">
    <xdr:from>
      <xdr:col>0</xdr:col>
      <xdr:colOff>507150</xdr:colOff>
      <xdr:row>13</xdr:row>
      <xdr:rowOff>30900</xdr:rowOff>
    </xdr:from>
    <xdr:to>
      <xdr:col>4</xdr:col>
      <xdr:colOff>602400</xdr:colOff>
      <xdr:row>22</xdr:row>
      <xdr:rowOff>21375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7B950D4A-7110-4BDF-95C6-C8CE26657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150" y="2507400"/>
          <a:ext cx="3143250" cy="1704975"/>
        </a:xfrm>
        <a:prstGeom prst="rect">
          <a:avLst/>
        </a:prstGeom>
      </xdr:spPr>
    </xdr:pic>
    <xdr:clientData/>
  </xdr:twoCellAnchor>
  <xdr:twoCellAnchor editAs="oneCell">
    <xdr:from>
      <xdr:col>4</xdr:col>
      <xdr:colOff>638100</xdr:colOff>
      <xdr:row>13</xdr:row>
      <xdr:rowOff>18975</xdr:rowOff>
    </xdr:from>
    <xdr:to>
      <xdr:col>8</xdr:col>
      <xdr:colOff>723825</xdr:colOff>
      <xdr:row>22</xdr:row>
      <xdr:rowOff>18975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806020C7-AA52-41F7-AAD3-D2186DDA4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6100" y="2495475"/>
          <a:ext cx="3133725" cy="1714500"/>
        </a:xfrm>
        <a:prstGeom prst="rect">
          <a:avLst/>
        </a:prstGeom>
      </xdr:spPr>
    </xdr:pic>
    <xdr:clientData/>
  </xdr:twoCellAnchor>
  <xdr:twoCellAnchor editAs="oneCell">
    <xdr:from>
      <xdr:col>9</xdr:col>
      <xdr:colOff>35625</xdr:colOff>
      <xdr:row>13</xdr:row>
      <xdr:rowOff>16575</xdr:rowOff>
    </xdr:from>
    <xdr:to>
      <xdr:col>13</xdr:col>
      <xdr:colOff>235650</xdr:colOff>
      <xdr:row>21</xdr:row>
      <xdr:rowOff>178500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3B22A84E-680D-41F7-9535-64369EA07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3625" y="2493075"/>
          <a:ext cx="3248025" cy="1685925"/>
        </a:xfrm>
        <a:prstGeom prst="rect">
          <a:avLst/>
        </a:prstGeom>
      </xdr:spPr>
    </xdr:pic>
    <xdr:clientData/>
  </xdr:twoCellAnchor>
  <xdr:twoCellAnchor editAs="oneCell">
    <xdr:from>
      <xdr:col>2</xdr:col>
      <xdr:colOff>157050</xdr:colOff>
      <xdr:row>22</xdr:row>
      <xdr:rowOff>99900</xdr:rowOff>
    </xdr:from>
    <xdr:to>
      <xdr:col>7</xdr:col>
      <xdr:colOff>157050</xdr:colOff>
      <xdr:row>36</xdr:row>
      <xdr:rowOff>71325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3AC400E5-1D8B-4831-A0C6-AEDC6885F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1050" y="4290900"/>
          <a:ext cx="3810000" cy="2638425"/>
        </a:xfrm>
        <a:prstGeom prst="rect">
          <a:avLst/>
        </a:prstGeom>
      </xdr:spPr>
    </xdr:pic>
    <xdr:clientData/>
  </xdr:twoCellAnchor>
  <xdr:twoCellAnchor editAs="oneCell">
    <xdr:from>
      <xdr:col>6</xdr:col>
      <xdr:colOff>392775</xdr:colOff>
      <xdr:row>37</xdr:row>
      <xdr:rowOff>30825</xdr:rowOff>
    </xdr:from>
    <xdr:to>
      <xdr:col>11</xdr:col>
      <xdr:colOff>345150</xdr:colOff>
      <xdr:row>50</xdr:row>
      <xdr:rowOff>145125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30F17D90-2F1F-4359-A4F3-E54A120D9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4775" y="7079325"/>
          <a:ext cx="3762375" cy="2590800"/>
        </a:xfrm>
        <a:prstGeom prst="rect">
          <a:avLst/>
        </a:prstGeom>
      </xdr:spPr>
    </xdr:pic>
    <xdr:clientData/>
  </xdr:twoCellAnchor>
  <xdr:twoCellAnchor editAs="oneCell">
    <xdr:from>
      <xdr:col>14</xdr:col>
      <xdr:colOff>18900</xdr:colOff>
      <xdr:row>4</xdr:row>
      <xdr:rowOff>28425</xdr:rowOff>
    </xdr:from>
    <xdr:to>
      <xdr:col>24</xdr:col>
      <xdr:colOff>171300</xdr:colOff>
      <xdr:row>31</xdr:row>
      <xdr:rowOff>6273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D2234810-D25E-496D-99FB-1623D6489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86900" y="790425"/>
          <a:ext cx="7772400" cy="5121348"/>
        </a:xfrm>
        <a:prstGeom prst="rect">
          <a:avLst/>
        </a:prstGeom>
      </xdr:spPr>
    </xdr:pic>
    <xdr:clientData/>
  </xdr:twoCellAnchor>
  <xdr:twoCellAnchor editAs="oneCell">
    <xdr:from>
      <xdr:col>14</xdr:col>
      <xdr:colOff>35550</xdr:colOff>
      <xdr:row>32</xdr:row>
      <xdr:rowOff>26025</xdr:rowOff>
    </xdr:from>
    <xdr:to>
      <xdr:col>24</xdr:col>
      <xdr:colOff>187950</xdr:colOff>
      <xdr:row>55</xdr:row>
      <xdr:rowOff>177720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57CE1DBE-812D-4B31-9B4E-7CD081ACE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03550" y="6122025"/>
          <a:ext cx="7772400" cy="453319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514350</xdr:colOff>
      <xdr:row>1</xdr:row>
      <xdr:rowOff>76200</xdr:rowOff>
    </xdr:from>
    <xdr:to>
      <xdr:col>16</xdr:col>
      <xdr:colOff>704850</xdr:colOff>
      <xdr:row>32</xdr:row>
      <xdr:rowOff>9525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2714CD1E-B5CA-4B62-9741-111B9E17C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2350" y="266700"/>
          <a:ext cx="5524500" cy="5838825"/>
        </a:xfrm>
        <a:prstGeom prst="rect">
          <a:avLst/>
        </a:prstGeom>
      </xdr:spPr>
    </xdr:pic>
    <xdr:clientData/>
  </xdr:twoCellAnchor>
  <xdr:twoCellAnchor editAs="oneCell">
    <xdr:from>
      <xdr:col>1</xdr:col>
      <xdr:colOff>73800</xdr:colOff>
      <xdr:row>1</xdr:row>
      <xdr:rowOff>45225</xdr:rowOff>
    </xdr:from>
    <xdr:to>
      <xdr:col>4</xdr:col>
      <xdr:colOff>473850</xdr:colOff>
      <xdr:row>8</xdr:row>
      <xdr:rowOff>121425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5B6CEEDC-497A-4DDA-9735-A8ED1D586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800" y="235725"/>
          <a:ext cx="2686050" cy="1409700"/>
        </a:xfrm>
        <a:prstGeom prst="rect">
          <a:avLst/>
        </a:prstGeom>
      </xdr:spPr>
    </xdr:pic>
    <xdr:clientData/>
  </xdr:twoCellAnchor>
  <xdr:twoCellAnchor editAs="oneCell">
    <xdr:from>
      <xdr:col>5</xdr:col>
      <xdr:colOff>576225</xdr:colOff>
      <xdr:row>1</xdr:row>
      <xdr:rowOff>52350</xdr:rowOff>
    </xdr:from>
    <xdr:to>
      <xdr:col>8</xdr:col>
      <xdr:colOff>642900</xdr:colOff>
      <xdr:row>9</xdr:row>
      <xdr:rowOff>23775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B6A406CC-8C51-4688-9F13-08801CDF1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6225" y="242850"/>
          <a:ext cx="2352675" cy="1495425"/>
        </a:xfrm>
        <a:prstGeom prst="rect">
          <a:avLst/>
        </a:prstGeom>
      </xdr:spPr>
    </xdr:pic>
    <xdr:clientData/>
  </xdr:twoCellAnchor>
  <xdr:twoCellAnchor editAs="oneCell">
    <xdr:from>
      <xdr:col>5</xdr:col>
      <xdr:colOff>259500</xdr:colOff>
      <xdr:row>9</xdr:row>
      <xdr:rowOff>126150</xdr:rowOff>
    </xdr:from>
    <xdr:to>
      <xdr:col>9</xdr:col>
      <xdr:colOff>288075</xdr:colOff>
      <xdr:row>18</xdr:row>
      <xdr:rowOff>107100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ABE053D5-5BF3-4D65-9E0C-AFF703090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9500" y="1840650"/>
          <a:ext cx="3076575" cy="1695450"/>
        </a:xfrm>
        <a:prstGeom prst="rect">
          <a:avLst/>
        </a:prstGeom>
      </xdr:spPr>
    </xdr:pic>
    <xdr:clientData/>
  </xdr:twoCellAnchor>
  <xdr:twoCellAnchor editAs="oneCell">
    <xdr:from>
      <xdr:col>0</xdr:col>
      <xdr:colOff>657150</xdr:colOff>
      <xdr:row>9</xdr:row>
      <xdr:rowOff>76125</xdr:rowOff>
    </xdr:from>
    <xdr:to>
      <xdr:col>4</xdr:col>
      <xdr:colOff>657150</xdr:colOff>
      <xdr:row>18</xdr:row>
      <xdr:rowOff>104700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6DF52CC4-8350-4A9E-B071-A89D0DFD6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150" y="1790625"/>
          <a:ext cx="3048000" cy="1743075"/>
        </a:xfrm>
        <a:prstGeom prst="rect">
          <a:avLst/>
        </a:prstGeom>
      </xdr:spPr>
    </xdr:pic>
    <xdr:clientData/>
  </xdr:twoCellAnchor>
  <xdr:twoCellAnchor editAs="oneCell">
    <xdr:from>
      <xdr:col>0</xdr:col>
      <xdr:colOff>635700</xdr:colOff>
      <xdr:row>18</xdr:row>
      <xdr:rowOff>159450</xdr:rowOff>
    </xdr:from>
    <xdr:to>
      <xdr:col>9</xdr:col>
      <xdr:colOff>273750</xdr:colOff>
      <xdr:row>32</xdr:row>
      <xdr:rowOff>121350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B781022E-E683-46C3-95EB-08DC88F0D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700" y="3588450"/>
          <a:ext cx="6496050" cy="26289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209550</xdr:colOff>
      <xdr:row>35</xdr:row>
      <xdr:rowOff>9525</xdr:rowOff>
    </xdr:from>
    <xdr:to>
      <xdr:col>18</xdr:col>
      <xdr:colOff>685800</xdr:colOff>
      <xdr:row>58</xdr:row>
      <xdr:rowOff>66675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63C63262-CE18-4037-84D8-80A2EF4D1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1550" y="6677025"/>
          <a:ext cx="5810250" cy="4438650"/>
        </a:xfrm>
        <a:prstGeom prst="rect">
          <a:avLst/>
        </a:prstGeom>
      </xdr:spPr>
    </xdr:pic>
    <xdr:clientData/>
  </xdr:twoCellAnchor>
  <xdr:twoCellAnchor editAs="oneCell">
    <xdr:from>
      <xdr:col>0</xdr:col>
      <xdr:colOff>645300</xdr:colOff>
      <xdr:row>34</xdr:row>
      <xdr:rowOff>92850</xdr:rowOff>
    </xdr:from>
    <xdr:to>
      <xdr:col>5</xdr:col>
      <xdr:colOff>635775</xdr:colOff>
      <xdr:row>41</xdr:row>
      <xdr:rowOff>92850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54332E3A-25D6-47AB-B938-867452EDE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300" y="6569850"/>
          <a:ext cx="3800475" cy="1333500"/>
        </a:xfrm>
        <a:prstGeom prst="rect">
          <a:avLst/>
        </a:prstGeom>
      </xdr:spPr>
    </xdr:pic>
    <xdr:clientData/>
  </xdr:twoCellAnchor>
  <xdr:twoCellAnchor editAs="oneCell">
    <xdr:from>
      <xdr:col>6</xdr:col>
      <xdr:colOff>71400</xdr:colOff>
      <xdr:row>34</xdr:row>
      <xdr:rowOff>99975</xdr:rowOff>
    </xdr:from>
    <xdr:to>
      <xdr:col>10</xdr:col>
      <xdr:colOff>80925</xdr:colOff>
      <xdr:row>41</xdr:row>
      <xdr:rowOff>109500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5B25BB71-D3B0-4463-8690-A8E5A0C2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3400" y="6576975"/>
          <a:ext cx="30575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650025</xdr:colOff>
      <xdr:row>41</xdr:row>
      <xdr:rowOff>183300</xdr:rowOff>
    </xdr:from>
    <xdr:to>
      <xdr:col>11</xdr:col>
      <xdr:colOff>40425</xdr:colOff>
      <xdr:row>60</xdr:row>
      <xdr:rowOff>115998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D0635AE7-8E6E-4577-8A12-EB240547C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025" y="7993800"/>
          <a:ext cx="7772400" cy="3552198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62</xdr:row>
      <xdr:rowOff>47625</xdr:rowOff>
    </xdr:from>
    <xdr:to>
      <xdr:col>19</xdr:col>
      <xdr:colOff>742950</xdr:colOff>
      <xdr:row>87</xdr:row>
      <xdr:rowOff>51532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D61C20AB-54BC-4F82-B74A-1F00596F0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11858625"/>
          <a:ext cx="7772400" cy="4766407"/>
        </a:xfrm>
        <a:prstGeom prst="rect">
          <a:avLst/>
        </a:prstGeom>
      </xdr:spPr>
    </xdr:pic>
    <xdr:clientData/>
  </xdr:twoCellAnchor>
  <xdr:twoCellAnchor editAs="oneCell">
    <xdr:from>
      <xdr:col>9</xdr:col>
      <xdr:colOff>607200</xdr:colOff>
      <xdr:row>87</xdr:row>
      <xdr:rowOff>83325</xdr:rowOff>
    </xdr:from>
    <xdr:to>
      <xdr:col>19</xdr:col>
      <xdr:colOff>759600</xdr:colOff>
      <xdr:row>110</xdr:row>
      <xdr:rowOff>85391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6C6E9E7A-D9A5-4227-AE5D-39ACE5C52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5200" y="16656825"/>
          <a:ext cx="7772400" cy="4383566"/>
        </a:xfrm>
        <a:prstGeom prst="rect">
          <a:avLst/>
        </a:prstGeom>
      </xdr:spPr>
    </xdr:pic>
    <xdr:clientData/>
  </xdr:twoCellAnchor>
  <xdr:twoCellAnchor editAs="oneCell">
    <xdr:from>
      <xdr:col>0</xdr:col>
      <xdr:colOff>661950</xdr:colOff>
      <xdr:row>62</xdr:row>
      <xdr:rowOff>52350</xdr:rowOff>
    </xdr:from>
    <xdr:to>
      <xdr:col>5</xdr:col>
      <xdr:colOff>52350</xdr:colOff>
      <xdr:row>103</xdr:row>
      <xdr:rowOff>185700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id="{150529E6-68DE-4FDD-8AC6-341C0F43F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50" y="11863350"/>
          <a:ext cx="3200400" cy="7943850"/>
        </a:xfrm>
        <a:prstGeom prst="rect">
          <a:avLst/>
        </a:prstGeom>
      </xdr:spPr>
    </xdr:pic>
    <xdr:clientData/>
  </xdr:twoCellAnchor>
  <xdr:twoCellAnchor editAs="oneCell">
    <xdr:from>
      <xdr:col>5</xdr:col>
      <xdr:colOff>249975</xdr:colOff>
      <xdr:row>62</xdr:row>
      <xdr:rowOff>40425</xdr:rowOff>
    </xdr:from>
    <xdr:to>
      <xdr:col>9</xdr:col>
      <xdr:colOff>402375</xdr:colOff>
      <xdr:row>95</xdr:row>
      <xdr:rowOff>49950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861D3533-398A-4748-9F86-985829DCA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9975" y="11851425"/>
          <a:ext cx="3200400" cy="62960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47625</xdr:colOff>
      <xdr:row>2</xdr:row>
      <xdr:rowOff>47625</xdr:rowOff>
    </xdr:from>
    <xdr:to>
      <xdr:col>21</xdr:col>
      <xdr:colOff>200025</xdr:colOff>
      <xdr:row>28</xdr:row>
      <xdr:rowOff>59817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26F8A04-0B5F-47A1-8CC9-9EBEBB6CE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9625" y="428625"/>
          <a:ext cx="7772400" cy="4965192"/>
        </a:xfrm>
        <a:prstGeom prst="rect">
          <a:avLst/>
        </a:prstGeom>
      </xdr:spPr>
    </xdr:pic>
    <xdr:clientData/>
  </xdr:twoCellAnchor>
  <xdr:twoCellAnchor editAs="oneCell">
    <xdr:from>
      <xdr:col>0</xdr:col>
      <xdr:colOff>54750</xdr:colOff>
      <xdr:row>0</xdr:row>
      <xdr:rowOff>54750</xdr:rowOff>
    </xdr:from>
    <xdr:to>
      <xdr:col>10</xdr:col>
      <xdr:colOff>207150</xdr:colOff>
      <xdr:row>42</xdr:row>
      <xdr:rowOff>82696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E343BA2A-78A5-434F-97D3-3829C96DD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50" y="54750"/>
          <a:ext cx="7772400" cy="80289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8</xdr:col>
      <xdr:colOff>409575</xdr:colOff>
      <xdr:row>85</xdr:row>
      <xdr:rowOff>171450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A49F5D08-2FF7-4F3F-A1C6-028ACB6C7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8772525"/>
          <a:ext cx="5743575" cy="7600950"/>
        </a:xfrm>
        <a:prstGeom prst="rect">
          <a:avLst/>
        </a:prstGeom>
      </xdr:spPr>
    </xdr:pic>
    <xdr:clientData/>
  </xdr:twoCellAnchor>
  <xdr:twoCellAnchor editAs="oneCell">
    <xdr:from>
      <xdr:col>0</xdr:col>
      <xdr:colOff>750075</xdr:colOff>
      <xdr:row>86</xdr:row>
      <xdr:rowOff>54750</xdr:rowOff>
    </xdr:from>
    <xdr:to>
      <xdr:col>10</xdr:col>
      <xdr:colOff>502425</xdr:colOff>
      <xdr:row>124</xdr:row>
      <xdr:rowOff>102375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FE0396A8-ECCE-40BE-9792-ADC55AEF5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075" y="16447275"/>
          <a:ext cx="7372350" cy="7286625"/>
        </a:xfrm>
        <a:prstGeom prst="rect">
          <a:avLst/>
        </a:prstGeom>
      </xdr:spPr>
    </xdr:pic>
    <xdr:clientData/>
  </xdr:twoCellAnchor>
  <xdr:twoCellAnchor editAs="oneCell">
    <xdr:from>
      <xdr:col>12</xdr:col>
      <xdr:colOff>42825</xdr:colOff>
      <xdr:row>46</xdr:row>
      <xdr:rowOff>14250</xdr:rowOff>
    </xdr:from>
    <xdr:to>
      <xdr:col>18</xdr:col>
      <xdr:colOff>452400</xdr:colOff>
      <xdr:row>66</xdr:row>
      <xdr:rowOff>42825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2BA36B98-6375-4F16-A56A-E65688070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6825" y="8786775"/>
          <a:ext cx="4981575" cy="3838575"/>
        </a:xfrm>
        <a:prstGeom prst="rect">
          <a:avLst/>
        </a:prstGeom>
      </xdr:spPr>
    </xdr:pic>
    <xdr:clientData/>
  </xdr:twoCellAnchor>
  <xdr:twoCellAnchor editAs="oneCell">
    <xdr:from>
      <xdr:col>12</xdr:col>
      <xdr:colOff>40425</xdr:colOff>
      <xdr:row>68</xdr:row>
      <xdr:rowOff>30900</xdr:rowOff>
    </xdr:from>
    <xdr:to>
      <xdr:col>18</xdr:col>
      <xdr:colOff>240450</xdr:colOff>
      <xdr:row>88</xdr:row>
      <xdr:rowOff>30900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96558513-E2A9-44D9-8F6B-D1AB6971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4425" y="12994425"/>
          <a:ext cx="4772025" cy="381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38025</xdr:colOff>
      <xdr:row>90</xdr:row>
      <xdr:rowOff>38025</xdr:rowOff>
    </xdr:from>
    <xdr:to>
      <xdr:col>18</xdr:col>
      <xdr:colOff>314250</xdr:colOff>
      <xdr:row>110</xdr:row>
      <xdr:rowOff>95175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BFF26A7F-CFCA-4D9E-A4B1-AD1358493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2025" y="17192550"/>
          <a:ext cx="4848225" cy="3867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K61"/>
  <sheetViews>
    <sheetView tabSelected="1" workbookViewId="0">
      <selection activeCell="K8" sqref="K8"/>
    </sheetView>
  </sheetViews>
  <sheetFormatPr baseColWidth="10" defaultColWidth="9.140625" defaultRowHeight="15" x14ac:dyDescent="0.2"/>
  <cols>
    <col min="1" max="1" width="9.140625" style="2"/>
    <col min="2" max="2" width="17.42578125" style="2" customWidth="1"/>
    <col min="3" max="3" width="15.7109375" style="2" bestFit="1" customWidth="1"/>
    <col min="4" max="4" width="11" style="2" bestFit="1" customWidth="1"/>
    <col min="5" max="5" width="11.28515625" style="2" bestFit="1" customWidth="1"/>
    <col min="6" max="11" width="10.28515625" style="2" customWidth="1"/>
    <col min="12" max="16384" width="9.140625" style="2"/>
  </cols>
  <sheetData>
    <row r="1" spans="2:11" ht="15.75" thickBot="1" x14ac:dyDescent="0.25"/>
    <row r="2" spans="2:11" ht="16.5" thickBot="1" x14ac:dyDescent="0.25">
      <c r="B2" s="1"/>
      <c r="C2" s="111" t="s">
        <v>0</v>
      </c>
      <c r="D2" s="112"/>
      <c r="E2" s="112"/>
      <c r="F2" s="112"/>
      <c r="G2" s="112"/>
      <c r="H2" s="112"/>
      <c r="I2" s="113"/>
      <c r="J2" s="57"/>
      <c r="K2" s="57"/>
    </row>
    <row r="3" spans="2:11" ht="16.5" thickBot="1" x14ac:dyDescent="0.25">
      <c r="B3" s="12" t="s">
        <v>1</v>
      </c>
      <c r="C3" s="12" t="s">
        <v>2</v>
      </c>
      <c r="D3" s="12" t="s">
        <v>3</v>
      </c>
      <c r="E3" s="12" t="s">
        <v>4</v>
      </c>
      <c r="F3" s="12" t="s">
        <v>5</v>
      </c>
      <c r="G3" s="12" t="s">
        <v>6</v>
      </c>
      <c r="H3" s="12" t="s">
        <v>7</v>
      </c>
      <c r="I3" s="12" t="s">
        <v>8</v>
      </c>
      <c r="J3" s="57"/>
      <c r="K3" s="57"/>
    </row>
    <row r="4" spans="2:11" x14ac:dyDescent="0.2">
      <c r="B4" s="9">
        <v>5000</v>
      </c>
      <c r="C4" s="10">
        <v>6.1</v>
      </c>
      <c r="D4" s="10">
        <v>5.9</v>
      </c>
      <c r="E4" s="10">
        <v>5.9</v>
      </c>
      <c r="F4" s="10">
        <v>6.1</v>
      </c>
      <c r="G4" s="10">
        <v>5.7</v>
      </c>
      <c r="H4" s="10">
        <v>5.7</v>
      </c>
      <c r="I4" s="11">
        <v>6</v>
      </c>
      <c r="J4" s="58"/>
      <c r="K4" s="58"/>
    </row>
    <row r="5" spans="2:11" x14ac:dyDescent="0.2">
      <c r="B5" s="4">
        <f>B4+5000</f>
        <v>10000</v>
      </c>
      <c r="C5" s="3">
        <v>5</v>
      </c>
      <c r="D5" s="3">
        <v>5.0999999999999996</v>
      </c>
      <c r="E5" s="3">
        <v>5</v>
      </c>
      <c r="F5" s="3">
        <v>5</v>
      </c>
      <c r="G5" s="3">
        <v>4.7</v>
      </c>
      <c r="H5" s="3">
        <v>5</v>
      </c>
      <c r="I5" s="5">
        <v>4.8</v>
      </c>
      <c r="J5" s="58"/>
      <c r="K5" s="58"/>
    </row>
    <row r="6" spans="2:11" x14ac:dyDescent="0.2">
      <c r="B6" s="4">
        <f>B5+5000</f>
        <v>15000</v>
      </c>
      <c r="C6" s="3">
        <v>4</v>
      </c>
      <c r="D6" s="3">
        <v>4.3</v>
      </c>
      <c r="E6" s="3">
        <v>4.05</v>
      </c>
      <c r="F6" s="3">
        <v>4.0999999999999996</v>
      </c>
      <c r="G6" s="3">
        <v>3.8</v>
      </c>
      <c r="H6" s="3">
        <v>3.9</v>
      </c>
      <c r="I6" s="5">
        <v>3.7</v>
      </c>
      <c r="J6" s="58"/>
      <c r="K6" s="58"/>
    </row>
    <row r="7" spans="2:11" x14ac:dyDescent="0.2">
      <c r="B7" s="4">
        <f>B6+5000</f>
        <v>20000</v>
      </c>
      <c r="C7" s="3">
        <v>3.2</v>
      </c>
      <c r="D7" s="3">
        <v>3.3</v>
      </c>
      <c r="E7" s="3">
        <v>3.5</v>
      </c>
      <c r="F7" s="3">
        <v>3.4</v>
      </c>
      <c r="G7" s="3">
        <v>3.1</v>
      </c>
      <c r="H7" s="3">
        <v>3.2</v>
      </c>
      <c r="I7" s="5">
        <v>3.2</v>
      </c>
      <c r="J7" s="58"/>
      <c r="K7" s="58"/>
    </row>
    <row r="8" spans="2:11" x14ac:dyDescent="0.2">
      <c r="B8" s="4">
        <f>B7+5000</f>
        <v>25000</v>
      </c>
      <c r="C8" s="3">
        <v>2.8</v>
      </c>
      <c r="D8" s="3">
        <v>2.9</v>
      </c>
      <c r="E8" s="3">
        <v>2.9</v>
      </c>
      <c r="F8" s="3">
        <v>2.8</v>
      </c>
      <c r="G8" s="3">
        <v>2.6</v>
      </c>
      <c r="H8" s="3">
        <v>2.6</v>
      </c>
      <c r="I8" s="5">
        <v>2.9</v>
      </c>
      <c r="J8" s="58"/>
      <c r="K8" s="58"/>
    </row>
    <row r="9" spans="2:11" ht="15.75" thickBot="1" x14ac:dyDescent="0.25">
      <c r="B9" s="6">
        <f>B8+5000</f>
        <v>30000</v>
      </c>
      <c r="C9" s="7">
        <v>2.2000000000000002</v>
      </c>
      <c r="D9" s="7">
        <v>2.4</v>
      </c>
      <c r="E9" s="7">
        <v>2.4</v>
      </c>
      <c r="F9" s="7">
        <v>2.2999999999999998</v>
      </c>
      <c r="G9" s="7">
        <v>2.1</v>
      </c>
      <c r="H9" s="7">
        <v>2</v>
      </c>
      <c r="I9" s="8">
        <v>2.2000000000000002</v>
      </c>
      <c r="J9" s="58"/>
      <c r="K9" s="58"/>
    </row>
    <row r="10" spans="2:11" ht="15.75" thickBot="1" x14ac:dyDescent="0.25"/>
    <row r="11" spans="2:11" ht="15.75" thickBot="1" x14ac:dyDescent="0.25">
      <c r="B11" s="38" t="s">
        <v>29</v>
      </c>
      <c r="C11" s="41">
        <v>7</v>
      </c>
    </row>
    <row r="12" spans="2:11" ht="15.75" thickBot="1" x14ac:dyDescent="0.25"/>
    <row r="13" spans="2:11" ht="15.75" thickBot="1" x14ac:dyDescent="0.25">
      <c r="B13" s="38" t="s">
        <v>97</v>
      </c>
      <c r="C13" s="36">
        <f t="shared" ref="C13:H13" si="0">0.00004</f>
        <v>4.0000000000000003E-5</v>
      </c>
      <c r="D13" s="30">
        <f t="shared" si="0"/>
        <v>4.0000000000000003E-5</v>
      </c>
      <c r="E13" s="31">
        <f t="shared" si="0"/>
        <v>4.0000000000000003E-5</v>
      </c>
      <c r="F13" s="30">
        <f t="shared" si="0"/>
        <v>4.0000000000000003E-5</v>
      </c>
      <c r="G13" s="30">
        <f t="shared" si="0"/>
        <v>4.0000000000000003E-5</v>
      </c>
      <c r="H13" s="30">
        <f t="shared" si="0"/>
        <v>4.0000000000000003E-5</v>
      </c>
      <c r="I13" s="32">
        <v>2.0790000000000002</v>
      </c>
      <c r="J13" s="48"/>
      <c r="K13" s="48"/>
    </row>
    <row r="14" spans="2:11" ht="15.75" thickBot="1" x14ac:dyDescent="0.25">
      <c r="B14" s="38" t="s">
        <v>98</v>
      </c>
      <c r="C14" s="39">
        <v>7.4165999999999999</v>
      </c>
      <c r="D14" s="34">
        <v>7.2310999999999996</v>
      </c>
      <c r="E14" s="34">
        <v>7.0787000000000004</v>
      </c>
      <c r="F14" s="34">
        <v>7.3856000000000002</v>
      </c>
      <c r="G14" s="34">
        <v>6.9532999999999996</v>
      </c>
      <c r="H14" s="34">
        <v>7.3404999999999996</v>
      </c>
      <c r="I14" s="35">
        <v>23.783999999999999</v>
      </c>
      <c r="J14" s="48"/>
      <c r="K14" s="48"/>
    </row>
    <row r="15" spans="2:11" ht="15.75" thickBot="1" x14ac:dyDescent="0.25"/>
    <row r="16" spans="2:11" ht="15.75" thickBot="1" x14ac:dyDescent="0.25">
      <c r="B16" s="42" t="s">
        <v>23</v>
      </c>
      <c r="C16" s="38">
        <v>1</v>
      </c>
    </row>
    <row r="17" spans="2:11" ht="15.75" thickBot="1" x14ac:dyDescent="0.25">
      <c r="B17" s="38" t="s">
        <v>24</v>
      </c>
      <c r="C17" s="47">
        <f>-(1/$C$13)*LN($C$16/$C$14)</f>
        <v>50093.018278492375</v>
      </c>
      <c r="D17" s="47">
        <f>-(1/$D$13)*LN($C$16/$D$14)</f>
        <v>49459.779211076544</v>
      </c>
      <c r="E17" s="47">
        <f>-(1/$E$13)*LN($C$16/$E$14)</f>
        <v>48927.256875674269</v>
      </c>
      <c r="F17" s="47">
        <f>-(1/$F$13)*LN($C$16/$F$14)</f>
        <v>49988.303961288344</v>
      </c>
      <c r="G17" s="47">
        <f>-(1/$G$13)*LN($C$16/$G$14)</f>
        <v>48480.409175729284</v>
      </c>
      <c r="H17" s="47">
        <f>-(1/$H$13)*LN($C$16/$H$14)</f>
        <v>49835.174004934444</v>
      </c>
      <c r="I17" s="46">
        <f>EXP(-($C$16-$I$14)/$I$13)</f>
        <v>57475.552307722188</v>
      </c>
      <c r="J17" s="48"/>
      <c r="K17" s="48"/>
    </row>
    <row r="18" spans="2:11" ht="15.75" thickBot="1" x14ac:dyDescent="0.25"/>
    <row r="19" spans="2:11" ht="15.75" thickBot="1" x14ac:dyDescent="0.25">
      <c r="B19" s="38" t="s">
        <v>25</v>
      </c>
      <c r="C19" s="38" t="s">
        <v>26</v>
      </c>
      <c r="D19" s="38" t="s">
        <v>27</v>
      </c>
      <c r="E19" s="38" t="s">
        <v>28</v>
      </c>
    </row>
    <row r="20" spans="2:11" x14ac:dyDescent="0.2">
      <c r="B20" s="29">
        <f>$G$17</f>
        <v>48480.409175729284</v>
      </c>
      <c r="C20" s="30">
        <f>1</f>
        <v>1</v>
      </c>
      <c r="D20" s="30">
        <f>C20</f>
        <v>1</v>
      </c>
      <c r="E20" s="32">
        <f>D20/$C$11</f>
        <v>0.14285714285714285</v>
      </c>
    </row>
    <row r="21" spans="2:11" x14ac:dyDescent="0.2">
      <c r="B21" s="54">
        <f>$E$17</f>
        <v>48927.256875674269</v>
      </c>
      <c r="C21" s="53">
        <f>1</f>
        <v>1</v>
      </c>
      <c r="D21" s="28">
        <f>D20+C21</f>
        <v>2</v>
      </c>
      <c r="E21" s="52">
        <f t="shared" ref="E21:E26" si="1">D21/$C$11</f>
        <v>0.2857142857142857</v>
      </c>
    </row>
    <row r="22" spans="2:11" x14ac:dyDescent="0.2">
      <c r="B22" s="54">
        <f>$D$17</f>
        <v>49459.779211076544</v>
      </c>
      <c r="C22" s="53">
        <f>1</f>
        <v>1</v>
      </c>
      <c r="D22" s="28">
        <f t="shared" ref="D22:D26" si="2">D21+C22</f>
        <v>3</v>
      </c>
      <c r="E22" s="52">
        <f t="shared" si="1"/>
        <v>0.42857142857142855</v>
      </c>
    </row>
    <row r="23" spans="2:11" x14ac:dyDescent="0.2">
      <c r="B23" s="54">
        <f>$H$17</f>
        <v>49835.174004934444</v>
      </c>
      <c r="C23" s="53">
        <f>1</f>
        <v>1</v>
      </c>
      <c r="D23" s="28">
        <f t="shared" si="2"/>
        <v>4</v>
      </c>
      <c r="E23" s="52">
        <f t="shared" si="1"/>
        <v>0.5714285714285714</v>
      </c>
    </row>
    <row r="24" spans="2:11" x14ac:dyDescent="0.2">
      <c r="B24" s="54">
        <f>$F$17</f>
        <v>49988.303961288344</v>
      </c>
      <c r="C24" s="53">
        <f>1</f>
        <v>1</v>
      </c>
      <c r="D24" s="28">
        <f t="shared" si="2"/>
        <v>5</v>
      </c>
      <c r="E24" s="52">
        <f t="shared" si="1"/>
        <v>0.7142857142857143</v>
      </c>
    </row>
    <row r="25" spans="2:11" x14ac:dyDescent="0.2">
      <c r="B25" s="54">
        <f>$C$17</f>
        <v>50093.018278492375</v>
      </c>
      <c r="C25" s="53">
        <f>1</f>
        <v>1</v>
      </c>
      <c r="D25" s="28">
        <f t="shared" si="2"/>
        <v>6</v>
      </c>
      <c r="E25" s="52">
        <f t="shared" si="1"/>
        <v>0.8571428571428571</v>
      </c>
    </row>
    <row r="26" spans="2:11" ht="15.75" thickBot="1" x14ac:dyDescent="0.25">
      <c r="B26" s="37">
        <f>$I$17</f>
        <v>57475.552307722188</v>
      </c>
      <c r="C26" s="66">
        <f>1</f>
        <v>1</v>
      </c>
      <c r="D26" s="34">
        <f t="shared" si="2"/>
        <v>7</v>
      </c>
      <c r="E26" s="67">
        <f t="shared" si="1"/>
        <v>1</v>
      </c>
      <c r="F26" s="48"/>
      <c r="G26" s="48"/>
      <c r="H26" s="48"/>
      <c r="I26" s="48"/>
      <c r="J26" s="48"/>
      <c r="K26" s="48"/>
    </row>
    <row r="27" spans="2:11" ht="15.75" thickBot="1" x14ac:dyDescent="0.25">
      <c r="B27" s="48"/>
      <c r="C27" s="48"/>
      <c r="D27" s="48"/>
      <c r="E27" s="48"/>
      <c r="F27" s="48"/>
      <c r="G27" s="48"/>
      <c r="H27" s="48"/>
      <c r="I27" s="48"/>
      <c r="J27" s="48"/>
      <c r="K27" s="48"/>
    </row>
    <row r="28" spans="2:11" ht="15.75" thickBot="1" x14ac:dyDescent="0.25">
      <c r="C28" s="114" t="s">
        <v>43</v>
      </c>
      <c r="D28" s="115"/>
      <c r="E28" s="116"/>
      <c r="F28" s="48"/>
      <c r="H28" s="114" t="s">
        <v>54</v>
      </c>
      <c r="I28" s="115"/>
      <c r="J28" s="116"/>
      <c r="K28" s="48"/>
    </row>
    <row r="29" spans="2:11" ht="15.75" thickBot="1" x14ac:dyDescent="0.25">
      <c r="C29" s="38" t="s">
        <v>30</v>
      </c>
      <c r="D29" s="38" t="s">
        <v>40</v>
      </c>
      <c r="E29" s="41" t="s">
        <v>31</v>
      </c>
      <c r="F29" s="48"/>
      <c r="H29" s="38" t="s">
        <v>39</v>
      </c>
      <c r="I29" s="38" t="s">
        <v>41</v>
      </c>
      <c r="J29" s="41" t="s">
        <v>31</v>
      </c>
      <c r="K29" s="48"/>
    </row>
    <row r="30" spans="2:11" x14ac:dyDescent="0.2">
      <c r="C30" s="54">
        <f t="shared" ref="C30:C36" si="3">B20*C20</f>
        <v>48480.409175729284</v>
      </c>
      <c r="D30" s="53">
        <f t="shared" ref="D30:D36" si="4">1-EXP(-$C$41*B20)</f>
        <v>0.6163213591510186</v>
      </c>
      <c r="E30" s="52">
        <f t="shared" ref="E30:E36" si="5">D30/E20</f>
        <v>4.3142495140571304</v>
      </c>
      <c r="F30" s="48"/>
      <c r="H30" s="54">
        <f>1-E20</f>
        <v>0.85714285714285721</v>
      </c>
      <c r="I30" s="68">
        <f>1-EXP(-$H$37*B20)</f>
        <v>1</v>
      </c>
      <c r="J30" s="69">
        <f>I30/E20</f>
        <v>7</v>
      </c>
      <c r="K30" s="48"/>
    </row>
    <row r="31" spans="2:11" x14ac:dyDescent="0.2">
      <c r="C31" s="50">
        <f t="shared" si="3"/>
        <v>48927.256875674269</v>
      </c>
      <c r="D31" s="28">
        <f t="shared" si="4"/>
        <v>0.61969413750078228</v>
      </c>
      <c r="E31" s="51">
        <f t="shared" si="5"/>
        <v>2.168929481252738</v>
      </c>
      <c r="F31" s="48"/>
      <c r="H31" s="54">
        <f t="shared" ref="H31:H36" si="6">1-E21</f>
        <v>0.7142857142857143</v>
      </c>
      <c r="I31" s="68">
        <f t="shared" ref="I31:I36" si="7">1-EXP(-$H$37*B21)</f>
        <v>1</v>
      </c>
      <c r="J31" s="69">
        <f t="shared" ref="J31:J36" si="8">I31/E21</f>
        <v>3.5</v>
      </c>
      <c r="K31" s="48"/>
    </row>
    <row r="32" spans="2:11" x14ac:dyDescent="0.2">
      <c r="C32" s="50">
        <f t="shared" si="3"/>
        <v>49459.779211076544</v>
      </c>
      <c r="D32" s="28">
        <f t="shared" si="4"/>
        <v>0.62367488367286861</v>
      </c>
      <c r="E32" s="51">
        <f t="shared" si="5"/>
        <v>1.4552413952366936</v>
      </c>
      <c r="F32" s="48"/>
      <c r="H32" s="54">
        <f t="shared" si="6"/>
        <v>0.5714285714285714</v>
      </c>
      <c r="I32" s="68">
        <f t="shared" si="7"/>
        <v>1</v>
      </c>
      <c r="J32" s="69">
        <f t="shared" si="8"/>
        <v>2.3333333333333335</v>
      </c>
      <c r="K32" s="48"/>
    </row>
    <row r="33" spans="2:11" x14ac:dyDescent="0.2">
      <c r="C33" s="50">
        <f t="shared" si="3"/>
        <v>49835.174004934444</v>
      </c>
      <c r="D33" s="28">
        <f t="shared" si="4"/>
        <v>0.62645599434300436</v>
      </c>
      <c r="E33" s="51">
        <f t="shared" si="5"/>
        <v>1.0962979901002576</v>
      </c>
      <c r="F33" s="48"/>
      <c r="H33" s="54">
        <f t="shared" si="6"/>
        <v>0.4285714285714286</v>
      </c>
      <c r="I33" s="68">
        <f t="shared" si="7"/>
        <v>1</v>
      </c>
      <c r="J33" s="69">
        <f t="shared" si="8"/>
        <v>1.75</v>
      </c>
      <c r="K33" s="48"/>
    </row>
    <row r="34" spans="2:11" x14ac:dyDescent="0.2">
      <c r="C34" s="50">
        <f t="shared" si="3"/>
        <v>49988.303961288344</v>
      </c>
      <c r="D34" s="28">
        <f t="shared" si="4"/>
        <v>0.62758454640719408</v>
      </c>
      <c r="E34" s="51">
        <f t="shared" si="5"/>
        <v>0.87861836497007173</v>
      </c>
      <c r="F34" s="48"/>
      <c r="H34" s="54">
        <f t="shared" si="6"/>
        <v>0.2857142857142857</v>
      </c>
      <c r="I34" s="68">
        <f t="shared" si="7"/>
        <v>1</v>
      </c>
      <c r="J34" s="69">
        <f t="shared" si="8"/>
        <v>1.4</v>
      </c>
      <c r="K34" s="48"/>
    </row>
    <row r="35" spans="2:11" x14ac:dyDescent="0.2">
      <c r="C35" s="50">
        <f t="shared" si="3"/>
        <v>50093.018278492375</v>
      </c>
      <c r="D35" s="28">
        <f t="shared" si="4"/>
        <v>0.62835431657903995</v>
      </c>
      <c r="E35" s="51">
        <f t="shared" si="5"/>
        <v>0.73308003600887994</v>
      </c>
      <c r="F35" s="48"/>
      <c r="H35" s="54">
        <f t="shared" si="6"/>
        <v>0.1428571428571429</v>
      </c>
      <c r="I35" s="68">
        <f t="shared" si="7"/>
        <v>1</v>
      </c>
      <c r="J35" s="69">
        <f t="shared" si="8"/>
        <v>1.1666666666666667</v>
      </c>
      <c r="K35" s="48"/>
    </row>
    <row r="36" spans="2:11" ht="15.75" thickBot="1" x14ac:dyDescent="0.25">
      <c r="C36" s="33">
        <f t="shared" si="3"/>
        <v>57475.552307722188</v>
      </c>
      <c r="D36" s="34">
        <f t="shared" si="4"/>
        <v>0.67879949423615682</v>
      </c>
      <c r="E36" s="35">
        <f t="shared" si="5"/>
        <v>0.67879949423615682</v>
      </c>
      <c r="F36" s="48"/>
      <c r="H36" s="54">
        <f t="shared" si="6"/>
        <v>0</v>
      </c>
      <c r="I36" s="68">
        <f t="shared" si="7"/>
        <v>1</v>
      </c>
      <c r="J36" s="69">
        <f t="shared" si="8"/>
        <v>1</v>
      </c>
      <c r="K36" s="48"/>
    </row>
    <row r="37" spans="2:11" ht="15.75" thickBot="1" x14ac:dyDescent="0.25">
      <c r="B37" s="62" t="s">
        <v>36</v>
      </c>
      <c r="C37" s="59">
        <f>SUM(C30:C36)</f>
        <v>354259.49381491751</v>
      </c>
      <c r="D37" s="62" t="s">
        <v>37</v>
      </c>
      <c r="E37" s="59">
        <f>AVERAGE(E30:E36)</f>
        <v>1.6178880394088471</v>
      </c>
      <c r="F37" s="48"/>
      <c r="G37" s="62" t="s">
        <v>32</v>
      </c>
      <c r="H37" s="59">
        <v>0.34300000000000003</v>
      </c>
      <c r="I37" s="62" t="s">
        <v>37</v>
      </c>
      <c r="J37" s="71">
        <f>AVERAGE(J30:J36)</f>
        <v>2.592857142857143</v>
      </c>
      <c r="K37" s="48"/>
    </row>
    <row r="38" spans="2:11" ht="15.75" thickBot="1" x14ac:dyDescent="0.25">
      <c r="B38" s="62" t="s">
        <v>34</v>
      </c>
      <c r="C38" s="60">
        <f>(C11-D26)*(B26+1)</f>
        <v>0</v>
      </c>
      <c r="D38" s="62" t="s">
        <v>38</v>
      </c>
      <c r="E38" s="61">
        <f>_xlfn.STDEV.S(E30:E36)</f>
        <v>1.2963933387861795</v>
      </c>
      <c r="F38" s="48"/>
      <c r="G38" s="62" t="s">
        <v>33</v>
      </c>
      <c r="H38" s="72">
        <f>1/H37</f>
        <v>2.9154518950437316</v>
      </c>
      <c r="I38" s="62" t="s">
        <v>38</v>
      </c>
      <c r="J38" s="72">
        <f>_xlfn.STDEV.S(J30:J36)</f>
        <v>2.1220154889749825</v>
      </c>
      <c r="K38" s="48"/>
    </row>
    <row r="39" spans="2:11" ht="16.5" thickBot="1" x14ac:dyDescent="0.3">
      <c r="B39" s="62" t="s">
        <v>35</v>
      </c>
      <c r="C39" s="60">
        <f>C37+C38</f>
        <v>354259.49381491751</v>
      </c>
      <c r="E39" s="81" t="s">
        <v>52</v>
      </c>
      <c r="G39" s="64"/>
      <c r="H39" s="48"/>
      <c r="J39" s="81" t="s">
        <v>52</v>
      </c>
      <c r="K39" s="48"/>
    </row>
    <row r="40" spans="2:11" ht="15.75" thickBot="1" x14ac:dyDescent="0.25">
      <c r="B40" s="62" t="s">
        <v>33</v>
      </c>
      <c r="C40" s="60">
        <f>C39/C11</f>
        <v>50608.499116416788</v>
      </c>
      <c r="G40" s="64"/>
      <c r="H40" s="48"/>
      <c r="K40" s="48"/>
    </row>
    <row r="41" spans="2:11" ht="15.75" thickBot="1" x14ac:dyDescent="0.25">
      <c r="B41" s="62" t="s">
        <v>32</v>
      </c>
      <c r="C41" s="61">
        <f>1/C40</f>
        <v>1.9759526906728835E-5</v>
      </c>
      <c r="G41" s="64"/>
      <c r="H41" s="48"/>
      <c r="K41" s="48"/>
    </row>
    <row r="42" spans="2:11" ht="15.75" thickBot="1" x14ac:dyDescent="0.25">
      <c r="G42" s="48"/>
      <c r="H42" s="48"/>
      <c r="I42" s="48"/>
      <c r="J42" s="48"/>
      <c r="K42" s="48"/>
    </row>
    <row r="43" spans="2:11" ht="15.75" thickBot="1" x14ac:dyDescent="0.25">
      <c r="B43" s="117" t="s">
        <v>42</v>
      </c>
      <c r="C43" s="118"/>
      <c r="D43" s="118"/>
      <c r="E43" s="118"/>
      <c r="F43" s="119"/>
    </row>
    <row r="44" spans="2:11" ht="15.75" thickBot="1" x14ac:dyDescent="0.25">
      <c r="B44" s="40" t="s">
        <v>44</v>
      </c>
      <c r="C44" s="38" t="s">
        <v>45</v>
      </c>
      <c r="D44" s="65" t="s">
        <v>46</v>
      </c>
      <c r="E44" s="38" t="s">
        <v>47</v>
      </c>
      <c r="F44" s="41" t="s">
        <v>31</v>
      </c>
    </row>
    <row r="45" spans="2:11" x14ac:dyDescent="0.2">
      <c r="B45" s="54">
        <f>LN(B20)</f>
        <v>10.788915060801004</v>
      </c>
      <c r="C45" s="53">
        <f t="shared" ref="C45:C51" si="9">LN(-LN(1-E20))</f>
        <v>-1.8698247144926041</v>
      </c>
      <c r="D45" s="76">
        <f t="shared" ref="D45:D51" si="10">1-EXP(-((B20/$C$53)^$C$52))</f>
        <v>0.14478991081180181</v>
      </c>
      <c r="E45" s="76">
        <f>LN(-LN(1-D45))</f>
        <v>-1.8552865220375629</v>
      </c>
      <c r="F45" s="77">
        <f>ABS(C45/E45)</f>
        <v>1.0078360901576942</v>
      </c>
    </row>
    <row r="46" spans="2:11" x14ac:dyDescent="0.2">
      <c r="B46" s="54">
        <f t="shared" ref="B46:B51" si="11">LN(B21)</f>
        <v>10.798089920493645</v>
      </c>
      <c r="C46" s="53">
        <f t="shared" si="9"/>
        <v>-1.0892396396274506</v>
      </c>
      <c r="D46" s="76">
        <f t="shared" si="10"/>
        <v>0.25573837599221572</v>
      </c>
      <c r="E46" s="76">
        <f t="shared" ref="E46:E51" si="12">LN(-LN(1-D46))</f>
        <v>-1.2195513190748131</v>
      </c>
      <c r="F46" s="77">
        <f t="shared" ref="F46:F51" si="13">ABS(C46/E46)</f>
        <v>0.89314785084548909</v>
      </c>
    </row>
    <row r="47" spans="2:11" x14ac:dyDescent="0.2">
      <c r="B47" s="54">
        <f t="shared" si="11"/>
        <v>10.808915077075888</v>
      </c>
      <c r="C47" s="53">
        <f t="shared" si="9"/>
        <v>-0.58050482369489376</v>
      </c>
      <c r="D47" s="76">
        <f t="shared" si="10"/>
        <v>0.46491864989041642</v>
      </c>
      <c r="E47" s="76">
        <f t="shared" si="12"/>
        <v>-0.46946539433466522</v>
      </c>
      <c r="F47" s="77">
        <f t="shared" si="13"/>
        <v>1.2365231403639358</v>
      </c>
    </row>
    <row r="48" spans="2:11" x14ac:dyDescent="0.2">
      <c r="B48" s="73">
        <f t="shared" si="11"/>
        <v>10.8164763190165</v>
      </c>
      <c r="C48" s="74">
        <f t="shared" si="9"/>
        <v>-0.16570298099369637</v>
      </c>
      <c r="D48" s="74">
        <f t="shared" si="10"/>
        <v>0.65214546605021939</v>
      </c>
      <c r="E48" s="74">
        <f t="shared" si="12"/>
        <v>5.4460620972277836E-2</v>
      </c>
      <c r="F48" s="75">
        <f t="shared" si="13"/>
        <v>3.0426201177185326</v>
      </c>
    </row>
    <row r="49" spans="2:9" x14ac:dyDescent="0.2">
      <c r="B49" s="54">
        <f t="shared" si="11"/>
        <v>10.819544336272319</v>
      </c>
      <c r="C49" s="53">
        <f t="shared" si="9"/>
        <v>0.22535148682596154</v>
      </c>
      <c r="D49" s="76">
        <f t="shared" si="10"/>
        <v>0.72912594702477285</v>
      </c>
      <c r="E49" s="76">
        <f t="shared" si="12"/>
        <v>0.26704660464524382</v>
      </c>
      <c r="F49" s="77">
        <f t="shared" si="13"/>
        <v>0.84386576315144746</v>
      </c>
    </row>
    <row r="50" spans="2:9" x14ac:dyDescent="0.2">
      <c r="B50" s="54">
        <f t="shared" si="11"/>
        <v>10.82163692164333</v>
      </c>
      <c r="C50" s="53">
        <f t="shared" si="9"/>
        <v>0.66572981057827629</v>
      </c>
      <c r="D50" s="76">
        <f t="shared" si="10"/>
        <v>0.77906810144103322</v>
      </c>
      <c r="E50" s="76">
        <f t="shared" si="12"/>
        <v>0.41204393758806318</v>
      </c>
      <c r="F50" s="77">
        <f t="shared" si="13"/>
        <v>1.6156767515502997</v>
      </c>
    </row>
    <row r="51" spans="2:9" ht="15.75" thickBot="1" x14ac:dyDescent="0.25">
      <c r="B51" s="70">
        <f t="shared" si="11"/>
        <v>10.959114959114958</v>
      </c>
      <c r="C51" s="68" t="e">
        <f t="shared" si="9"/>
        <v>#NUM!</v>
      </c>
      <c r="D51" s="68">
        <f t="shared" si="10"/>
        <v>1</v>
      </c>
      <c r="E51" s="68" t="e">
        <f t="shared" si="12"/>
        <v>#NUM!</v>
      </c>
      <c r="F51" s="69" t="e">
        <f t="shared" si="13"/>
        <v>#NUM!</v>
      </c>
    </row>
    <row r="52" spans="2:9" ht="15.75" thickBot="1" x14ac:dyDescent="0.25">
      <c r="B52" s="62" t="s">
        <v>48</v>
      </c>
      <c r="C52" s="59">
        <v>69.290999999999997</v>
      </c>
      <c r="D52" s="64"/>
      <c r="E52" s="78" t="s">
        <v>37</v>
      </c>
      <c r="F52" s="79">
        <f>AVERAGE(F45:F47,F49:F50)</f>
        <v>1.1194099192137732</v>
      </c>
    </row>
    <row r="53" spans="2:9" ht="15.75" thickBot="1" x14ac:dyDescent="0.25">
      <c r="B53" s="62" t="s">
        <v>49</v>
      </c>
      <c r="C53" s="60">
        <f>EXP(749.43/C52)</f>
        <v>49796.020460899177</v>
      </c>
      <c r="D53" s="64"/>
      <c r="E53" s="78" t="s">
        <v>38</v>
      </c>
      <c r="F53" s="80">
        <f>_xlfn.STDEV.P(F45:F47,F49:F50)</f>
        <v>0.282688556647815</v>
      </c>
    </row>
    <row r="54" spans="2:9" ht="16.5" thickBot="1" x14ac:dyDescent="0.3">
      <c r="B54" s="62" t="s">
        <v>50</v>
      </c>
      <c r="C54" s="82" t="s">
        <v>55</v>
      </c>
      <c r="F54" s="81" t="s">
        <v>53</v>
      </c>
    </row>
    <row r="55" spans="2:9" ht="15.75" thickBot="1" x14ac:dyDescent="0.25">
      <c r="B55" s="62" t="s">
        <v>33</v>
      </c>
      <c r="C55" s="82" t="s">
        <v>55</v>
      </c>
    </row>
    <row r="56" spans="2:9" ht="15.75" thickBot="1" x14ac:dyDescent="0.25">
      <c r="G56" s="64"/>
      <c r="H56" s="48"/>
    </row>
    <row r="57" spans="2:9" ht="15.75" thickBot="1" x14ac:dyDescent="0.25">
      <c r="B57" s="42" t="s">
        <v>23</v>
      </c>
      <c r="C57" s="38">
        <v>3.6</v>
      </c>
    </row>
    <row r="58" spans="2:9" ht="15.75" thickBot="1" x14ac:dyDescent="0.25">
      <c r="B58" s="38" t="s">
        <v>25</v>
      </c>
      <c r="C58" s="47">
        <f t="shared" ref="C58:H58" si="14">-(1/C13)*LN($C$57/C14)</f>
        <v>18069.67214194077</v>
      </c>
      <c r="D58" s="47">
        <f t="shared" si="14"/>
        <v>17436.433074524943</v>
      </c>
      <c r="E58" s="47">
        <f t="shared" si="14"/>
        <v>16903.910739122668</v>
      </c>
      <c r="F58" s="47">
        <f t="shared" si="14"/>
        <v>17964.957824736739</v>
      </c>
      <c r="G58" s="47">
        <f t="shared" si="14"/>
        <v>16457.063039177687</v>
      </c>
      <c r="H58" s="47">
        <f t="shared" si="14"/>
        <v>17811.827868382836</v>
      </c>
      <c r="I58" s="46">
        <f>EXP(-($C$57-$I$14)/$I$13)</f>
        <v>16457.123607647052</v>
      </c>
    </row>
    <row r="59" spans="2:9" ht="15.75" thickBot="1" x14ac:dyDescent="0.25"/>
    <row r="60" spans="2:9" ht="15.75" thickBot="1" x14ac:dyDescent="0.25">
      <c r="B60" s="40" t="s">
        <v>66</v>
      </c>
      <c r="C60" s="44">
        <f>C17-C58</f>
        <v>32023.346136551605</v>
      </c>
      <c r="D60" s="45">
        <f t="shared" ref="D60:F60" si="15">D17-D58</f>
        <v>32023.346136551601</v>
      </c>
      <c r="E60" s="45">
        <f t="shared" si="15"/>
        <v>32023.346136551601</v>
      </c>
      <c r="F60" s="45">
        <f t="shared" si="15"/>
        <v>32023.346136551605</v>
      </c>
      <c r="G60" s="45">
        <f>G17-G58</f>
        <v>32023.346136551598</v>
      </c>
      <c r="H60" s="45">
        <f>H17-H58</f>
        <v>32023.346136551609</v>
      </c>
      <c r="I60" s="46">
        <f>I17-I58</f>
        <v>41018.428700075136</v>
      </c>
    </row>
    <row r="61" spans="2:9" ht="15.75" thickBot="1" x14ac:dyDescent="0.25">
      <c r="B61" s="38" t="s">
        <v>51</v>
      </c>
      <c r="C61" s="41">
        <f>AVERAGE(C60:I60)</f>
        <v>33308.357931340681</v>
      </c>
    </row>
  </sheetData>
  <mergeCells count="4">
    <mergeCell ref="C2:I2"/>
    <mergeCell ref="C28:E28"/>
    <mergeCell ref="H28:J28"/>
    <mergeCell ref="B43:F4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F9D37-D1FE-44E2-8A3A-8222101C07D8}">
  <dimension ref="B1:G38"/>
  <sheetViews>
    <sheetView workbookViewId="0">
      <selection activeCell="B18" sqref="B18"/>
    </sheetView>
  </sheetViews>
  <sheetFormatPr baseColWidth="10" defaultRowHeight="15" x14ac:dyDescent="0.2"/>
  <cols>
    <col min="1" max="5" width="11.42578125" style="2"/>
    <col min="6" max="6" width="12.42578125" style="2" bestFit="1" customWidth="1"/>
    <col min="7" max="16384" width="11.42578125" style="2"/>
  </cols>
  <sheetData>
    <row r="1" spans="2:7" ht="15.75" thickBot="1" x14ac:dyDescent="0.25"/>
    <row r="2" spans="2:7" ht="15.75" thickBot="1" x14ac:dyDescent="0.25">
      <c r="B2" s="13" t="s">
        <v>9</v>
      </c>
      <c r="C2" s="13" t="s">
        <v>10</v>
      </c>
      <c r="D2" s="13" t="s">
        <v>11</v>
      </c>
      <c r="E2" s="13" t="s">
        <v>12</v>
      </c>
      <c r="F2" s="13" t="s">
        <v>13</v>
      </c>
      <c r="G2" s="13" t="s">
        <v>14</v>
      </c>
    </row>
    <row r="3" spans="2:7" x14ac:dyDescent="0.2">
      <c r="B3" s="14">
        <v>100</v>
      </c>
      <c r="C3" s="15">
        <v>21.99</v>
      </c>
      <c r="D3" s="10">
        <v>113.42</v>
      </c>
      <c r="E3" s="10">
        <v>38.68</v>
      </c>
      <c r="F3" s="10">
        <v>21.5</v>
      </c>
      <c r="G3" s="11">
        <v>26</v>
      </c>
    </row>
    <row r="4" spans="2:7" x14ac:dyDescent="0.2">
      <c r="B4" s="16">
        <v>200</v>
      </c>
      <c r="C4" s="17">
        <v>26.85</v>
      </c>
      <c r="D4" s="3">
        <v>142.53</v>
      </c>
      <c r="E4" s="3">
        <v>42.75</v>
      </c>
      <c r="F4" s="3">
        <v>28.5</v>
      </c>
      <c r="G4" s="5">
        <v>32</v>
      </c>
    </row>
    <row r="5" spans="2:7" x14ac:dyDescent="0.2">
      <c r="B5" s="16">
        <v>300</v>
      </c>
      <c r="C5" s="17">
        <v>32.799999999999997</v>
      </c>
      <c r="D5" s="3">
        <v>159.56</v>
      </c>
      <c r="E5" s="3">
        <v>47.25</v>
      </c>
      <c r="F5" s="3">
        <v>35.5</v>
      </c>
      <c r="G5" s="5">
        <v>38</v>
      </c>
    </row>
    <row r="6" spans="2:7" x14ac:dyDescent="0.2">
      <c r="B6" s="16">
        <v>400</v>
      </c>
      <c r="C6" s="17">
        <v>40.06</v>
      </c>
      <c r="D6" s="3">
        <v>171.64</v>
      </c>
      <c r="E6" s="3">
        <v>52.21</v>
      </c>
      <c r="F6" s="3">
        <v>42.5</v>
      </c>
      <c r="G6" s="5">
        <v>44</v>
      </c>
    </row>
    <row r="7" spans="2:7" x14ac:dyDescent="0.2">
      <c r="B7" s="16">
        <v>500</v>
      </c>
      <c r="C7" s="17">
        <v>48.93</v>
      </c>
      <c r="D7" s="3">
        <v>181.01</v>
      </c>
      <c r="E7" s="3">
        <v>57.71</v>
      </c>
      <c r="F7" s="3">
        <v>49.5</v>
      </c>
      <c r="G7" s="5">
        <v>50</v>
      </c>
    </row>
    <row r="8" spans="2:7" x14ac:dyDescent="0.2">
      <c r="B8" s="16">
        <v>600</v>
      </c>
      <c r="C8" s="17">
        <v>59.76</v>
      </c>
      <c r="D8" s="3">
        <v>188.67</v>
      </c>
      <c r="E8" s="3">
        <v>63.77</v>
      </c>
      <c r="F8" s="3">
        <v>56.5</v>
      </c>
      <c r="G8" s="5">
        <v>56</v>
      </c>
    </row>
    <row r="9" spans="2:7" x14ac:dyDescent="0.2">
      <c r="B9" s="16">
        <v>700</v>
      </c>
      <c r="C9" s="17">
        <v>72.989999999999995</v>
      </c>
      <c r="D9" s="3">
        <v>195.15</v>
      </c>
      <c r="E9" s="3">
        <v>70.48</v>
      </c>
      <c r="F9" s="3">
        <v>63.5</v>
      </c>
      <c r="G9" s="5">
        <v>62</v>
      </c>
    </row>
    <row r="10" spans="2:7" x14ac:dyDescent="0.2">
      <c r="B10" s="16">
        <v>800</v>
      </c>
      <c r="C10" s="17">
        <v>89.15</v>
      </c>
      <c r="D10" s="3">
        <v>200.75</v>
      </c>
      <c r="E10" s="3">
        <v>77.89</v>
      </c>
      <c r="F10" s="3">
        <v>70.5</v>
      </c>
      <c r="G10" s="5">
        <v>68</v>
      </c>
    </row>
    <row r="11" spans="2:7" x14ac:dyDescent="0.2">
      <c r="B11" s="16">
        <v>900</v>
      </c>
      <c r="C11" s="17">
        <v>108.89</v>
      </c>
      <c r="D11" s="3">
        <v>205.7</v>
      </c>
      <c r="E11" s="3">
        <v>86.09</v>
      </c>
      <c r="F11" s="3">
        <v>77.5</v>
      </c>
      <c r="G11" s="5">
        <v>74</v>
      </c>
    </row>
    <row r="12" spans="2:7" ht="15.75" thickBot="1" x14ac:dyDescent="0.25">
      <c r="B12" s="18">
        <v>1000</v>
      </c>
      <c r="C12" s="19">
        <v>133</v>
      </c>
      <c r="D12" s="7">
        <v>210.13</v>
      </c>
      <c r="E12" s="7">
        <v>95.14</v>
      </c>
      <c r="F12" s="7">
        <v>84.5</v>
      </c>
      <c r="G12" s="8">
        <v>80</v>
      </c>
    </row>
    <row r="13" spans="2:7" ht="15.75" thickBot="1" x14ac:dyDescent="0.25"/>
    <row r="14" spans="2:7" ht="15.75" thickBot="1" x14ac:dyDescent="0.25">
      <c r="B14" s="40" t="s">
        <v>29</v>
      </c>
      <c r="C14" s="41">
        <v>5</v>
      </c>
    </row>
    <row r="15" spans="2:7" ht="15.75" thickBot="1" x14ac:dyDescent="0.25"/>
    <row r="16" spans="2:7" ht="15.75" thickBot="1" x14ac:dyDescent="0.25">
      <c r="B16" s="38" t="s">
        <v>97</v>
      </c>
      <c r="C16" s="36">
        <v>2E-3</v>
      </c>
      <c r="D16" s="30">
        <v>41.999000000000002</v>
      </c>
      <c r="E16" s="30">
        <v>1E-3</v>
      </c>
      <c r="F16" s="30">
        <v>7.0000000000000007E-2</v>
      </c>
      <c r="G16" s="32">
        <v>0.06</v>
      </c>
    </row>
    <row r="17" spans="2:7" ht="15.75" thickBot="1" x14ac:dyDescent="0.25">
      <c r="B17" s="38" t="s">
        <v>98</v>
      </c>
      <c r="C17" s="39">
        <v>18.001000000000001</v>
      </c>
      <c r="D17" s="34">
        <v>79.995999999999995</v>
      </c>
      <c r="E17" s="34">
        <v>35</v>
      </c>
      <c r="F17" s="34">
        <v>14.5</v>
      </c>
      <c r="G17" s="35">
        <v>20</v>
      </c>
    </row>
    <row r="18" spans="2:7" ht="15.75" thickBot="1" x14ac:dyDescent="0.25"/>
    <row r="19" spans="2:7" ht="15.75" thickBot="1" x14ac:dyDescent="0.25">
      <c r="B19" s="38" t="s">
        <v>56</v>
      </c>
      <c r="C19" s="43">
        <v>250</v>
      </c>
    </row>
    <row r="20" spans="2:7" ht="15.75" thickBot="1" x14ac:dyDescent="0.25">
      <c r="B20" s="38" t="s">
        <v>57</v>
      </c>
      <c r="C20" s="47">
        <f>(1/$C$16)*LN($C$19/$C$17)</f>
        <v>1315.5168029768395</v>
      </c>
      <c r="D20" s="45">
        <f>EXP(($C$19+$D$17)/$D$16)</f>
        <v>2584.3639333478063</v>
      </c>
      <c r="E20" s="45">
        <f>(1/$E$16)*LN($C$19/$E$17)</f>
        <v>1966.1128563728328</v>
      </c>
      <c r="F20" s="45">
        <f>($C$19-$F$17)/$F$16</f>
        <v>3364.2857142857138</v>
      </c>
      <c r="G20" s="46">
        <f>($C$19-$G$17)/$G$16</f>
        <v>3833.3333333333335</v>
      </c>
    </row>
    <row r="21" spans="2:7" ht="15.75" thickBot="1" x14ac:dyDescent="0.25"/>
    <row r="22" spans="2:7" ht="15.75" thickBot="1" x14ac:dyDescent="0.25">
      <c r="B22" s="38" t="s">
        <v>58</v>
      </c>
      <c r="C22" s="65" t="s">
        <v>26</v>
      </c>
      <c r="D22" s="38" t="s">
        <v>27</v>
      </c>
      <c r="E22" s="41" t="s">
        <v>28</v>
      </c>
    </row>
    <row r="23" spans="2:7" x14ac:dyDescent="0.2">
      <c r="B23" s="54">
        <f>C20</f>
        <v>1315.5168029768395</v>
      </c>
      <c r="C23" s="53">
        <f>1</f>
        <v>1</v>
      </c>
      <c r="D23" s="53">
        <f>C23</f>
        <v>1</v>
      </c>
      <c r="E23" s="52">
        <f>D23/$C$14</f>
        <v>0.2</v>
      </c>
    </row>
    <row r="24" spans="2:7" x14ac:dyDescent="0.2">
      <c r="B24" s="50">
        <f>E20</f>
        <v>1966.1128563728328</v>
      </c>
      <c r="C24" s="28">
        <f>1</f>
        <v>1</v>
      </c>
      <c r="D24" s="28">
        <f>D23+C24</f>
        <v>2</v>
      </c>
      <c r="E24" s="51">
        <f t="shared" ref="E24:E27" si="0">D24/$C$14</f>
        <v>0.4</v>
      </c>
    </row>
    <row r="25" spans="2:7" x14ac:dyDescent="0.2">
      <c r="B25" s="50">
        <f>D20</f>
        <v>2584.3639333478063</v>
      </c>
      <c r="C25" s="28">
        <f>1</f>
        <v>1</v>
      </c>
      <c r="D25" s="28">
        <f t="shared" ref="D25:D27" si="1">D24+C25</f>
        <v>3</v>
      </c>
      <c r="E25" s="51">
        <f t="shared" si="0"/>
        <v>0.6</v>
      </c>
    </row>
    <row r="26" spans="2:7" x14ac:dyDescent="0.2">
      <c r="B26" s="50">
        <f>F20</f>
        <v>3364.2857142857138</v>
      </c>
      <c r="C26" s="28">
        <f>1</f>
        <v>1</v>
      </c>
      <c r="D26" s="28">
        <f t="shared" si="1"/>
        <v>4</v>
      </c>
      <c r="E26" s="51">
        <f t="shared" si="0"/>
        <v>0.8</v>
      </c>
    </row>
    <row r="27" spans="2:7" ht="15.75" thickBot="1" x14ac:dyDescent="0.25">
      <c r="B27" s="33">
        <f>G20</f>
        <v>3833.3333333333335</v>
      </c>
      <c r="C27" s="34">
        <f>1</f>
        <v>1</v>
      </c>
      <c r="D27" s="34">
        <f t="shared" si="1"/>
        <v>5</v>
      </c>
      <c r="E27" s="35">
        <f t="shared" si="0"/>
        <v>1</v>
      </c>
    </row>
    <row r="28" spans="2:7" ht="15.75" thickBot="1" x14ac:dyDescent="0.25"/>
    <row r="29" spans="2:7" ht="15.75" thickBot="1" x14ac:dyDescent="0.25">
      <c r="B29" s="40" t="s">
        <v>59</v>
      </c>
      <c r="C29" s="38" t="s">
        <v>45</v>
      </c>
      <c r="D29" s="65" t="s">
        <v>46</v>
      </c>
      <c r="E29" s="38" t="s">
        <v>47</v>
      </c>
      <c r="F29" s="41" t="s">
        <v>31</v>
      </c>
    </row>
    <row r="30" spans="2:7" x14ac:dyDescent="0.2">
      <c r="B30" s="54">
        <f>LN(B23)</f>
        <v>7.1819848734712464</v>
      </c>
      <c r="C30" s="53">
        <f>LN(-LN(1-E23))</f>
        <v>-1.4999399867595158</v>
      </c>
      <c r="D30" s="53">
        <f>1-EXP(-((B23/$C$36)^$C$35))</f>
        <v>0.19880705041421209</v>
      </c>
      <c r="E30" s="53">
        <f>LN(-LN(1-D30))</f>
        <v>-1.5066400398303716</v>
      </c>
      <c r="F30" s="52">
        <f>ABS(C30/E30)</f>
        <v>0.99555298353041899</v>
      </c>
    </row>
    <row r="31" spans="2:7" x14ac:dyDescent="0.2">
      <c r="B31" s="54">
        <f t="shared" ref="B31:B34" si="2">LN(B24)</f>
        <v>7.5838137031149193</v>
      </c>
      <c r="C31" s="53">
        <f t="shared" ref="C31:C34" si="3">LN(-LN(1-E24))</f>
        <v>-0.67172699209212194</v>
      </c>
      <c r="D31" s="53">
        <f t="shared" ref="D31:D34" si="4">1-EXP(-((B24/$C$36)^$C$35))</f>
        <v>0.40334859592191941</v>
      </c>
      <c r="E31" s="53">
        <f t="shared" ref="E31:E34" si="5">LN(-LN(1-D31))</f>
        <v>-0.6608305363134036</v>
      </c>
      <c r="F31" s="52">
        <f t="shared" ref="F31:F34" si="6">ABS(C31/E31)</f>
        <v>1.0164890318772295</v>
      </c>
    </row>
    <row r="32" spans="2:7" x14ac:dyDescent="0.2">
      <c r="B32" s="54">
        <f t="shared" si="2"/>
        <v>7.8572346960641912</v>
      </c>
      <c r="C32" s="53">
        <f t="shared" si="3"/>
        <v>-8.7421571790755173E-2</v>
      </c>
      <c r="D32" s="53">
        <f t="shared" si="4"/>
        <v>0.60077520736107703</v>
      </c>
      <c r="E32" s="53">
        <f t="shared" si="5"/>
        <v>-8.5306688254481261E-2</v>
      </c>
      <c r="F32" s="52">
        <f t="shared" si="6"/>
        <v>1.0247915325228067</v>
      </c>
    </row>
    <row r="33" spans="2:6" x14ac:dyDescent="0.2">
      <c r="B33" s="54">
        <f t="shared" si="2"/>
        <v>8.1209709503892498</v>
      </c>
      <c r="C33" s="53">
        <f t="shared" si="3"/>
        <v>0.4758849953271107</v>
      </c>
      <c r="D33" s="53">
        <f t="shared" si="4"/>
        <v>0.79804795735119094</v>
      </c>
      <c r="E33" s="53">
        <f t="shared" si="5"/>
        <v>0.46983175347433526</v>
      </c>
      <c r="F33" s="52">
        <f t="shared" si="6"/>
        <v>1.0128838500335762</v>
      </c>
    </row>
    <row r="34" spans="2:6" ht="15.75" thickBot="1" x14ac:dyDescent="0.25">
      <c r="B34" s="70">
        <f t="shared" si="2"/>
        <v>8.251490025683232</v>
      </c>
      <c r="C34" s="68" t="e">
        <f t="shared" si="3"/>
        <v>#NUM!</v>
      </c>
      <c r="D34" s="68">
        <f t="shared" si="4"/>
        <v>0.87821738376283176</v>
      </c>
      <c r="E34" s="68">
        <f t="shared" si="5"/>
        <v>0.74456135506063681</v>
      </c>
      <c r="F34" s="69" t="e">
        <f t="shared" si="6"/>
        <v>#NUM!</v>
      </c>
    </row>
    <row r="35" spans="2:6" ht="15.75" thickBot="1" x14ac:dyDescent="0.25">
      <c r="B35" s="62" t="s">
        <v>48</v>
      </c>
      <c r="C35" s="59">
        <v>2.1049000000000002</v>
      </c>
      <c r="E35" s="62" t="s">
        <v>37</v>
      </c>
      <c r="F35" s="59">
        <f>AVERAGE(F30:F33)</f>
        <v>1.0124293494910079</v>
      </c>
    </row>
    <row r="36" spans="2:6" ht="15.75" thickBot="1" x14ac:dyDescent="0.25">
      <c r="B36" s="62" t="s">
        <v>49</v>
      </c>
      <c r="C36" s="63">
        <f>EXP(16.624/C35)</f>
        <v>2691.2535398820846</v>
      </c>
      <c r="E36" s="62" t="s">
        <v>38</v>
      </c>
      <c r="F36" s="61">
        <f>_xlfn.STDEV.S(F30:F33)</f>
        <v>1.2306135179489567E-2</v>
      </c>
    </row>
    <row r="37" spans="2:6" ht="15.75" thickBot="1" x14ac:dyDescent="0.25">
      <c r="B37" s="62" t="s">
        <v>50</v>
      </c>
      <c r="C37" s="60">
        <v>0.88570000000000004</v>
      </c>
    </row>
    <row r="38" spans="2:6" ht="15.75" thickBot="1" x14ac:dyDescent="0.25">
      <c r="B38" s="83" t="s">
        <v>33</v>
      </c>
      <c r="C38" s="84">
        <f>C36*C37</f>
        <v>2383.6432602735626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A634-B605-4F14-B229-54A575D148B7}">
  <dimension ref="A1:J84"/>
  <sheetViews>
    <sheetView topLeftCell="A70" workbookViewId="0">
      <selection activeCell="A31" sqref="A31"/>
    </sheetView>
  </sheetViews>
  <sheetFormatPr baseColWidth="10" defaultRowHeight="15" x14ac:dyDescent="0.2"/>
  <cols>
    <col min="1" max="1" width="17.42578125" style="2" customWidth="1"/>
    <col min="2" max="4" width="11.42578125" style="2"/>
    <col min="5" max="5" width="12.42578125" style="2" bestFit="1" customWidth="1"/>
    <col min="6" max="7" width="11.42578125" style="2"/>
    <col min="8" max="8" width="12.42578125" style="2" bestFit="1" customWidth="1"/>
    <col min="9" max="10" width="12.42578125" style="2" customWidth="1"/>
    <col min="11" max="16384" width="11.42578125" style="2"/>
  </cols>
  <sheetData>
    <row r="1" spans="2:10" ht="15.75" thickBot="1" x14ac:dyDescent="0.25"/>
    <row r="2" spans="2:10" ht="16.5" customHeight="1" thickBot="1" x14ac:dyDescent="0.25">
      <c r="B2" s="85" t="s">
        <v>60</v>
      </c>
      <c r="C2" s="120" t="s">
        <v>15</v>
      </c>
      <c r="D2" s="120"/>
      <c r="E2" s="120"/>
      <c r="F2" s="120"/>
      <c r="G2" s="120"/>
      <c r="H2" s="120"/>
      <c r="I2" s="57"/>
      <c r="J2" s="57"/>
    </row>
    <row r="3" spans="2:10" ht="19.5" thickBot="1" x14ac:dyDescent="0.25">
      <c r="B3" s="85" t="s">
        <v>58</v>
      </c>
      <c r="C3" s="12" t="s">
        <v>16</v>
      </c>
      <c r="D3" s="12" t="s">
        <v>17</v>
      </c>
      <c r="E3" s="12" t="s">
        <v>18</v>
      </c>
      <c r="F3" s="12" t="s">
        <v>19</v>
      </c>
      <c r="G3" s="12" t="s">
        <v>20</v>
      </c>
      <c r="H3" s="12" t="s">
        <v>21</v>
      </c>
      <c r="I3" s="57"/>
      <c r="J3" s="57"/>
    </row>
    <row r="4" spans="2:10" x14ac:dyDescent="0.2">
      <c r="B4" s="20">
        <v>0.25</v>
      </c>
      <c r="C4" s="21">
        <v>33.409447368421098</v>
      </c>
      <c r="D4" s="22">
        <v>26.333662441239799</v>
      </c>
      <c r="E4" s="22">
        <v>17.961983030005701</v>
      </c>
      <c r="F4" s="22">
        <v>32.273695652173899</v>
      </c>
      <c r="G4" s="22">
        <v>33.563494133141901</v>
      </c>
      <c r="H4" s="23">
        <v>18.5462388180059</v>
      </c>
      <c r="I4" s="86"/>
      <c r="J4" s="86"/>
    </row>
    <row r="5" spans="2:10" x14ac:dyDescent="0.2">
      <c r="B5" s="16">
        <v>0.5</v>
      </c>
      <c r="C5" s="24">
        <v>31.760894736842101</v>
      </c>
      <c r="D5" s="25">
        <v>19.813193644833198</v>
      </c>
      <c r="E5" s="25">
        <v>15.823082909047001</v>
      </c>
      <c r="F5" s="25">
        <v>29.557391304347799</v>
      </c>
      <c r="G5" s="25">
        <v>32.172158744122498</v>
      </c>
      <c r="H5" s="26">
        <v>16.480684367369399</v>
      </c>
      <c r="I5" s="86"/>
      <c r="J5" s="86"/>
    </row>
    <row r="6" spans="2:10" x14ac:dyDescent="0.2">
      <c r="B6" s="16">
        <v>0.75</v>
      </c>
      <c r="C6" s="24">
        <v>30.112342105263199</v>
      </c>
      <c r="D6" s="25">
        <v>14.907255809313</v>
      </c>
      <c r="E6" s="25">
        <v>14.571906545498299</v>
      </c>
      <c r="F6" s="25">
        <v>26.8410869565217</v>
      </c>
      <c r="G6" s="25">
        <v>30.838499536166399</v>
      </c>
      <c r="H6" s="26">
        <v>15.2724124705494</v>
      </c>
      <c r="I6" s="86"/>
      <c r="J6" s="86"/>
    </row>
    <row r="7" spans="2:10" x14ac:dyDescent="0.2">
      <c r="B7" s="16">
        <v>1</v>
      </c>
      <c r="C7" s="24">
        <v>28.463789473684201</v>
      </c>
      <c r="D7" s="25">
        <v>11.2160754973617</v>
      </c>
      <c r="E7" s="25">
        <v>13.6841827880884</v>
      </c>
      <c r="F7" s="25">
        <v>24.1247826086957</v>
      </c>
      <c r="G7" s="25">
        <v>29.560125610653099</v>
      </c>
      <c r="H7" s="26">
        <v>14.4151299167329</v>
      </c>
      <c r="I7" s="86"/>
      <c r="J7" s="86"/>
    </row>
    <row r="8" spans="2:10" x14ac:dyDescent="0.2">
      <c r="B8" s="16">
        <v>1.25</v>
      </c>
      <c r="C8" s="24">
        <v>26.8152368421053</v>
      </c>
      <c r="D8" s="25"/>
      <c r="E8" s="25">
        <v>12.995610746993799</v>
      </c>
      <c r="F8" s="25">
        <v>21.4084782608696</v>
      </c>
      <c r="G8" s="25">
        <v>28.334745180868001</v>
      </c>
      <c r="H8" s="26">
        <v>13.750169907553399</v>
      </c>
      <c r="I8" s="86"/>
      <c r="J8" s="86"/>
    </row>
    <row r="9" spans="2:10" x14ac:dyDescent="0.2">
      <c r="B9" s="16">
        <v>1.5</v>
      </c>
      <c r="C9" s="24">
        <v>25.166684210526299</v>
      </c>
      <c r="D9" s="25"/>
      <c r="E9" s="25">
        <v>12.433006424539601</v>
      </c>
      <c r="F9" s="25">
        <v>18.692173913043501</v>
      </c>
      <c r="G9" s="25">
        <v>27.160161463433699</v>
      </c>
      <c r="H9" s="26">
        <v>13.206858019912801</v>
      </c>
      <c r="I9" s="86"/>
      <c r="J9" s="86"/>
    </row>
    <row r="10" spans="2:10" x14ac:dyDescent="0.2">
      <c r="B10" s="16">
        <v>1.75</v>
      </c>
      <c r="C10" s="24">
        <v>23.518131578947401</v>
      </c>
      <c r="D10" s="25"/>
      <c r="E10" s="25">
        <v>11.9573312476428</v>
      </c>
      <c r="F10" s="25">
        <v>15.975869565217399</v>
      </c>
      <c r="G10" s="25">
        <v>26.034268740058401</v>
      </c>
      <c r="H10" s="26">
        <v>12.7474943642335</v>
      </c>
      <c r="I10" s="86"/>
      <c r="J10" s="86"/>
    </row>
    <row r="11" spans="2:10" x14ac:dyDescent="0.2">
      <c r="B11" s="16">
        <v>2</v>
      </c>
      <c r="C11" s="24">
        <v>21.869578947368399</v>
      </c>
      <c r="D11" s="25"/>
      <c r="E11" s="25">
        <v>11.545282667129699</v>
      </c>
      <c r="F11" s="25">
        <v>13.2595652173913</v>
      </c>
      <c r="G11" s="25">
        <v>24.955048582538598</v>
      </c>
      <c r="H11" s="26">
        <v>12.3495754660964</v>
      </c>
      <c r="I11" s="86"/>
      <c r="J11" s="86"/>
    </row>
    <row r="12" spans="2:10" x14ac:dyDescent="0.2">
      <c r="B12" s="16">
        <v>2.25</v>
      </c>
      <c r="C12" s="24">
        <v>20.221026315789501</v>
      </c>
      <c r="D12" s="25"/>
      <c r="E12" s="25">
        <v>11.181830060990899</v>
      </c>
      <c r="F12" s="25"/>
      <c r="G12" s="25">
        <v>23.920566234251201</v>
      </c>
      <c r="H12" s="26">
        <v>11.998586123092799</v>
      </c>
      <c r="I12" s="86"/>
      <c r="J12" s="86"/>
    </row>
    <row r="13" spans="2:10" x14ac:dyDescent="0.2">
      <c r="B13" s="16">
        <v>2.5</v>
      </c>
      <c r="C13" s="24">
        <v>18.5724736842105</v>
      </c>
      <c r="D13" s="25"/>
      <c r="E13" s="25">
        <v>10.8567106260352</v>
      </c>
      <c r="F13" s="25"/>
      <c r="G13" s="25">
        <v>22.9289671416456</v>
      </c>
      <c r="H13" s="26">
        <v>11.6846154569169</v>
      </c>
      <c r="I13" s="86"/>
      <c r="J13" s="86"/>
    </row>
    <row r="14" spans="2:10" x14ac:dyDescent="0.2">
      <c r="B14" s="16">
        <v>2.75</v>
      </c>
      <c r="C14" s="24">
        <v>16.923921052631599</v>
      </c>
      <c r="D14" s="25"/>
      <c r="E14" s="25"/>
      <c r="F14" s="25"/>
      <c r="G14" s="25">
        <v>21.978473629519499</v>
      </c>
      <c r="H14" s="26">
        <v>11.400594441457001</v>
      </c>
      <c r="I14" s="86"/>
      <c r="J14" s="86"/>
    </row>
    <row r="15" spans="2:10" x14ac:dyDescent="0.2">
      <c r="B15" s="16">
        <v>3</v>
      </c>
      <c r="C15" s="24">
        <v>15.275368421052599</v>
      </c>
      <c r="D15" s="25"/>
      <c r="E15" s="25"/>
      <c r="F15" s="25"/>
      <c r="G15" s="25">
        <v>21.0673817141166</v>
      </c>
      <c r="H15" s="26">
        <v>11.1413035692763</v>
      </c>
      <c r="I15" s="86"/>
      <c r="J15" s="86"/>
    </row>
    <row r="16" spans="2:10" x14ac:dyDescent="0.2">
      <c r="B16" s="16">
        <v>3.25</v>
      </c>
      <c r="C16" s="24">
        <v>13.626815789473699</v>
      </c>
      <c r="D16" s="25"/>
      <c r="E16" s="25"/>
      <c r="F16" s="25"/>
      <c r="G16" s="25">
        <v>20.194058048333901</v>
      </c>
      <c r="H16" s="26"/>
      <c r="I16" s="86"/>
      <c r="J16" s="86"/>
    </row>
    <row r="17" spans="2:10" x14ac:dyDescent="0.2">
      <c r="B17" s="16">
        <v>3.5</v>
      </c>
      <c r="C17" s="24"/>
      <c r="D17" s="25"/>
      <c r="E17" s="25"/>
      <c r="F17" s="25"/>
      <c r="G17" s="25">
        <v>19.356936993562201</v>
      </c>
      <c r="H17" s="26">
        <v>10.681939913597001</v>
      </c>
      <c r="I17" s="86"/>
      <c r="J17" s="86"/>
    </row>
    <row r="18" spans="2:10" x14ac:dyDescent="0.2">
      <c r="B18" s="16">
        <v>3.75</v>
      </c>
      <c r="C18" s="24"/>
      <c r="D18" s="25"/>
      <c r="E18" s="25"/>
      <c r="F18" s="25"/>
      <c r="G18" s="25">
        <v>18.554517812909399</v>
      </c>
      <c r="H18" s="26">
        <v>10.476343560096799</v>
      </c>
      <c r="I18" s="86"/>
      <c r="J18" s="86"/>
    </row>
    <row r="19" spans="2:10" x14ac:dyDescent="0.2">
      <c r="B19" s="16">
        <v>4</v>
      </c>
      <c r="C19" s="24"/>
      <c r="D19" s="25"/>
      <c r="E19" s="25"/>
      <c r="F19" s="25"/>
      <c r="G19" s="25">
        <v>17.785361980775701</v>
      </c>
      <c r="H19" s="26">
        <v>10.284021015459899</v>
      </c>
      <c r="I19" s="86"/>
      <c r="J19" s="86"/>
    </row>
    <row r="20" spans="2:10" x14ac:dyDescent="0.2">
      <c r="B20" s="16">
        <v>4.25</v>
      </c>
      <c r="C20" s="24"/>
      <c r="D20" s="25"/>
      <c r="E20" s="25"/>
      <c r="F20" s="25"/>
      <c r="G20" s="25">
        <v>17.048090603957402</v>
      </c>
      <c r="H20" s="26"/>
      <c r="I20" s="86"/>
      <c r="J20" s="86"/>
    </row>
    <row r="21" spans="2:10" x14ac:dyDescent="0.2">
      <c r="B21" s="16">
        <v>4.5</v>
      </c>
      <c r="C21" s="24"/>
      <c r="D21" s="25"/>
      <c r="E21" s="25"/>
      <c r="F21" s="25"/>
      <c r="G21" s="25">
        <v>16.341381949655801</v>
      </c>
      <c r="H21" s="26"/>
      <c r="I21" s="86"/>
      <c r="J21" s="86"/>
    </row>
    <row r="22" spans="2:10" x14ac:dyDescent="0.2">
      <c r="B22" s="16">
        <v>4.75</v>
      </c>
      <c r="C22" s="24"/>
      <c r="D22" s="25"/>
      <c r="E22" s="25"/>
      <c r="F22" s="25"/>
      <c r="G22" s="25">
        <v>15.663969075958899</v>
      </c>
      <c r="H22" s="26"/>
      <c r="I22" s="86"/>
      <c r="J22" s="86"/>
    </row>
    <row r="23" spans="2:10" x14ac:dyDescent="0.2">
      <c r="B23" s="16">
        <v>5</v>
      </c>
      <c r="C23" s="24"/>
      <c r="D23" s="25"/>
      <c r="E23" s="25"/>
      <c r="F23" s="25"/>
      <c r="G23" s="25">
        <v>15.014637560550099</v>
      </c>
      <c r="H23" s="26"/>
      <c r="I23" s="86"/>
      <c r="J23" s="86"/>
    </row>
    <row r="24" spans="2:10" x14ac:dyDescent="0.2">
      <c r="B24" s="16">
        <v>5.25</v>
      </c>
      <c r="C24" s="24"/>
      <c r="D24" s="25"/>
      <c r="E24" s="25"/>
      <c r="F24" s="25"/>
      <c r="G24" s="25">
        <v>14.392223323569199</v>
      </c>
      <c r="H24" s="26"/>
      <c r="I24" s="86"/>
      <c r="J24" s="86"/>
    </row>
    <row r="25" spans="2:10" x14ac:dyDescent="0.2">
      <c r="B25" s="16">
        <v>5.5</v>
      </c>
      <c r="C25" s="24"/>
      <c r="D25" s="25"/>
      <c r="E25" s="25"/>
      <c r="F25" s="25"/>
      <c r="G25" s="25">
        <v>13.795610540724899</v>
      </c>
      <c r="H25" s="26"/>
      <c r="I25" s="86"/>
      <c r="J25" s="86"/>
    </row>
    <row r="26" spans="2:10" x14ac:dyDescent="0.2">
      <c r="B26" s="16">
        <v>5.75</v>
      </c>
      <c r="C26" s="24"/>
      <c r="D26" s="25"/>
      <c r="E26" s="25"/>
      <c r="F26" s="25"/>
      <c r="G26" s="25">
        <v>13.223729642916799</v>
      </c>
      <c r="H26" s="26"/>
      <c r="I26" s="86"/>
      <c r="J26" s="86"/>
    </row>
    <row r="27" spans="2:10" ht="15.75" thickBot="1" x14ac:dyDescent="0.25">
      <c r="B27" s="18">
        <v>6</v>
      </c>
      <c r="C27" s="19"/>
      <c r="D27" s="7"/>
      <c r="E27" s="7"/>
      <c r="F27" s="7"/>
      <c r="G27" s="27">
        <v>12.6755553987803</v>
      </c>
      <c r="H27" s="8"/>
      <c r="I27" s="58"/>
      <c r="J27" s="58"/>
    </row>
    <row r="28" spans="2:10" ht="15.75" thickBot="1" x14ac:dyDescent="0.25"/>
    <row r="29" spans="2:10" ht="15.75" thickBot="1" x14ac:dyDescent="0.25">
      <c r="B29" s="40" t="s">
        <v>29</v>
      </c>
      <c r="C29" s="38">
        <v>6</v>
      </c>
    </row>
    <row r="30" spans="2:10" ht="15.75" thickBot="1" x14ac:dyDescent="0.25">
      <c r="B30" s="48"/>
      <c r="C30" s="48"/>
    </row>
    <row r="31" spans="2:10" ht="15.75" thickBot="1" x14ac:dyDescent="0.25">
      <c r="B31" s="38" t="s">
        <v>97</v>
      </c>
      <c r="C31" s="36">
        <v>-6.5941999999999998</v>
      </c>
      <c r="D31" s="30">
        <v>-1.1379999999999999</v>
      </c>
      <c r="E31" s="30">
        <v>-3.0859999999999999</v>
      </c>
      <c r="F31" s="30">
        <v>-10.865</v>
      </c>
      <c r="G31" s="30">
        <v>-0.16900000000000001</v>
      </c>
      <c r="H31" s="32">
        <v>-2.98</v>
      </c>
      <c r="I31" s="48"/>
      <c r="J31" s="48"/>
    </row>
    <row r="32" spans="2:10" ht="15.75" thickBot="1" x14ac:dyDescent="0.25">
      <c r="B32" s="38" t="s">
        <v>98</v>
      </c>
      <c r="C32" s="39">
        <v>35.058</v>
      </c>
      <c r="D32" s="34">
        <v>35</v>
      </c>
      <c r="E32" s="34">
        <v>13.683999999999999</v>
      </c>
      <c r="F32" s="34">
        <v>34.99</v>
      </c>
      <c r="G32" s="34">
        <v>35.015000000000001</v>
      </c>
      <c r="H32" s="35">
        <v>14.414999999999999</v>
      </c>
      <c r="I32" s="48"/>
      <c r="J32" s="48"/>
    </row>
    <row r="33" spans="2:10" ht="15.75" thickBot="1" x14ac:dyDescent="0.25"/>
    <row r="34" spans="2:10" ht="15.75" thickBot="1" x14ac:dyDescent="0.25">
      <c r="B34" s="38" t="s">
        <v>22</v>
      </c>
      <c r="C34" s="43">
        <v>10</v>
      </c>
    </row>
    <row r="35" spans="2:10" ht="15.75" thickBot="1" x14ac:dyDescent="0.25">
      <c r="B35" s="38" t="s">
        <v>57</v>
      </c>
      <c r="C35" s="47">
        <f>(C34-$C$32)/$C$31</f>
        <v>3.8000060659367323</v>
      </c>
      <c r="D35" s="45">
        <f>(1/$D$31)*LN(C34/$D$32)</f>
        <v>1.1008461937569141</v>
      </c>
      <c r="E35" s="45">
        <f>EXP((C34-$E$32)/$E$31)</f>
        <v>3.2995244560334172</v>
      </c>
      <c r="F35" s="45">
        <f>(C34-$F$32)/$F$31</f>
        <v>2.3000460193281178</v>
      </c>
      <c r="G35" s="45">
        <f>(1/$G$31)*LN(C34/$G$32)</f>
        <v>7.4153340125055349</v>
      </c>
      <c r="H35" s="46">
        <f>EXP((C34-$H$32)/$H$31)</f>
        <v>4.399731974405884</v>
      </c>
      <c r="I35" s="48"/>
      <c r="J35" s="48"/>
    </row>
    <row r="36" spans="2:10" ht="15.75" thickBot="1" x14ac:dyDescent="0.25"/>
    <row r="37" spans="2:10" ht="15.75" thickBot="1" x14ac:dyDescent="0.25">
      <c r="B37" s="40" t="s">
        <v>58</v>
      </c>
      <c r="C37" s="38" t="s">
        <v>26</v>
      </c>
      <c r="D37" s="65" t="s">
        <v>27</v>
      </c>
      <c r="E37" s="38" t="s">
        <v>28</v>
      </c>
    </row>
    <row r="38" spans="2:10" x14ac:dyDescent="0.2">
      <c r="B38" s="54">
        <f>D35</f>
        <v>1.1008461937569141</v>
      </c>
      <c r="C38" s="53">
        <f>1</f>
        <v>1</v>
      </c>
      <c r="D38" s="53">
        <f>C38</f>
        <v>1</v>
      </c>
      <c r="E38" s="52">
        <f>D38/$C$29</f>
        <v>0.16666666666666666</v>
      </c>
    </row>
    <row r="39" spans="2:10" x14ac:dyDescent="0.2">
      <c r="B39" s="50">
        <f>F35</f>
        <v>2.3000460193281178</v>
      </c>
      <c r="C39" s="28">
        <f>1</f>
        <v>1</v>
      </c>
      <c r="D39" s="28">
        <f>D38+C39</f>
        <v>2</v>
      </c>
      <c r="E39" s="51">
        <f t="shared" ref="E39:E43" si="0">D39/$C$29</f>
        <v>0.33333333333333331</v>
      </c>
    </row>
    <row r="40" spans="2:10" x14ac:dyDescent="0.2">
      <c r="B40" s="50">
        <f>E35</f>
        <v>3.2995244560334172</v>
      </c>
      <c r="C40" s="28">
        <f>1</f>
        <v>1</v>
      </c>
      <c r="D40" s="28">
        <f t="shared" ref="D40:D43" si="1">D39+C40</f>
        <v>3</v>
      </c>
      <c r="E40" s="51">
        <f t="shared" si="0"/>
        <v>0.5</v>
      </c>
    </row>
    <row r="41" spans="2:10" x14ac:dyDescent="0.2">
      <c r="B41" s="50">
        <f>C35</f>
        <v>3.8000060659367323</v>
      </c>
      <c r="C41" s="28">
        <f>1</f>
        <v>1</v>
      </c>
      <c r="D41" s="28">
        <f t="shared" si="1"/>
        <v>4</v>
      </c>
      <c r="E41" s="51">
        <f t="shared" si="0"/>
        <v>0.66666666666666663</v>
      </c>
    </row>
    <row r="42" spans="2:10" x14ac:dyDescent="0.2">
      <c r="B42" s="50">
        <f>H35</f>
        <v>4.399731974405884</v>
      </c>
      <c r="C42" s="28">
        <f>1</f>
        <v>1</v>
      </c>
      <c r="D42" s="28">
        <f t="shared" si="1"/>
        <v>5</v>
      </c>
      <c r="E42" s="51">
        <f t="shared" si="0"/>
        <v>0.83333333333333337</v>
      </c>
    </row>
    <row r="43" spans="2:10" ht="15.75" thickBot="1" x14ac:dyDescent="0.25">
      <c r="B43" s="33">
        <f>G35</f>
        <v>7.4153340125055349</v>
      </c>
      <c r="C43" s="34">
        <f>1</f>
        <v>1</v>
      </c>
      <c r="D43" s="34">
        <f t="shared" si="1"/>
        <v>6</v>
      </c>
      <c r="E43" s="35">
        <f t="shared" si="0"/>
        <v>1</v>
      </c>
    </row>
    <row r="44" spans="2:10" ht="15.75" thickBot="1" x14ac:dyDescent="0.25">
      <c r="B44" s="48"/>
      <c r="C44" s="48"/>
      <c r="D44" s="48"/>
      <c r="E44" s="48"/>
    </row>
    <row r="45" spans="2:10" ht="15.75" thickBot="1" x14ac:dyDescent="0.25">
      <c r="B45" s="114" t="s">
        <v>43</v>
      </c>
      <c r="C45" s="115"/>
      <c r="D45" s="116"/>
      <c r="F45" s="117" t="s">
        <v>42</v>
      </c>
      <c r="G45" s="118"/>
      <c r="H45" s="118"/>
      <c r="I45" s="118"/>
      <c r="J45" s="119"/>
    </row>
    <row r="46" spans="2:10" ht="15.75" thickBot="1" x14ac:dyDescent="0.25">
      <c r="B46" s="40" t="s">
        <v>30</v>
      </c>
      <c r="C46" s="38" t="s">
        <v>40</v>
      </c>
      <c r="D46" s="41" t="s">
        <v>31</v>
      </c>
      <c r="F46" s="40" t="s">
        <v>59</v>
      </c>
      <c r="G46" s="38" t="s">
        <v>45</v>
      </c>
      <c r="H46" s="65" t="s">
        <v>46</v>
      </c>
      <c r="I46" s="38" t="s">
        <v>47</v>
      </c>
      <c r="J46" s="41" t="s">
        <v>31</v>
      </c>
    </row>
    <row r="47" spans="2:10" x14ac:dyDescent="0.2">
      <c r="B47" s="54">
        <f t="shared" ref="B47:B52" si="2">B38*C38</f>
        <v>1.1008461937569141</v>
      </c>
      <c r="C47" s="53">
        <f t="shared" ref="C47:C52" si="3">1-EXP(-$B$57*B38)</f>
        <v>0.25620232279422295</v>
      </c>
      <c r="D47" s="52">
        <f t="shared" ref="D47:D52" si="4">C47/E38</f>
        <v>1.5372139367653377</v>
      </c>
      <c r="F47" s="54">
        <f>LN(B38)</f>
        <v>9.6079151121822484E-2</v>
      </c>
      <c r="G47" s="53">
        <f>LN(-LN(1-E38))</f>
        <v>-1.7019833552815005</v>
      </c>
      <c r="H47" s="53">
        <f>1-EXP(-((B38/$G$54)^$G$53))</f>
        <v>0.14644522284766159</v>
      </c>
      <c r="I47" s="53">
        <f>LN(-LN(1-H47))</f>
        <v>-1.8429755495438194</v>
      </c>
      <c r="J47" s="52">
        <f>ABS(G47/I47)</f>
        <v>0.92349752317809219</v>
      </c>
    </row>
    <row r="48" spans="2:10" x14ac:dyDescent="0.2">
      <c r="B48" s="50">
        <f t="shared" si="2"/>
        <v>2.3000460193281178</v>
      </c>
      <c r="C48" s="28">
        <f t="shared" si="3"/>
        <v>0.46120328642532982</v>
      </c>
      <c r="D48" s="51">
        <f t="shared" si="4"/>
        <v>1.3836098592759896</v>
      </c>
      <c r="F48" s="54">
        <f t="shared" ref="F48:F52" si="5">LN(B39)</f>
        <v>0.832929131138468</v>
      </c>
      <c r="G48" s="53">
        <f t="shared" ref="G48:G52" si="6">LN(-LN(1-E39))</f>
        <v>-0.90272045571788029</v>
      </c>
      <c r="H48" s="53">
        <f t="shared" ref="H48:H52" si="7">1-EXP(-((B39/$G$54)^$G$53))</f>
        <v>0.39160304299636817</v>
      </c>
      <c r="I48" s="53">
        <f t="shared" ref="I48:I52" si="8">LN(-LN(1-H48))</f>
        <v>-0.6993106955599836</v>
      </c>
      <c r="J48" s="52">
        <f t="shared" ref="J48:J52" si="9">ABS(G48/I48)</f>
        <v>1.2908717991150032</v>
      </c>
    </row>
    <row r="49" spans="1:10" x14ac:dyDescent="0.2">
      <c r="B49" s="50">
        <f t="shared" si="2"/>
        <v>3.2995244560334172</v>
      </c>
      <c r="C49" s="28">
        <f t="shared" si="3"/>
        <v>0.58817148771261318</v>
      </c>
      <c r="D49" s="51">
        <f t="shared" si="4"/>
        <v>1.1763429754252264</v>
      </c>
      <c r="F49" s="73">
        <f t="shared" si="5"/>
        <v>1.1937783538561242</v>
      </c>
      <c r="G49" s="74">
        <f t="shared" si="6"/>
        <v>-0.36651292058166435</v>
      </c>
      <c r="H49" s="74">
        <f t="shared" si="7"/>
        <v>0.58105772711231563</v>
      </c>
      <c r="I49" s="74">
        <f t="shared" si="8"/>
        <v>-0.13923661697990961</v>
      </c>
      <c r="J49" s="75">
        <f t="shared" si="9"/>
        <v>2.6323026839595531</v>
      </c>
    </row>
    <row r="50" spans="1:10" x14ac:dyDescent="0.2">
      <c r="B50" s="50">
        <f t="shared" si="2"/>
        <v>3.8000060659367323</v>
      </c>
      <c r="C50" s="28">
        <f t="shared" si="3"/>
        <v>0.64002241518017067</v>
      </c>
      <c r="D50" s="51">
        <f t="shared" si="4"/>
        <v>0.96003362277025606</v>
      </c>
      <c r="F50" s="54">
        <f t="shared" si="5"/>
        <v>1.3350026630302061</v>
      </c>
      <c r="G50" s="53">
        <f t="shared" si="6"/>
        <v>9.4047827616698901E-2</v>
      </c>
      <c r="H50" s="53">
        <f t="shared" si="7"/>
        <v>0.6615033804835837</v>
      </c>
      <c r="I50" s="53">
        <f t="shared" si="8"/>
        <v>7.9957633289182858E-2</v>
      </c>
      <c r="J50" s="52">
        <f t="shared" si="9"/>
        <v>1.1762207527648552</v>
      </c>
    </row>
    <row r="51" spans="1:10" x14ac:dyDescent="0.2">
      <c r="B51" s="50">
        <f t="shared" si="2"/>
        <v>4.399731974405884</v>
      </c>
      <c r="C51" s="28">
        <f t="shared" si="3"/>
        <v>0.69363030336387665</v>
      </c>
      <c r="D51" s="51">
        <f t="shared" si="4"/>
        <v>0.83235636403665192</v>
      </c>
      <c r="F51" s="54">
        <f t="shared" si="5"/>
        <v>1.4815436241610735</v>
      </c>
      <c r="G51" s="53">
        <f t="shared" si="6"/>
        <v>0.58319808078265944</v>
      </c>
      <c r="H51" s="53">
        <f t="shared" si="7"/>
        <v>0.74331100449406828</v>
      </c>
      <c r="I51" s="53">
        <f t="shared" si="8"/>
        <v>0.3074038590604023</v>
      </c>
      <c r="J51" s="52">
        <f t="shared" si="9"/>
        <v>1.8971722819786263</v>
      </c>
    </row>
    <row r="52" spans="1:10" ht="15.75" thickBot="1" x14ac:dyDescent="0.25">
      <c r="B52" s="56">
        <f t="shared" si="2"/>
        <v>7.4153340125055349</v>
      </c>
      <c r="C52" s="34">
        <f t="shared" si="3"/>
        <v>0.86381926420818522</v>
      </c>
      <c r="D52" s="35">
        <f t="shared" si="4"/>
        <v>0.86381926420818522</v>
      </c>
      <c r="F52" s="54">
        <f t="shared" si="5"/>
        <v>2.0035500200919691</v>
      </c>
      <c r="G52" s="53" t="e">
        <f t="shared" si="6"/>
        <v>#NUM!</v>
      </c>
      <c r="H52" s="53">
        <f t="shared" si="7"/>
        <v>0.95299672063176655</v>
      </c>
      <c r="I52" s="53">
        <f t="shared" si="8"/>
        <v>1.1176099861847455</v>
      </c>
      <c r="J52" s="52" t="e">
        <f t="shared" si="9"/>
        <v>#NUM!</v>
      </c>
    </row>
    <row r="53" spans="1:10" ht="15.75" thickBot="1" x14ac:dyDescent="0.25">
      <c r="A53" s="62" t="s">
        <v>36</v>
      </c>
      <c r="B53" s="59">
        <f>SUM(B47:B52)</f>
        <v>22.315488721966602</v>
      </c>
      <c r="C53" s="62" t="s">
        <v>37</v>
      </c>
      <c r="D53" s="59">
        <f>AVERAGE(D47:D52)</f>
        <v>1.1255626704136079</v>
      </c>
      <c r="F53" s="62" t="s">
        <v>48</v>
      </c>
      <c r="G53" s="59">
        <v>1.5521</v>
      </c>
      <c r="I53" s="62" t="s">
        <v>37</v>
      </c>
      <c r="J53" s="59">
        <f>AVERAGE(J47:J48,J50:J51)</f>
        <v>1.3219405892591443</v>
      </c>
    </row>
    <row r="54" spans="1:10" ht="15.75" thickBot="1" x14ac:dyDescent="0.25">
      <c r="A54" s="62" t="s">
        <v>34</v>
      </c>
      <c r="B54" s="60">
        <f>(C29-D43)*(B43+1)</f>
        <v>0</v>
      </c>
      <c r="C54" s="62" t="s">
        <v>38</v>
      </c>
      <c r="D54" s="61">
        <f>_xlfn.STDEV.S(D47:D52)</f>
        <v>0.29000109329131152</v>
      </c>
      <c r="F54" s="62" t="s">
        <v>49</v>
      </c>
      <c r="G54" s="60">
        <f>EXP(1.9921/G53)</f>
        <v>3.6092026982143413</v>
      </c>
      <c r="I54" s="62" t="s">
        <v>38</v>
      </c>
      <c r="J54" s="61">
        <f>_xlfn.STDEV.S(J47:J48,J50:J51)</f>
        <v>0.41305686359383664</v>
      </c>
    </row>
    <row r="55" spans="1:10" ht="15.75" thickBot="1" x14ac:dyDescent="0.25">
      <c r="A55" s="62" t="s">
        <v>35</v>
      </c>
      <c r="B55" s="60">
        <f>B53+B54</f>
        <v>22.315488721966602</v>
      </c>
      <c r="F55" s="62" t="s">
        <v>50</v>
      </c>
      <c r="G55" s="60">
        <f>0.8994</f>
        <v>0.89939999999999998</v>
      </c>
    </row>
    <row r="56" spans="1:10" ht="15.75" thickBot="1" x14ac:dyDescent="0.25">
      <c r="A56" s="62" t="s">
        <v>33</v>
      </c>
      <c r="B56" s="60">
        <f>B55/C29</f>
        <v>3.7192481203277672</v>
      </c>
      <c r="F56" s="62" t="s">
        <v>33</v>
      </c>
      <c r="G56" s="61">
        <f>G54*G55</f>
        <v>3.2461169067739784</v>
      </c>
    </row>
    <row r="57" spans="1:10" ht="15.75" thickBot="1" x14ac:dyDescent="0.25">
      <c r="A57" s="62" t="s">
        <v>32</v>
      </c>
      <c r="B57" s="61">
        <f>1/B56</f>
        <v>0.26887154813211889</v>
      </c>
    </row>
    <row r="58" spans="1:10" ht="15.75" thickBot="1" x14ac:dyDescent="0.25">
      <c r="A58" s="55"/>
    </row>
    <row r="59" spans="1:10" ht="15.75" thickBot="1" x14ac:dyDescent="0.25">
      <c r="C59" s="117" t="s">
        <v>63</v>
      </c>
      <c r="D59" s="119"/>
    </row>
    <row r="60" spans="1:10" ht="15.75" thickBot="1" x14ac:dyDescent="0.25">
      <c r="B60" s="42" t="s">
        <v>58</v>
      </c>
      <c r="C60" s="87" t="s">
        <v>61</v>
      </c>
      <c r="D60" s="43" t="s">
        <v>62</v>
      </c>
    </row>
    <row r="61" spans="1:10" x14ac:dyDescent="0.2">
      <c r="B61" s="29">
        <f>0</f>
        <v>0</v>
      </c>
      <c r="C61" s="30">
        <f>EXP(-$B$57*B61)</f>
        <v>1</v>
      </c>
      <c r="D61" s="32">
        <f>EXP(-((B61/$G$54)^$G$53))</f>
        <v>1</v>
      </c>
    </row>
    <row r="62" spans="1:10" x14ac:dyDescent="0.2">
      <c r="B62" s="50">
        <f>B61+0.5</f>
        <v>0.5</v>
      </c>
      <c r="C62" s="28">
        <f t="shared" ref="C62:C77" si="10">EXP(-$B$57*B62)</f>
        <v>0.87420902396459088</v>
      </c>
      <c r="D62" s="51">
        <f t="shared" ref="D62:D77" si="11">EXP(-((B62/$G$54)^$G$53))</f>
        <v>0.95454816869318215</v>
      </c>
    </row>
    <row r="63" spans="1:10" x14ac:dyDescent="0.2">
      <c r="B63" s="50">
        <f t="shared" ref="B63:B77" si="12">B62+0.5</f>
        <v>1</v>
      </c>
      <c r="C63" s="28">
        <f t="shared" si="10"/>
        <v>0.76424141758112252</v>
      </c>
      <c r="D63" s="51">
        <f t="shared" si="11"/>
        <v>0.87248600403519561</v>
      </c>
    </row>
    <row r="64" spans="1:10" x14ac:dyDescent="0.2">
      <c r="B64" s="50">
        <f t="shared" si="12"/>
        <v>1.5</v>
      </c>
      <c r="C64" s="28">
        <f t="shared" si="10"/>
        <v>0.66810674373690848</v>
      </c>
      <c r="D64" s="51">
        <f t="shared" si="11"/>
        <v>0.77418155657582954</v>
      </c>
    </row>
    <row r="65" spans="2:4" x14ac:dyDescent="0.2">
      <c r="B65" s="50">
        <f t="shared" si="12"/>
        <v>2</v>
      </c>
      <c r="C65" s="28">
        <f t="shared" si="10"/>
        <v>0.58406494434640377</v>
      </c>
      <c r="D65" s="51">
        <f t="shared" si="11"/>
        <v>0.67031348467466134</v>
      </c>
    </row>
    <row r="66" spans="2:4" x14ac:dyDescent="0.2">
      <c r="B66" s="50">
        <f t="shared" si="12"/>
        <v>2.5</v>
      </c>
      <c r="C66" s="28">
        <f t="shared" si="10"/>
        <v>0.51059484492900264</v>
      </c>
      <c r="D66" s="51">
        <f t="shared" si="11"/>
        <v>0.56803754221165659</v>
      </c>
    </row>
    <row r="67" spans="2:4" x14ac:dyDescent="0.2">
      <c r="B67" s="50">
        <f t="shared" si="12"/>
        <v>3</v>
      </c>
      <c r="C67" s="28">
        <f t="shared" si="10"/>
        <v>0.44636662102673502</v>
      </c>
      <c r="D67" s="51">
        <f t="shared" si="11"/>
        <v>0.47210500086568224</v>
      </c>
    </row>
    <row r="68" spans="2:4" x14ac:dyDescent="0.2">
      <c r="B68" s="50">
        <f t="shared" si="12"/>
        <v>3.5</v>
      </c>
      <c r="C68" s="28">
        <f t="shared" si="10"/>
        <v>0.39021772809815447</v>
      </c>
      <c r="D68" s="51">
        <f t="shared" si="11"/>
        <v>0.3854157916025911</v>
      </c>
    </row>
    <row r="69" spans="2:4" x14ac:dyDescent="0.2">
      <c r="B69" s="50">
        <f t="shared" si="12"/>
        <v>4</v>
      </c>
      <c r="C69" s="28">
        <f t="shared" si="10"/>
        <v>0.34113185921436767</v>
      </c>
      <c r="D69" s="51">
        <f t="shared" si="11"/>
        <v>0.30943618010029617</v>
      </c>
    </row>
    <row r="70" spans="2:4" x14ac:dyDescent="0.2">
      <c r="B70" s="50">
        <f t="shared" si="12"/>
        <v>4.5</v>
      </c>
      <c r="C70" s="28">
        <f t="shared" si="10"/>
        <v>0.29822054968701855</v>
      </c>
      <c r="D70" s="51">
        <f t="shared" si="11"/>
        <v>0.2445603245267535</v>
      </c>
    </row>
    <row r="71" spans="2:4" x14ac:dyDescent="0.2">
      <c r="B71" s="50">
        <f t="shared" si="12"/>
        <v>5</v>
      </c>
      <c r="C71" s="28">
        <f t="shared" si="10"/>
        <v>0.26070709566807226</v>
      </c>
      <c r="D71" s="51">
        <f t="shared" si="11"/>
        <v>0.19042598026584118</v>
      </c>
    </row>
    <row r="72" spans="2:4" x14ac:dyDescent="0.2">
      <c r="B72" s="50">
        <f t="shared" si="12"/>
        <v>5.5</v>
      </c>
      <c r="C72" s="28">
        <f t="shared" si="10"/>
        <v>0.2279124956446287</v>
      </c>
      <c r="D72" s="51">
        <f t="shared" si="11"/>
        <v>0.14618099808294838</v>
      </c>
    </row>
    <row r="73" spans="2:4" x14ac:dyDescent="0.2">
      <c r="B73" s="50">
        <f t="shared" si="12"/>
        <v>6</v>
      </c>
      <c r="C73" s="28">
        <f t="shared" si="10"/>
        <v>0.19924316036682491</v>
      </c>
      <c r="D73" s="51">
        <f t="shared" si="11"/>
        <v>0.11069775363757846</v>
      </c>
    </row>
    <row r="74" spans="2:4" x14ac:dyDescent="0.2">
      <c r="B74" s="50">
        <f t="shared" si="12"/>
        <v>6.5</v>
      </c>
      <c r="C74" s="28">
        <f t="shared" si="10"/>
        <v>0.17418016875590242</v>
      </c>
      <c r="D74" s="51">
        <f t="shared" si="11"/>
        <v>8.2736361998026725E-2</v>
      </c>
    </row>
    <row r="75" spans="2:4" x14ac:dyDescent="0.2">
      <c r="B75" s="50">
        <f t="shared" si="12"/>
        <v>7</v>
      </c>
      <c r="C75" s="28">
        <f t="shared" si="10"/>
        <v>0.15226987532208519</v>
      </c>
      <c r="D75" s="51">
        <f t="shared" si="11"/>
        <v>6.1061076379100104E-2</v>
      </c>
    </row>
    <row r="76" spans="2:4" x14ac:dyDescent="0.2">
      <c r="B76" s="50">
        <f t="shared" si="12"/>
        <v>7.5</v>
      </c>
      <c r="C76" s="28">
        <f t="shared" si="10"/>
        <v>0.13311569908453005</v>
      </c>
      <c r="D76" s="51">
        <f t="shared" si="11"/>
        <v>4.4516639465959539E-2</v>
      </c>
    </row>
    <row r="77" spans="2:4" ht="15.75" thickBot="1" x14ac:dyDescent="0.25">
      <c r="B77" s="33">
        <f t="shared" si="12"/>
        <v>8</v>
      </c>
      <c r="C77" s="34">
        <f t="shared" si="10"/>
        <v>0.11637094537105118</v>
      </c>
      <c r="D77" s="35">
        <f t="shared" si="11"/>
        <v>3.2072435245144172E-2</v>
      </c>
    </row>
    <row r="79" spans="2:4" ht="15.75" thickBot="1" x14ac:dyDescent="0.25"/>
    <row r="80" spans="2:4" ht="15.75" thickBot="1" x14ac:dyDescent="0.25">
      <c r="B80" s="38" t="s">
        <v>22</v>
      </c>
      <c r="C80" s="43">
        <v>18</v>
      </c>
    </row>
    <row r="81" spans="2:8" ht="15.75" thickBot="1" x14ac:dyDescent="0.25">
      <c r="B81" s="38" t="s">
        <v>64</v>
      </c>
      <c r="C81" s="47">
        <f>(C80-$C$32)/$C$31</f>
        <v>2.5868187194807559</v>
      </c>
      <c r="D81" s="45">
        <f>(1/$D$31)*LN(C80/$D$32)</f>
        <v>0.58433770087280246</v>
      </c>
      <c r="E81" s="45">
        <f>EXP((C80-$E$32)/$E$31)</f>
        <v>0.2469488111617246</v>
      </c>
      <c r="F81" s="45">
        <f>(C80-$F$32)/$F$31</f>
        <v>1.5637367694431663</v>
      </c>
      <c r="G81" s="45">
        <f>(1/$G$31)*LN(C80/$G$32)</f>
        <v>3.9373064095344161</v>
      </c>
      <c r="H81" s="46">
        <f>EXP((C80-$H$32)/$H$31)</f>
        <v>0.30028593720961311</v>
      </c>
    </row>
    <row r="82" spans="2:8" ht="15.75" thickBot="1" x14ac:dyDescent="0.25"/>
    <row r="83" spans="2:8" ht="15.75" thickBot="1" x14ac:dyDescent="0.25">
      <c r="B83" s="38" t="s">
        <v>65</v>
      </c>
      <c r="C83" s="47">
        <f>C35-C81</f>
        <v>1.2131873464559764</v>
      </c>
      <c r="D83" s="45">
        <f t="shared" ref="D83:H83" si="13">D35-D81</f>
        <v>0.5165084928841116</v>
      </c>
      <c r="E83" s="45">
        <f t="shared" si="13"/>
        <v>3.0525756448716925</v>
      </c>
      <c r="F83" s="45">
        <f t="shared" si="13"/>
        <v>0.7363092498849515</v>
      </c>
      <c r="G83" s="45">
        <f t="shared" si="13"/>
        <v>3.4780276029711188</v>
      </c>
      <c r="H83" s="46">
        <f t="shared" si="13"/>
        <v>4.0994460371962713</v>
      </c>
    </row>
    <row r="84" spans="2:8" ht="15.75" thickBot="1" x14ac:dyDescent="0.25">
      <c r="B84" s="88" t="s">
        <v>51</v>
      </c>
      <c r="C84" s="49">
        <f>AVERAGE(C83:H83)</f>
        <v>2.1826757290440204</v>
      </c>
    </row>
  </sheetData>
  <mergeCells count="4">
    <mergeCell ref="C2:H2"/>
    <mergeCell ref="B45:D45"/>
    <mergeCell ref="F45:J45"/>
    <mergeCell ref="C59:D5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439D3-2D04-4E9F-97AE-47BD3C52F77F}">
  <dimension ref="B1:K68"/>
  <sheetViews>
    <sheetView topLeftCell="A40" workbookViewId="0">
      <selection activeCell="N46" sqref="N46"/>
    </sheetView>
  </sheetViews>
  <sheetFormatPr baseColWidth="10" defaultRowHeight="15" x14ac:dyDescent="0.2"/>
  <cols>
    <col min="1" max="3" width="11.42578125" style="2"/>
    <col min="4" max="4" width="13.140625" style="2" bestFit="1" customWidth="1"/>
    <col min="5" max="16384" width="11.42578125" style="2"/>
  </cols>
  <sheetData>
    <row r="1" spans="2:9" ht="15.75" thickBot="1" x14ac:dyDescent="0.25"/>
    <row r="2" spans="2:9" ht="15.75" thickBot="1" x14ac:dyDescent="0.25">
      <c r="B2" s="122" t="s">
        <v>67</v>
      </c>
      <c r="C2" s="123"/>
      <c r="D2" s="123"/>
      <c r="E2" s="124"/>
      <c r="F2" s="125" t="s">
        <v>68</v>
      </c>
      <c r="G2" s="123"/>
      <c r="H2" s="123"/>
      <c r="I2" s="124"/>
    </row>
    <row r="3" spans="2:9" ht="15.75" thickBot="1" x14ac:dyDescent="0.25">
      <c r="B3" s="38" t="s">
        <v>69</v>
      </c>
      <c r="C3" s="38" t="s">
        <v>70</v>
      </c>
      <c r="D3" s="38" t="s">
        <v>71</v>
      </c>
      <c r="E3" s="38" t="s">
        <v>72</v>
      </c>
      <c r="F3" s="38" t="s">
        <v>69</v>
      </c>
      <c r="G3" s="38" t="s">
        <v>70</v>
      </c>
      <c r="H3" s="38" t="s">
        <v>71</v>
      </c>
      <c r="I3" s="38" t="s">
        <v>72</v>
      </c>
    </row>
    <row r="4" spans="2:9" ht="15.75" thickBot="1" x14ac:dyDescent="0.25">
      <c r="B4" s="37">
        <v>20</v>
      </c>
      <c r="C4" s="66">
        <v>780</v>
      </c>
      <c r="D4" s="66">
        <v>15.4</v>
      </c>
      <c r="E4" s="89">
        <v>1.8</v>
      </c>
      <c r="F4" s="37">
        <v>80</v>
      </c>
      <c r="G4" s="66">
        <v>640</v>
      </c>
      <c r="H4" s="66">
        <v>8.5</v>
      </c>
      <c r="I4" s="67">
        <v>3.5</v>
      </c>
    </row>
    <row r="5" spans="2:9" x14ac:dyDescent="0.2">
      <c r="B5" s="48"/>
      <c r="C5" s="48"/>
      <c r="D5" s="48"/>
      <c r="E5" s="48"/>
      <c r="F5" s="48"/>
      <c r="G5" s="48"/>
      <c r="H5" s="48"/>
      <c r="I5" s="48"/>
    </row>
    <row r="6" spans="2:9" ht="15.75" x14ac:dyDescent="0.25">
      <c r="B6" s="126" t="s">
        <v>79</v>
      </c>
      <c r="C6" s="127"/>
      <c r="D6" s="127"/>
      <c r="E6" s="48"/>
      <c r="F6" s="48"/>
      <c r="G6" s="48"/>
      <c r="H6" s="48"/>
      <c r="I6" s="48"/>
    </row>
    <row r="7" spans="2:9" ht="15.75" thickBot="1" x14ac:dyDescent="0.25"/>
    <row r="8" spans="2:9" ht="15.75" thickBot="1" x14ac:dyDescent="0.25">
      <c r="B8" s="28" t="s">
        <v>73</v>
      </c>
      <c r="D8" s="62" t="s">
        <v>74</v>
      </c>
      <c r="E8" s="59">
        <f>C4/B4</f>
        <v>39</v>
      </c>
      <c r="H8" s="62" t="s">
        <v>74</v>
      </c>
      <c r="I8" s="59">
        <f>G4/F4</f>
        <v>8</v>
      </c>
    </row>
    <row r="9" spans="2:9" ht="15.75" thickBot="1" x14ac:dyDescent="0.25">
      <c r="B9" s="28" t="s">
        <v>78</v>
      </c>
      <c r="D9" s="62" t="s">
        <v>75</v>
      </c>
      <c r="E9" s="60">
        <v>0.15</v>
      </c>
      <c r="H9" s="62" t="s">
        <v>75</v>
      </c>
      <c r="I9" s="60">
        <v>0.42</v>
      </c>
    </row>
    <row r="10" spans="2:9" ht="15.75" thickBot="1" x14ac:dyDescent="0.25">
      <c r="B10" s="53" t="s">
        <v>77</v>
      </c>
      <c r="D10" s="90" t="s">
        <v>76</v>
      </c>
      <c r="E10" s="63">
        <f>E9*D4</f>
        <v>2.31</v>
      </c>
      <c r="H10" s="90" t="s">
        <v>76</v>
      </c>
      <c r="I10" s="63">
        <f>I9*H4</f>
        <v>3.57</v>
      </c>
    </row>
    <row r="11" spans="2:9" ht="15.75" thickBot="1" x14ac:dyDescent="0.25">
      <c r="D11" s="62" t="s">
        <v>82</v>
      </c>
      <c r="E11" s="61">
        <f>E10*12</f>
        <v>27.72</v>
      </c>
      <c r="H11" s="62" t="s">
        <v>82</v>
      </c>
      <c r="I11" s="61">
        <f>I10*12</f>
        <v>42.839999999999996</v>
      </c>
    </row>
    <row r="13" spans="2:9" ht="15.75" x14ac:dyDescent="0.25">
      <c r="B13" s="126" t="s">
        <v>80</v>
      </c>
      <c r="C13" s="126"/>
      <c r="D13" s="126"/>
    </row>
    <row r="14" spans="2:9" ht="15.75" thickBot="1" x14ac:dyDescent="0.25"/>
    <row r="15" spans="2:9" ht="15.75" thickBot="1" x14ac:dyDescent="0.25">
      <c r="B15" s="62" t="s">
        <v>50</v>
      </c>
      <c r="C15" s="59">
        <v>0.88929999999999998</v>
      </c>
    </row>
    <row r="16" spans="2:9" ht="15.75" thickBot="1" x14ac:dyDescent="0.25">
      <c r="B16" s="62" t="s">
        <v>81</v>
      </c>
      <c r="C16" s="49">
        <v>0.02</v>
      </c>
    </row>
    <row r="17" spans="2:8" ht="15.75" thickBot="1" x14ac:dyDescent="0.25"/>
    <row r="18" spans="2:8" ht="15.75" thickBot="1" x14ac:dyDescent="0.25">
      <c r="B18" s="38" t="s">
        <v>89</v>
      </c>
      <c r="C18" s="65" t="s">
        <v>83</v>
      </c>
      <c r="D18" s="38" t="s">
        <v>84</v>
      </c>
      <c r="E18" s="65" t="s">
        <v>87</v>
      </c>
      <c r="F18" s="38" t="s">
        <v>93</v>
      </c>
    </row>
    <row r="19" spans="2:8" x14ac:dyDescent="0.2">
      <c r="B19" s="54">
        <f>$C$16</f>
        <v>0.02</v>
      </c>
      <c r="C19" s="53">
        <f>(1+$I$8*(1-EXP(-(B19^$I$4))))/(1+$I$8)*$C$15</f>
        <v>9.881200544669122E-2</v>
      </c>
      <c r="D19" s="53">
        <f t="shared" ref="D19:D68" si="0">EXP(-((B19-$C$16/2)^$I$4))*$C$16</f>
        <v>1.9999998000000102E-2</v>
      </c>
      <c r="E19" s="53">
        <f>D19</f>
        <v>1.9999998000000102E-2</v>
      </c>
      <c r="F19" s="52">
        <f>C19/E19</f>
        <v>4.9406007663946125</v>
      </c>
      <c r="H19" s="2" t="s">
        <v>83</v>
      </c>
    </row>
    <row r="20" spans="2:8" x14ac:dyDescent="0.2">
      <c r="B20" s="50">
        <f t="shared" ref="B20:B68" si="1">B19+$C$16</f>
        <v>0.04</v>
      </c>
      <c r="C20" s="28">
        <f t="shared" ref="C20:C58" si="2">(1+$I$8*(1-EXP(-(B20^$I$4))))/(1+$I$8)*$C$15</f>
        <v>9.8821229304132299E-2</v>
      </c>
      <c r="D20" s="28">
        <f t="shared" si="0"/>
        <v>1.9999906469475092E-2</v>
      </c>
      <c r="E20" s="28">
        <f>E19+D20</f>
        <v>3.9999904469475198E-2</v>
      </c>
      <c r="F20" s="51">
        <f t="shared" ref="F20:F68" si="3">C20/E20</f>
        <v>2.4705366328948344</v>
      </c>
    </row>
    <row r="21" spans="2:8" x14ac:dyDescent="0.2">
      <c r="B21" s="50">
        <f t="shared" si="1"/>
        <v>0.06</v>
      </c>
      <c r="C21" s="28">
        <f t="shared" si="2"/>
        <v>9.88529339642817E-2</v>
      </c>
      <c r="D21" s="28">
        <f t="shared" si="0"/>
        <v>1.9999440990818053E-2</v>
      </c>
      <c r="E21" s="28">
        <f t="shared" ref="E21:E68" si="4">E20+D21</f>
        <v>5.999934546029325E-2</v>
      </c>
      <c r="F21" s="51">
        <f t="shared" si="3"/>
        <v>1.6475668727036568</v>
      </c>
    </row>
    <row r="22" spans="2:8" x14ac:dyDescent="0.2">
      <c r="B22" s="50">
        <f t="shared" si="1"/>
        <v>0.08</v>
      </c>
      <c r="C22" s="28">
        <f t="shared" si="2"/>
        <v>9.8925577841649848E-2</v>
      </c>
      <c r="D22" s="28">
        <f t="shared" si="0"/>
        <v>1.999818509695242E-2</v>
      </c>
      <c r="E22" s="28">
        <f t="shared" si="4"/>
        <v>7.9997530557245677E-2</v>
      </c>
      <c r="F22" s="51">
        <f t="shared" si="3"/>
        <v>1.2366078946756911</v>
      </c>
      <c r="H22" s="2" t="s">
        <v>84</v>
      </c>
    </row>
    <row r="23" spans="2:8" x14ac:dyDescent="0.2">
      <c r="B23" s="50">
        <f t="shared" si="1"/>
        <v>0.1</v>
      </c>
      <c r="C23" s="28">
        <f t="shared" si="2"/>
        <v>9.9061046126227056E-2</v>
      </c>
      <c r="D23" s="28">
        <f t="shared" si="0"/>
        <v>1.9995626478262033E-2</v>
      </c>
      <c r="E23" s="28">
        <f t="shared" si="4"/>
        <v>9.9993157035507707E-2</v>
      </c>
      <c r="F23" s="51">
        <f t="shared" si="3"/>
        <v>0.99067825302335777</v>
      </c>
    </row>
    <row r="24" spans="2:8" x14ac:dyDescent="0.2">
      <c r="B24" s="50">
        <f t="shared" si="1"/>
        <v>0.12000000000000001</v>
      </c>
      <c r="C24" s="28">
        <f t="shared" si="2"/>
        <v>9.9284153603124981E-2</v>
      </c>
      <c r="D24" s="28">
        <f t="shared" si="0"/>
        <v>1.9991173093238456E-2</v>
      </c>
      <c r="E24" s="28">
        <f t="shared" si="4"/>
        <v>0.11998433012874617</v>
      </c>
      <c r="F24" s="51">
        <f t="shared" si="3"/>
        <v>0.82747600037930469</v>
      </c>
    </row>
    <row r="25" spans="2:8" x14ac:dyDescent="0.2">
      <c r="B25" s="50">
        <f t="shared" si="1"/>
        <v>0.14000000000000001</v>
      </c>
      <c r="C25" s="28">
        <f t="shared" si="2"/>
        <v>9.9622298081817315E-2</v>
      </c>
      <c r="D25" s="28">
        <f t="shared" si="0"/>
        <v>1.9984163480890788E-2</v>
      </c>
      <c r="E25" s="28">
        <f t="shared" si="4"/>
        <v>0.13996849360963695</v>
      </c>
      <c r="F25" s="51">
        <f t="shared" si="3"/>
        <v>0.71174801923393871</v>
      </c>
    </row>
    <row r="26" spans="2:8" x14ac:dyDescent="0.2">
      <c r="B26" s="50">
        <f t="shared" si="1"/>
        <v>0.16</v>
      </c>
      <c r="C26" s="28">
        <f t="shared" si="2"/>
        <v>0.10010518770963714</v>
      </c>
      <c r="D26" s="28">
        <f t="shared" si="0"/>
        <v>1.9973874440908507E-2</v>
      </c>
      <c r="E26" s="28">
        <f t="shared" si="4"/>
        <v>0.15994236805054546</v>
      </c>
      <c r="F26" s="51">
        <f t="shared" si="3"/>
        <v>0.62588286599584175</v>
      </c>
      <c r="H26" s="2" t="s">
        <v>85</v>
      </c>
    </row>
    <row r="27" spans="2:8" x14ac:dyDescent="0.2">
      <c r="B27" s="50">
        <f t="shared" si="1"/>
        <v>0.18</v>
      </c>
      <c r="C27" s="28">
        <f t="shared" si="2"/>
        <v>0.10076460636016932</v>
      </c>
      <c r="D27" s="28">
        <f t="shared" si="0"/>
        <v>1.9959527370296822E-2</v>
      </c>
      <c r="E27" s="28">
        <f t="shared" si="4"/>
        <v>0.17990189542084228</v>
      </c>
      <c r="F27" s="51">
        <f>C27/E27</f>
        <v>0.56010864212659861</v>
      </c>
    </row>
    <row r="28" spans="2:8" x14ac:dyDescent="0.2">
      <c r="B28" s="50">
        <f t="shared" si="1"/>
        <v>0.19999999999999998</v>
      </c>
      <c r="C28" s="28">
        <f t="shared" si="2"/>
        <v>0.10163419703581508</v>
      </c>
      <c r="D28" s="28">
        <f t="shared" si="0"/>
        <v>1.9940293922450624E-2</v>
      </c>
      <c r="E28" s="28">
        <f t="shared" si="4"/>
        <v>0.1998421893432929</v>
      </c>
      <c r="F28" s="51">
        <f t="shared" si="3"/>
        <v>0.50857227580321307</v>
      </c>
    </row>
    <row r="29" spans="2:8" x14ac:dyDescent="0.2">
      <c r="B29" s="50">
        <f t="shared" si="1"/>
        <v>0.21999999999999997</v>
      </c>
      <c r="C29" s="28">
        <f t="shared" si="2"/>
        <v>0.10274925059081938</v>
      </c>
      <c r="D29" s="28">
        <f t="shared" si="0"/>
        <v>1.9915301387312834E-2</v>
      </c>
      <c r="E29" s="28">
        <f t="shared" si="4"/>
        <v>0.21975749073060574</v>
      </c>
      <c r="F29" s="51">
        <f>C29/E29</f>
        <v>0.46755744365854934</v>
      </c>
    </row>
    <row r="30" spans="2:8" x14ac:dyDescent="0.2">
      <c r="B30" s="50">
        <f t="shared" si="1"/>
        <v>0.23999999999999996</v>
      </c>
      <c r="C30" s="28">
        <f t="shared" si="2"/>
        <v>0.10414649101752235</v>
      </c>
      <c r="D30" s="28">
        <f t="shared" si="0"/>
        <v>1.988363805697279E-2</v>
      </c>
      <c r="E30" s="28">
        <f t="shared" si="4"/>
        <v>0.23964112878757854</v>
      </c>
      <c r="F30" s="51">
        <f t="shared" si="3"/>
        <v>0.43459355889547385</v>
      </c>
      <c r="H30" s="2" t="s">
        <v>86</v>
      </c>
    </row>
    <row r="31" spans="2:8" x14ac:dyDescent="0.2">
      <c r="B31" s="50">
        <f t="shared" si="1"/>
        <v>0.25999999999999995</v>
      </c>
      <c r="C31" s="28">
        <f t="shared" si="2"/>
        <v>0.10586385088050224</v>
      </c>
      <c r="D31" s="28">
        <f>EXP(-((B31-$C$16/2)^$I$4))*$C$16</f>
        <v>1.9844358765204871E-2</v>
      </c>
      <c r="E31" s="28">
        <f>E30+D31</f>
        <v>0.25948548755278339</v>
      </c>
      <c r="F31" s="51">
        <f t="shared" si="3"/>
        <v>0.40797599849959965</v>
      </c>
    </row>
    <row r="32" spans="2:8" x14ac:dyDescent="0.2">
      <c r="B32" s="50">
        <f t="shared" si="1"/>
        <v>0.27999999999999997</v>
      </c>
      <c r="C32" s="28">
        <f t="shared" si="2"/>
        <v>0.10794023202177695</v>
      </c>
      <c r="D32" s="28">
        <f t="shared" si="0"/>
        <v>1.9796490742008645E-2</v>
      </c>
      <c r="E32" s="28">
        <f t="shared" si="4"/>
        <v>0.27928197829479201</v>
      </c>
      <c r="F32" s="51">
        <f t="shared" si="3"/>
        <v>0.38649193435547141</v>
      </c>
    </row>
    <row r="33" spans="2:11" x14ac:dyDescent="0.2">
      <c r="B33" s="94">
        <f t="shared" si="1"/>
        <v>0.3</v>
      </c>
      <c r="C33" s="92">
        <f t="shared" si="2"/>
        <v>0.1104152477757788</v>
      </c>
      <c r="D33" s="92">
        <f t="shared" si="0"/>
        <v>1.9739039891474065E-2</v>
      </c>
      <c r="E33" s="92">
        <f t="shared" si="4"/>
        <v>0.29902101818626609</v>
      </c>
      <c r="F33" s="95">
        <f t="shared" si="3"/>
        <v>0.36925580832247373</v>
      </c>
    </row>
    <row r="34" spans="2:11" x14ac:dyDescent="0.2">
      <c r="B34" s="50">
        <f t="shared" si="1"/>
        <v>0.32</v>
      </c>
      <c r="C34" s="28">
        <f t="shared" si="2"/>
        <v>0.11332894382466813</v>
      </c>
      <c r="D34" s="28">
        <f t="shared" si="0"/>
        <v>1.9670997576357721E-2</v>
      </c>
      <c r="E34" s="28">
        <f t="shared" si="4"/>
        <v>0.31869201576262379</v>
      </c>
      <c r="F34" s="51">
        <f t="shared" si="3"/>
        <v>0.35560647339555768</v>
      </c>
    </row>
    <row r="35" spans="2:11" x14ac:dyDescent="0.2">
      <c r="B35" s="50">
        <f t="shared" si="1"/>
        <v>0.34</v>
      </c>
      <c r="C35" s="28">
        <f t="shared" si="2"/>
        <v>0.11672149560433365</v>
      </c>
      <c r="D35" s="28">
        <f t="shared" si="0"/>
        <v>1.9591347971873833E-2</v>
      </c>
      <c r="E35" s="28">
        <f t="shared" si="4"/>
        <v>0.33828336373449763</v>
      </c>
      <c r="F35" s="51">
        <f t="shared" si="3"/>
        <v>0.34504060239847545</v>
      </c>
    </row>
    <row r="36" spans="2:11" x14ac:dyDescent="0.2">
      <c r="B36" s="50">
        <f t="shared" si="1"/>
        <v>0.36000000000000004</v>
      </c>
      <c r="C36" s="28">
        <f t="shared" si="2"/>
        <v>0.12063288090498112</v>
      </c>
      <c r="D36" s="28">
        <f t="shared" si="0"/>
        <v>1.9499076032218739E-2</v>
      </c>
      <c r="E36" s="28">
        <f t="shared" si="4"/>
        <v>0.35778243976671636</v>
      </c>
      <c r="F36" s="51">
        <f t="shared" si="3"/>
        <v>0.33716825505364922</v>
      </c>
    </row>
    <row r="37" spans="2:11" x14ac:dyDescent="0.2">
      <c r="B37" s="50">
        <f t="shared" si="1"/>
        <v>0.38000000000000006</v>
      </c>
      <c r="C37" s="28">
        <f t="shared" si="2"/>
        <v>0.12510252703761748</v>
      </c>
      <c r="D37" s="28">
        <f t="shared" si="0"/>
        <v>1.9393176094963684E-2</v>
      </c>
      <c r="E37" s="28">
        <f t="shared" si="4"/>
        <v>0.37717561586168002</v>
      </c>
      <c r="F37" s="51">
        <f t="shared" si="3"/>
        <v>0.33168243591732027</v>
      </c>
    </row>
    <row r="38" spans="2:11" x14ac:dyDescent="0.2">
      <c r="B38" s="50">
        <f t="shared" si="1"/>
        <v>0.40000000000000008</v>
      </c>
      <c r="C38" s="28">
        <f t="shared" si="2"/>
        <v>0.13016893268337443</v>
      </c>
      <c r="D38" s="28">
        <f t="shared" si="0"/>
        <v>1.9272661129874746E-2</v>
      </c>
      <c r="E38" s="28">
        <f t="shared" si="4"/>
        <v>0.39644827699155477</v>
      </c>
      <c r="F38" s="51">
        <f t="shared" si="3"/>
        <v>0.32833774350379463</v>
      </c>
    </row>
    <row r="39" spans="2:11" x14ac:dyDescent="0.2">
      <c r="B39" s="96">
        <f t="shared" si="1"/>
        <v>0.4200000000000001</v>
      </c>
      <c r="C39" s="93">
        <f t="shared" si="2"/>
        <v>0.13586926532049579</v>
      </c>
      <c r="D39" s="93">
        <f t="shared" si="0"/>
        <v>1.9136572619476624E-2</v>
      </c>
      <c r="E39" s="93">
        <f t="shared" si="4"/>
        <v>0.41558484961103137</v>
      </c>
      <c r="F39" s="97">
        <f t="shared" si="3"/>
        <v>0.32693507823411577</v>
      </c>
    </row>
    <row r="40" spans="2:11" x14ac:dyDescent="0.2">
      <c r="B40" s="50">
        <f t="shared" si="1"/>
        <v>0.44000000000000011</v>
      </c>
      <c r="C40" s="28">
        <f t="shared" si="2"/>
        <v>0.14223893594038717</v>
      </c>
      <c r="D40" s="28">
        <f t="shared" si="0"/>
        <v>1.8983991038516841E-2</v>
      </c>
      <c r="E40" s="28">
        <f t="shared" si="4"/>
        <v>0.4345688406495482</v>
      </c>
      <c r="F40" s="51">
        <f t="shared" si="3"/>
        <v>0.32731048026311144</v>
      </c>
    </row>
    <row r="41" spans="2:11" ht="15.75" thickBot="1" x14ac:dyDescent="0.25">
      <c r="B41" s="50">
        <f t="shared" si="1"/>
        <v>0.46000000000000013</v>
      </c>
      <c r="C41" s="28">
        <f t="shared" si="2"/>
        <v>0.14931115361977987</v>
      </c>
      <c r="D41" s="28">
        <f t="shared" si="0"/>
        <v>1.8814046878325191E-2</v>
      </c>
      <c r="E41" s="28">
        <f t="shared" si="4"/>
        <v>0.45338288752787337</v>
      </c>
      <c r="F41" s="51">
        <f t="shared" si="3"/>
        <v>0.32932683991210504</v>
      </c>
    </row>
    <row r="42" spans="2:11" ht="16.5" thickBot="1" x14ac:dyDescent="0.3">
      <c r="B42" s="50">
        <f t="shared" si="1"/>
        <v>0.48000000000000015</v>
      </c>
      <c r="C42" s="28">
        <f t="shared" si="2"/>
        <v>0.15711646340599841</v>
      </c>
      <c r="D42" s="28">
        <f t="shared" si="0"/>
        <v>1.8625932139957863E-2</v>
      </c>
      <c r="E42" s="28">
        <f t="shared" si="4"/>
        <v>0.47200881966783126</v>
      </c>
      <c r="F42" s="51">
        <f t="shared" si="3"/>
        <v>0.33286764327108687</v>
      </c>
      <c r="H42" s="62" t="s">
        <v>90</v>
      </c>
      <c r="I42" s="59">
        <f>MIN(F19:F68)</f>
        <v>0.32693507823411577</v>
      </c>
      <c r="J42" s="121" t="s">
        <v>92</v>
      </c>
      <c r="K42" s="116"/>
    </row>
    <row r="43" spans="2:11" ht="15.75" customHeight="1" thickBot="1" x14ac:dyDescent="0.25">
      <c r="B43" s="50">
        <f t="shared" si="1"/>
        <v>0.50000000000000011</v>
      </c>
      <c r="C43" s="28">
        <f t="shared" si="2"/>
        <v>0.16568227188692647</v>
      </c>
      <c r="D43" s="28">
        <f t="shared" si="0"/>
        <v>1.8418912197149861E-2</v>
      </c>
      <c r="E43" s="28">
        <f t="shared" si="4"/>
        <v>0.49042773186498112</v>
      </c>
      <c r="F43" s="51">
        <f t="shared" si="3"/>
        <v>0.33783218427896772</v>
      </c>
      <c r="G43" s="91"/>
      <c r="H43" s="62" t="s">
        <v>75</v>
      </c>
      <c r="I43" s="60">
        <v>0.42</v>
      </c>
    </row>
    <row r="44" spans="2:11" ht="15.75" thickBot="1" x14ac:dyDescent="0.25">
      <c r="B44" s="50">
        <f t="shared" si="1"/>
        <v>0.52000000000000013</v>
      </c>
      <c r="C44" s="28">
        <f t="shared" si="2"/>
        <v>0.1750323657424617</v>
      </c>
      <c r="D44" s="28">
        <f t="shared" si="0"/>
        <v>1.8192337906773708E-2</v>
      </c>
      <c r="E44" s="28">
        <f t="shared" si="4"/>
        <v>0.50862006977175478</v>
      </c>
      <c r="F44" s="51">
        <f t="shared" si="3"/>
        <v>0.34413185036329408</v>
      </c>
      <c r="H44" s="62" t="s">
        <v>76</v>
      </c>
      <c r="I44" s="60">
        <f>I43*H4</f>
        <v>3.57</v>
      </c>
    </row>
    <row r="45" spans="2:11" ht="15.75" thickBot="1" x14ac:dyDescent="0.25">
      <c r="B45" s="50">
        <f t="shared" si="1"/>
        <v>0.54000000000000015</v>
      </c>
      <c r="C45" s="28">
        <f t="shared" si="2"/>
        <v>0.18518642949163355</v>
      </c>
      <c r="D45" s="28">
        <f t="shared" si="0"/>
        <v>1.7945657821128235E-2</v>
      </c>
      <c r="E45" s="28">
        <f t="shared" si="4"/>
        <v>0.526565727592883</v>
      </c>
      <c r="F45" s="51">
        <f t="shared" si="3"/>
        <v>0.35168720596037611</v>
      </c>
      <c r="H45" s="62" t="s">
        <v>82</v>
      </c>
      <c r="I45" s="61">
        <f>I44*12</f>
        <v>42.839999999999996</v>
      </c>
    </row>
    <row r="46" spans="2:11" x14ac:dyDescent="0.2">
      <c r="B46" s="50">
        <f t="shared" si="1"/>
        <v>0.56000000000000016</v>
      </c>
      <c r="C46" s="28">
        <f t="shared" si="2"/>
        <v>0.19615956953671862</v>
      </c>
      <c r="D46" s="28">
        <f t="shared" si="0"/>
        <v>1.7678430333476193E-2</v>
      </c>
      <c r="E46" s="28">
        <f t="shared" si="4"/>
        <v>0.54424415792635916</v>
      </c>
      <c r="F46" s="51">
        <f t="shared" si="3"/>
        <v>0.36042567785038249</v>
      </c>
    </row>
    <row r="47" spans="2:11" x14ac:dyDescent="0.2">
      <c r="B47" s="50">
        <f t="shared" si="1"/>
        <v>0.58000000000000018</v>
      </c>
      <c r="C47" s="28">
        <f t="shared" si="2"/>
        <v>0.20796185243649393</v>
      </c>
      <c r="D47" s="28">
        <f t="shared" si="0"/>
        <v>1.7390335566428283E-2</v>
      </c>
      <c r="E47" s="28">
        <f t="shared" si="4"/>
        <v>0.56163449349278749</v>
      </c>
      <c r="F47" s="51">
        <f t="shared" si="3"/>
        <v>0.37027970120422204</v>
      </c>
    </row>
    <row r="48" spans="2:11" x14ac:dyDescent="0.2">
      <c r="B48" s="50">
        <f t="shared" si="1"/>
        <v>0.6000000000000002</v>
      </c>
      <c r="C48" s="28">
        <f t="shared" si="2"/>
        <v>0.22059786608587953</v>
      </c>
      <c r="D48" s="28">
        <f t="shared" si="0"/>
        <v>1.7081186792738005E-2</v>
      </c>
      <c r="E48" s="28">
        <f t="shared" si="4"/>
        <v>0.57871568028552545</v>
      </c>
      <c r="F48" s="51">
        <f t="shared" si="3"/>
        <v>0.3811852237648744</v>
      </c>
    </row>
    <row r="49" spans="2:6" x14ac:dyDescent="0.2">
      <c r="B49" s="50">
        <f t="shared" si="1"/>
        <v>0.62000000000000022</v>
      </c>
      <c r="C49" s="28">
        <f t="shared" si="2"/>
        <v>0.23406631310671475</v>
      </c>
      <c r="D49" s="28">
        <f t="shared" si="0"/>
        <v>1.6750941160603463E-2</v>
      </c>
      <c r="E49" s="28">
        <f t="shared" si="4"/>
        <v>0.59546662144612894</v>
      </c>
      <c r="F49" s="51">
        <f t="shared" si="3"/>
        <v>0.39308049297250225</v>
      </c>
    </row>
    <row r="50" spans="2:6" x14ac:dyDescent="0.2">
      <c r="B50" s="50">
        <f t="shared" si="1"/>
        <v>0.64000000000000024</v>
      </c>
      <c r="C50" s="28">
        <f t="shared" si="2"/>
        <v>0.2483596462306375</v>
      </c>
      <c r="D50" s="28">
        <f t="shared" si="0"/>
        <v>1.6399709481501559E-2</v>
      </c>
      <c r="E50" s="28">
        <f t="shared" si="4"/>
        <v>0.61186633092763054</v>
      </c>
      <c r="F50" s="51">
        <f t="shared" si="3"/>
        <v>0.40590507056354541</v>
      </c>
    </row>
    <row r="51" spans="2:6" x14ac:dyDescent="0.2">
      <c r="B51" s="50">
        <f t="shared" si="1"/>
        <v>0.66000000000000025</v>
      </c>
      <c r="C51" s="28">
        <f t="shared" si="2"/>
        <v>0.26346375574565312</v>
      </c>
      <c r="D51" s="28">
        <f t="shared" si="0"/>
        <v>1.602776482877068E-2</v>
      </c>
      <c r="E51" s="28">
        <f t="shared" si="4"/>
        <v>0.6278940957564012</v>
      </c>
      <c r="F51" s="51">
        <f t="shared" si="3"/>
        <v>0.41959903354126604</v>
      </c>
    </row>
    <row r="52" spans="2:6" x14ac:dyDescent="0.2">
      <c r="B52" s="50">
        <f t="shared" si="1"/>
        <v>0.68000000000000027</v>
      </c>
      <c r="C52" s="28">
        <f t="shared" si="2"/>
        <v>0.27935771914921309</v>
      </c>
      <c r="D52" s="28">
        <f t="shared" si="0"/>
        <v>1.563554969047589E-2</v>
      </c>
      <c r="E52" s="28">
        <f t="shared" si="4"/>
        <v>0.64352964544687707</v>
      </c>
      <c r="F52" s="51">
        <f t="shared" si="3"/>
        <v>0.43410233098930928</v>
      </c>
    </row>
    <row r="53" spans="2:6" x14ac:dyDescent="0.2">
      <c r="B53" s="50">
        <f t="shared" si="1"/>
        <v>0.70000000000000029</v>
      </c>
      <c r="C53" s="28">
        <f t="shared" si="2"/>
        <v>0.2960136229707106</v>
      </c>
      <c r="D53" s="28">
        <f t="shared" si="0"/>
        <v>1.5223681421369656E-2</v>
      </c>
      <c r="E53" s="28">
        <f t="shared" si="4"/>
        <v>0.65875332686824672</v>
      </c>
      <c r="F53" s="51">
        <f t="shared" si="3"/>
        <v>0.44935427404667133</v>
      </c>
    </row>
    <row r="54" spans="2:6" x14ac:dyDescent="0.2">
      <c r="B54" s="50">
        <f t="shared" si="1"/>
        <v>0.72000000000000031</v>
      </c>
      <c r="C54" s="28">
        <f t="shared" si="2"/>
        <v>0.31339646626710171</v>
      </c>
      <c r="D54" s="28">
        <f t="shared" si="0"/>
        <v>1.4792955746764671E-2</v>
      </c>
      <c r="E54" s="28">
        <f t="shared" si="4"/>
        <v>0.67354628261501137</v>
      </c>
      <c r="F54" s="51">
        <f t="shared" si="3"/>
        <v>0.46529314221786638</v>
      </c>
    </row>
    <row r="55" spans="2:6" x14ac:dyDescent="0.2">
      <c r="B55" s="50">
        <f t="shared" si="1"/>
        <v>0.74000000000000032</v>
      </c>
      <c r="C55" s="28">
        <f t="shared" si="2"/>
        <v>0.3314641545340512</v>
      </c>
      <c r="D55" s="28">
        <f t="shared" si="0"/>
        <v>1.434434808651327E-2</v>
      </c>
      <c r="E55" s="28">
        <f t="shared" si="4"/>
        <v>0.68789063070152467</v>
      </c>
      <c r="F55" s="51">
        <f t="shared" si="3"/>
        <v>0.48185589356845493</v>
      </c>
    </row>
    <row r="56" spans="2:6" x14ac:dyDescent="0.2">
      <c r="B56" s="50">
        <f t="shared" si="1"/>
        <v>0.76000000000000034</v>
      </c>
      <c r="C56" s="28">
        <f t="shared" si="2"/>
        <v>0.35016759169593603</v>
      </c>
      <c r="D56" s="28">
        <f t="shared" si="0"/>
        <v>1.3879012490532801E-2</v>
      </c>
      <c r="E56" s="28">
        <f t="shared" si="4"/>
        <v>0.70176964319205748</v>
      </c>
      <c r="F56" s="51">
        <f t="shared" si="3"/>
        <v>0.49897796961289131</v>
      </c>
    </row>
    <row r="57" spans="2:6" x14ac:dyDescent="0.2">
      <c r="B57" s="50">
        <f t="shared" si="1"/>
        <v>0.78000000000000036</v>
      </c>
      <c r="C57" s="28">
        <f t="shared" si="2"/>
        <v>0.36945087643440611</v>
      </c>
      <c r="D57" s="28">
        <f t="shared" si="0"/>
        <v>1.339827800871791E-2</v>
      </c>
      <c r="E57" s="28">
        <f t="shared" si="4"/>
        <v>0.71516792120077544</v>
      </c>
      <c r="F57" s="51">
        <f t="shared" si="3"/>
        <v>0.51659318809223675</v>
      </c>
    </row>
    <row r="58" spans="2:6" x14ac:dyDescent="0.2">
      <c r="B58" s="50">
        <f t="shared" si="1"/>
        <v>0.80000000000000038</v>
      </c>
      <c r="C58" s="28">
        <f t="shared" si="2"/>
        <v>0.38925160739077574</v>
      </c>
      <c r="D58" s="28">
        <f t="shared" si="0"/>
        <v>1.2903642357681861E-2</v>
      </c>
      <c r="E58" s="28">
        <f t="shared" si="4"/>
        <v>0.72807156355845726</v>
      </c>
      <c r="F58" s="51">
        <f t="shared" si="3"/>
        <v>0.53463371854313946</v>
      </c>
    </row>
    <row r="59" spans="2:6" x14ac:dyDescent="0.2">
      <c r="B59" s="50">
        <f t="shared" si="1"/>
        <v>0.8200000000000004</v>
      </c>
      <c r="C59" s="28">
        <f>(1+$I$8*(1-EXP(-(B59^$I$4))))/(1+$I$8)*$C$15</f>
        <v>0.40950129974805416</v>
      </c>
      <c r="D59" s="28">
        <f t="shared" si="0"/>
        <v>1.2396762794327252E-2</v>
      </c>
      <c r="E59" s="28">
        <f t="shared" si="4"/>
        <v>0.74046832635278448</v>
      </c>
      <c r="F59" s="51">
        <f t="shared" si="3"/>
        <v>0.55303013670425882</v>
      </c>
    </row>
    <row r="60" spans="2:6" x14ac:dyDescent="0.2">
      <c r="B60" s="50">
        <f t="shared" si="1"/>
        <v>0.84000000000000041</v>
      </c>
      <c r="C60" s="28">
        <f>(1+$I$8*(1-EXP(-(B60^$I$4))))/(1+$I$8)*$C$15</f>
        <v>0.43012591339276107</v>
      </c>
      <c r="D60" s="28">
        <f t="shared" si="0"/>
        <v>1.1879444161200394E-2</v>
      </c>
      <c r="E60" s="28">
        <f t="shared" si="4"/>
        <v>0.75234777051398483</v>
      </c>
      <c r="F60" s="51">
        <f t="shared" si="3"/>
        <v>0.57171155448352029</v>
      </c>
    </row>
    <row r="61" spans="2:6" x14ac:dyDescent="0.2">
      <c r="B61" s="50">
        <f t="shared" si="1"/>
        <v>0.86000000000000043</v>
      </c>
      <c r="C61" s="28">
        <f t="shared" ref="C61:C68" si="5">(1+$I$8*(1-EXP(-(B61^$I$4))))/(1+$I$8)*$C$15</f>
        <v>0.45104649031745908</v>
      </c>
      <c r="D61" s="28">
        <f t="shared" si="0"/>
        <v>1.1353624130030144E-2</v>
      </c>
      <c r="E61" s="28">
        <f t="shared" si="4"/>
        <v>0.76370139464401499</v>
      </c>
      <c r="F61" s="51">
        <f t="shared" si="3"/>
        <v>0.59060582248603322</v>
      </c>
    </row>
    <row r="62" spans="2:6" x14ac:dyDescent="0.2">
      <c r="B62" s="50">
        <f t="shared" si="1"/>
        <v>0.88000000000000045</v>
      </c>
      <c r="C62" s="28">
        <f t="shared" si="5"/>
        <v>0.47217989620871004</v>
      </c>
      <c r="D62" s="28">
        <f t="shared" si="0"/>
        <v>1.082135573653596E-2</v>
      </c>
      <c r="E62" s="28">
        <f t="shared" si="4"/>
        <v>0.77452275038055096</v>
      </c>
      <c r="F62" s="51">
        <f t="shared" si="3"/>
        <v>0.60963980202868284</v>
      </c>
    </row>
    <row r="63" spans="2:6" x14ac:dyDescent="0.2">
      <c r="B63" s="50">
        <f t="shared" si="1"/>
        <v>0.90000000000000047</v>
      </c>
      <c r="C63" s="28">
        <f t="shared" si="5"/>
        <v>0.49343965834187625</v>
      </c>
      <c r="D63" s="28">
        <f t="shared" si="0"/>
        <v>1.0284787369908314E-2</v>
      </c>
      <c r="E63" s="28">
        <f t="shared" si="4"/>
        <v>0.78480753775045931</v>
      </c>
      <c r="F63" s="51">
        <f t="shared" si="3"/>
        <v>0.62873970318411032</v>
      </c>
    </row>
    <row r="64" spans="2:6" x14ac:dyDescent="0.2">
      <c r="B64" s="50">
        <f t="shared" si="1"/>
        <v>0.92000000000000048</v>
      </c>
      <c r="C64" s="28">
        <f t="shared" si="5"/>
        <v>0.51473688905594972</v>
      </c>
      <c r="D64" s="28">
        <f t="shared" si="0"/>
        <v>9.7461404523889478E-3</v>
      </c>
      <c r="E64" s="28">
        <f t="shared" si="4"/>
        <v>0.79455367820284828</v>
      </c>
      <c r="F64" s="51">
        <f t="shared" si="3"/>
        <v>0.64783148474021435</v>
      </c>
    </row>
    <row r="65" spans="2:6" x14ac:dyDescent="0.2">
      <c r="B65" s="50">
        <f t="shared" si="1"/>
        <v>0.9400000000000005</v>
      </c>
      <c r="C65" s="28">
        <f t="shared" si="5"/>
        <v>0.53598128130070699</v>
      </c>
      <c r="D65" s="28">
        <f t="shared" si="0"/>
        <v>9.2076851158944279E-3</v>
      </c>
      <c r="E65" s="28">
        <f t="shared" si="4"/>
        <v>0.80376136331874271</v>
      </c>
      <c r="F65" s="51">
        <f t="shared" si="3"/>
        <v>0.66684131106729516</v>
      </c>
    </row>
    <row r="66" spans="2:6" x14ac:dyDescent="0.2">
      <c r="B66" s="50">
        <f t="shared" si="1"/>
        <v>0.96000000000000052</v>
      </c>
      <c r="C66" s="28">
        <f t="shared" si="5"/>
        <v>0.55708216013463518</v>
      </c>
      <c r="D66" s="28">
        <f t="shared" si="0"/>
        <v>8.6717142511959708E-3</v>
      </c>
      <c r="E66" s="28">
        <f t="shared" si="4"/>
        <v>0.81243307756993866</v>
      </c>
      <c r="F66" s="51">
        <f t="shared" si="3"/>
        <v>0.68569605979229531</v>
      </c>
    </row>
    <row r="67" spans="2:6" x14ac:dyDescent="0.2">
      <c r="B67" s="50">
        <f t="shared" si="1"/>
        <v>0.98000000000000054</v>
      </c>
      <c r="C67" s="28">
        <f t="shared" si="5"/>
        <v>0.57794957170888472</v>
      </c>
      <c r="D67" s="28">
        <f t="shared" si="0"/>
        <v>8.1405163682068387E-3</v>
      </c>
      <c r="E67" s="28">
        <f t="shared" si="4"/>
        <v>0.82057359393814544</v>
      </c>
      <c r="F67" s="51">
        <f t="shared" si="3"/>
        <v>0.70432387293277976</v>
      </c>
    </row>
    <row r="68" spans="2:6" ht="15.75" thickBot="1" x14ac:dyDescent="0.25">
      <c r="B68" s="33">
        <f t="shared" si="1"/>
        <v>1.0000000000000004</v>
      </c>
      <c r="C68" s="34">
        <f t="shared" si="5"/>
        <v>0.59849538930332169</v>
      </c>
      <c r="D68" s="34">
        <f t="shared" si="0"/>
        <v>7.6163477608040576E-3</v>
      </c>
      <c r="E68" s="34">
        <f t="shared" si="4"/>
        <v>0.82818994169894955</v>
      </c>
      <c r="F68" s="35">
        <f t="shared" si="3"/>
        <v>0.72265474279434949</v>
      </c>
    </row>
  </sheetData>
  <mergeCells count="5">
    <mergeCell ref="J42:K42"/>
    <mergeCell ref="B2:E2"/>
    <mergeCell ref="F2:I2"/>
    <mergeCell ref="B6:D6"/>
    <mergeCell ref="B13:D1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F689A-F6A4-4797-977A-A133E53125A3}">
  <dimension ref="B1:K63"/>
  <sheetViews>
    <sheetView workbookViewId="0">
      <selection activeCell="N16" sqref="N16"/>
    </sheetView>
  </sheetViews>
  <sheetFormatPr baseColWidth="10" defaultRowHeight="15" x14ac:dyDescent="0.2"/>
  <cols>
    <col min="1" max="3" width="11.42578125" style="2"/>
    <col min="4" max="4" width="13.140625" style="2" bestFit="1" customWidth="1"/>
    <col min="5" max="16384" width="11.42578125" style="2"/>
  </cols>
  <sheetData>
    <row r="1" spans="2:11" ht="15.75" thickBot="1" x14ac:dyDescent="0.25"/>
    <row r="2" spans="2:11" ht="15.75" thickBot="1" x14ac:dyDescent="0.25">
      <c r="B2" s="62" t="s">
        <v>49</v>
      </c>
      <c r="C2" s="59">
        <v>6.4</v>
      </c>
    </row>
    <row r="3" spans="2:11" ht="15.75" thickBot="1" x14ac:dyDescent="0.25">
      <c r="B3" s="62" t="s">
        <v>48</v>
      </c>
      <c r="C3" s="60">
        <v>3.2</v>
      </c>
    </row>
    <row r="4" spans="2:11" ht="15.75" thickBot="1" x14ac:dyDescent="0.25">
      <c r="B4" s="62" t="s">
        <v>33</v>
      </c>
      <c r="C4" s="60">
        <v>5.758</v>
      </c>
    </row>
    <row r="5" spans="2:11" ht="15.75" thickBot="1" x14ac:dyDescent="0.25">
      <c r="B5" s="62" t="s">
        <v>94</v>
      </c>
      <c r="C5" s="60">
        <v>15</v>
      </c>
    </row>
    <row r="6" spans="2:11" ht="15.75" thickBot="1" x14ac:dyDescent="0.25">
      <c r="B6" s="62" t="s">
        <v>95</v>
      </c>
      <c r="C6" s="61">
        <v>450</v>
      </c>
    </row>
    <row r="7" spans="2:11" ht="15.75" thickBot="1" x14ac:dyDescent="0.25"/>
    <row r="8" spans="2:11" ht="15.75" thickBot="1" x14ac:dyDescent="0.25">
      <c r="B8" s="38" t="s">
        <v>74</v>
      </c>
      <c r="C8" s="59">
        <f>C6/C5</f>
        <v>30</v>
      </c>
    </row>
    <row r="9" spans="2:11" ht="15.75" thickBot="1" x14ac:dyDescent="0.25">
      <c r="B9" s="38" t="s">
        <v>50</v>
      </c>
      <c r="C9" s="61">
        <f>C4/C2</f>
        <v>0.89968749999999997</v>
      </c>
    </row>
    <row r="10" spans="2:11" ht="15.75" thickBot="1" x14ac:dyDescent="0.25"/>
    <row r="11" spans="2:11" ht="15.75" thickBot="1" x14ac:dyDescent="0.25">
      <c r="B11" s="38" t="s">
        <v>81</v>
      </c>
      <c r="C11" s="41">
        <v>0.02</v>
      </c>
    </row>
    <row r="12" spans="2:11" ht="15.75" thickBot="1" x14ac:dyDescent="0.25"/>
    <row r="13" spans="2:11" ht="15.75" thickBot="1" x14ac:dyDescent="0.25">
      <c r="B13" s="40" t="s">
        <v>88</v>
      </c>
      <c r="C13" s="38" t="s">
        <v>83</v>
      </c>
      <c r="D13" s="65" t="s">
        <v>84</v>
      </c>
      <c r="E13" s="38" t="s">
        <v>87</v>
      </c>
      <c r="F13" s="41" t="s">
        <v>93</v>
      </c>
    </row>
    <row r="14" spans="2:11" ht="16.5" thickBot="1" x14ac:dyDescent="0.3">
      <c r="B14" s="54">
        <f>C11</f>
        <v>0.02</v>
      </c>
      <c r="C14" s="53">
        <f>(1+$C$8*(1-EXP(-(B14^$C$3))))/(1+$C$8)*$C$9</f>
        <v>2.9025362690732671E-2</v>
      </c>
      <c r="D14" s="53">
        <f>EXP(-((B14-$C$11/2)^$C$3))*$C$11</f>
        <v>1.9999992037858176E-2</v>
      </c>
      <c r="E14" s="53">
        <f>D14</f>
        <v>1.9999992037858176E-2</v>
      </c>
      <c r="F14" s="52">
        <f>C14/E14</f>
        <v>1.4512687122969992</v>
      </c>
      <c r="H14" s="62" t="s">
        <v>96</v>
      </c>
      <c r="I14" s="59">
        <f>MIN(F14:F63)</f>
        <v>0.15675065205451658</v>
      </c>
      <c r="J14" s="121" t="s">
        <v>91</v>
      </c>
      <c r="K14" s="128"/>
    </row>
    <row r="15" spans="2:11" ht="15.75" thickBot="1" x14ac:dyDescent="0.25">
      <c r="B15" s="50">
        <f>B14+$C$11</f>
        <v>0.04</v>
      </c>
      <c r="C15" s="28">
        <f t="shared" ref="C15:C63" si="0">(1+$C$8*(1-EXP(-(B15^$C$3))))/(1+$C$8)*$C$9</f>
        <v>2.9051448308794504E-2</v>
      </c>
      <c r="D15" s="28">
        <f t="shared" ref="D15:D63" si="1">EXP(-((B15-$C$11/2)^$C$3))*$C$11</f>
        <v>1.9999732197206369E-2</v>
      </c>
      <c r="E15" s="28">
        <f>E14+D15</f>
        <v>3.9999724235064545E-2</v>
      </c>
      <c r="F15" s="51">
        <f t="shared" ref="F15:F63" si="2">C15/E15</f>
        <v>0.72629121486111226</v>
      </c>
      <c r="H15" s="62" t="s">
        <v>75</v>
      </c>
      <c r="I15" s="60">
        <f>B27</f>
        <v>0.27999999999999997</v>
      </c>
    </row>
    <row r="16" spans="2:11" ht="15.75" thickBot="1" x14ac:dyDescent="0.25">
      <c r="B16" s="50">
        <f t="shared" ref="B16:B63" si="3">B15+$C$11</f>
        <v>0.06</v>
      </c>
      <c r="C16" s="28">
        <f t="shared" si="0"/>
        <v>2.9129306783899266E-2</v>
      </c>
      <c r="D16" s="28">
        <f t="shared" si="1"/>
        <v>1.9998626846461792E-2</v>
      </c>
      <c r="E16" s="28">
        <f t="shared" ref="E16:E63" si="4">E15+D16</f>
        <v>5.9998351081526333E-2</v>
      </c>
      <c r="F16" s="51">
        <f t="shared" si="2"/>
        <v>0.48550178894613427</v>
      </c>
      <c r="H16" s="62" t="s">
        <v>76</v>
      </c>
      <c r="I16" s="60">
        <f>I15*C2</f>
        <v>1.7919999999999998</v>
      </c>
    </row>
    <row r="17" spans="2:9" ht="15.75" thickBot="1" x14ac:dyDescent="0.25">
      <c r="B17" s="50">
        <f t="shared" si="3"/>
        <v>0.08</v>
      </c>
      <c r="C17" s="28">
        <f t="shared" si="0"/>
        <v>2.9291127773164907E-2</v>
      </c>
      <c r="D17" s="28">
        <f t="shared" si="1"/>
        <v>1.9995970047146244E-2</v>
      </c>
      <c r="E17" s="28">
        <f t="shared" si="4"/>
        <v>7.999432112867258E-2</v>
      </c>
      <c r="F17" s="51">
        <f t="shared" si="2"/>
        <v>0.36616508971992523</v>
      </c>
      <c r="H17" s="62" t="s">
        <v>82</v>
      </c>
      <c r="I17" s="61">
        <f>I16*12</f>
        <v>21.503999999999998</v>
      </c>
    </row>
    <row r="18" spans="2:9" x14ac:dyDescent="0.2">
      <c r="B18" s="50">
        <f t="shared" si="3"/>
        <v>0.1</v>
      </c>
      <c r="C18" s="28">
        <f t="shared" si="0"/>
        <v>2.957135682661171E-2</v>
      </c>
      <c r="D18" s="28">
        <f t="shared" si="1"/>
        <v>1.999099449168705E-2</v>
      </c>
      <c r="E18" s="28">
        <f t="shared" si="4"/>
        <v>9.998531562035963E-2</v>
      </c>
      <c r="F18" s="51">
        <f t="shared" si="2"/>
        <v>0.29575699834656727</v>
      </c>
    </row>
    <row r="19" spans="2:9" x14ac:dyDescent="0.2">
      <c r="B19" s="50">
        <f t="shared" si="3"/>
        <v>0.12000000000000001</v>
      </c>
      <c r="C19" s="28">
        <f t="shared" si="0"/>
        <v>3.0006156150344247E-2</v>
      </c>
      <c r="D19" s="28">
        <f t="shared" si="1"/>
        <v>1.9982888001608527E-2</v>
      </c>
      <c r="E19" s="28">
        <f t="shared" si="4"/>
        <v>0.11996820362196815</v>
      </c>
      <c r="F19" s="51">
        <f t="shared" si="2"/>
        <v>0.25011757486089109</v>
      </c>
    </row>
    <row r="20" spans="2:9" x14ac:dyDescent="0.2">
      <c r="B20" s="50">
        <f t="shared" si="3"/>
        <v>0.14000000000000001</v>
      </c>
      <c r="C20" s="28">
        <f t="shared" si="0"/>
        <v>3.0633041493670046E-2</v>
      </c>
      <c r="D20" s="28">
        <f t="shared" si="1"/>
        <v>1.9970803450247276E-2</v>
      </c>
      <c r="E20" s="28">
        <f t="shared" si="4"/>
        <v>0.13993900707221543</v>
      </c>
      <c r="F20" s="51">
        <f t="shared" si="2"/>
        <v>0.21890280726275188</v>
      </c>
    </row>
    <row r="21" spans="2:9" x14ac:dyDescent="0.2">
      <c r="B21" s="50">
        <f t="shared" si="3"/>
        <v>0.16</v>
      </c>
      <c r="C21" s="28">
        <f t="shared" si="0"/>
        <v>3.1490596134202853E-2</v>
      </c>
      <c r="D21" s="28">
        <f t="shared" si="1"/>
        <v>1.9953866049049571E-2</v>
      </c>
      <c r="E21" s="28">
        <f t="shared" si="4"/>
        <v>0.15989287312126499</v>
      </c>
      <c r="F21" s="51">
        <f t="shared" si="2"/>
        <v>0.19694809105293859</v>
      </c>
    </row>
    <row r="22" spans="2:9" x14ac:dyDescent="0.2">
      <c r="B22" s="50">
        <f t="shared" si="3"/>
        <v>0.18</v>
      </c>
      <c r="C22" s="28">
        <f t="shared" si="0"/>
        <v>3.2618220200353279E-2</v>
      </c>
      <c r="D22" s="28">
        <f t="shared" si="1"/>
        <v>1.9931179430729612E-2</v>
      </c>
      <c r="E22" s="28">
        <f t="shared" si="4"/>
        <v>0.1798240525519946</v>
      </c>
      <c r="F22" s="51">
        <f t="shared" si="2"/>
        <v>0.18138964024805301</v>
      </c>
    </row>
    <row r="23" spans="2:9" x14ac:dyDescent="0.2">
      <c r="B23" s="50">
        <f t="shared" si="3"/>
        <v>0.19999999999999998</v>
      </c>
      <c r="C23" s="28">
        <f t="shared" si="0"/>
        <v>3.4055894132134786E-2</v>
      </c>
      <c r="D23" s="28">
        <f t="shared" si="1"/>
        <v>1.9901831200919748E-2</v>
      </c>
      <c r="E23" s="28">
        <f t="shared" si="4"/>
        <v>0.19972588375291433</v>
      </c>
      <c r="F23" s="51">
        <f t="shared" si="2"/>
        <v>0.1705131728157285</v>
      </c>
    </row>
    <row r="24" spans="2:9" x14ac:dyDescent="0.2">
      <c r="B24" s="50">
        <f t="shared" si="3"/>
        <v>0.21999999999999997</v>
      </c>
      <c r="C24" s="28">
        <f t="shared" si="0"/>
        <v>3.5843944247264871E-2</v>
      </c>
      <c r="D24" s="28">
        <f t="shared" si="1"/>
        <v>1.9864898321243728E-2</v>
      </c>
      <c r="E24" s="28">
        <f t="shared" si="4"/>
        <v>0.21959078207415805</v>
      </c>
      <c r="F24" s="51">
        <f t="shared" si="2"/>
        <v>0.16323064159933637</v>
      </c>
    </row>
    <row r="25" spans="2:9" x14ac:dyDescent="0.2">
      <c r="B25" s="50">
        <f t="shared" si="3"/>
        <v>0.23999999999999996</v>
      </c>
      <c r="C25" s="28">
        <f t="shared" si="0"/>
        <v>3.8022803112012352E-2</v>
      </c>
      <c r="D25" s="28">
        <f t="shared" si="1"/>
        <v>1.9819452537842959E-2</v>
      </c>
      <c r="E25" s="28">
        <f t="shared" si="4"/>
        <v>0.239410234612001</v>
      </c>
      <c r="F25" s="51">
        <f t="shared" si="2"/>
        <v>0.1588186201547892</v>
      </c>
    </row>
    <row r="26" spans="2:9" x14ac:dyDescent="0.2">
      <c r="B26" s="50">
        <f t="shared" si="3"/>
        <v>0.25999999999999995</v>
      </c>
      <c r="C26" s="28">
        <f t="shared" si="0"/>
        <v>4.0632760162111779E-2</v>
      </c>
      <c r="D26" s="28">
        <f t="shared" si="1"/>
        <v>1.9764565987689393E-2</v>
      </c>
      <c r="E26" s="28">
        <f t="shared" si="4"/>
        <v>0.25917480059969039</v>
      </c>
      <c r="F26" s="51">
        <f t="shared" si="2"/>
        <v>0.15677743387124773</v>
      </c>
    </row>
    <row r="27" spans="2:9" x14ac:dyDescent="0.2">
      <c r="B27" s="96">
        <f t="shared" si="3"/>
        <v>0.27999999999999997</v>
      </c>
      <c r="C27" s="93">
        <f t="shared" si="0"/>
        <v>4.3713699785076762E-2</v>
      </c>
      <c r="D27" s="93">
        <f t="shared" si="1"/>
        <v>1.9699317065054602E-2</v>
      </c>
      <c r="E27" s="93">
        <f t="shared" si="4"/>
        <v>0.27887411766474501</v>
      </c>
      <c r="F27" s="97">
        <f t="shared" si="2"/>
        <v>0.15675065205451658</v>
      </c>
    </row>
    <row r="28" spans="2:9" x14ac:dyDescent="0.2">
      <c r="B28" s="50">
        <f t="shared" si="3"/>
        <v>0.3</v>
      </c>
      <c r="C28" s="28">
        <f t="shared" si="0"/>
        <v>4.7304825324507742E-2</v>
      </c>
      <c r="D28" s="28">
        <f t="shared" si="1"/>
        <v>1.9622796596773479E-2</v>
      </c>
      <c r="E28" s="28">
        <f t="shared" si="4"/>
        <v>0.29849691426151848</v>
      </c>
      <c r="F28" s="51">
        <f t="shared" si="2"/>
        <v>0.15847676496602955</v>
      </c>
    </row>
    <row r="29" spans="2:9" x14ac:dyDescent="0.2">
      <c r="B29" s="50">
        <f t="shared" si="3"/>
        <v>0.32</v>
      </c>
      <c r="C29" s="28">
        <f t="shared" si="0"/>
        <v>5.1444368430769452E-2</v>
      </c>
      <c r="D29" s="28">
        <f t="shared" si="1"/>
        <v>1.9534114349990441E-2</v>
      </c>
      <c r="E29" s="28">
        <f t="shared" si="4"/>
        <v>0.31803102861150889</v>
      </c>
      <c r="F29" s="51">
        <f t="shared" si="2"/>
        <v>0.16175895998377998</v>
      </c>
    </row>
    <row r="30" spans="2:9" x14ac:dyDescent="0.2">
      <c r="B30" s="50">
        <f t="shared" si="3"/>
        <v>0.34</v>
      </c>
      <c r="C30" s="28">
        <f t="shared" si="0"/>
        <v>5.6169283983254589E-2</v>
      </c>
      <c r="D30" s="28">
        <f t="shared" si="1"/>
        <v>1.9432405876062504E-2</v>
      </c>
      <c r="E30" s="28">
        <f t="shared" si="4"/>
        <v>0.33746343448757138</v>
      </c>
      <c r="F30" s="51">
        <f t="shared" si="2"/>
        <v>0.16644554118447247</v>
      </c>
    </row>
    <row r="31" spans="2:9" x14ac:dyDescent="0.2">
      <c r="B31" s="50">
        <f t="shared" si="3"/>
        <v>0.36000000000000004</v>
      </c>
      <c r="C31" s="28">
        <f t="shared" si="0"/>
        <v>6.151493151466858E-2</v>
      </c>
      <c r="D31" s="28">
        <f t="shared" si="1"/>
        <v>1.9316839677136943E-2</v>
      </c>
      <c r="E31" s="28">
        <f t="shared" si="4"/>
        <v>0.35678027416470831</v>
      </c>
      <c r="F31" s="51">
        <f t="shared" si="2"/>
        <v>0.17241685140437471</v>
      </c>
    </row>
    <row r="32" spans="2:9" x14ac:dyDescent="0.2">
      <c r="B32" s="50">
        <f t="shared" si="3"/>
        <v>0.38000000000000006</v>
      </c>
      <c r="C32" s="28">
        <f t="shared" si="0"/>
        <v>6.751474471469672E-2</v>
      </c>
      <c r="D32" s="28">
        <f t="shared" si="1"/>
        <v>1.9186624666468557E-2</v>
      </c>
      <c r="E32" s="28">
        <f t="shared" si="4"/>
        <v>0.37596689883117684</v>
      </c>
      <c r="F32" s="51">
        <f t="shared" si="2"/>
        <v>0.17957630026629912</v>
      </c>
    </row>
    <row r="33" spans="2:6" x14ac:dyDescent="0.2">
      <c r="B33" s="50">
        <f t="shared" si="3"/>
        <v>0.40000000000000008</v>
      </c>
      <c r="C33" s="28">
        <f t="shared" si="0"/>
        <v>7.4199891198903731E-2</v>
      </c>
      <c r="D33" s="28">
        <f t="shared" si="1"/>
        <v>1.9041017879161619E-2</v>
      </c>
      <c r="E33" s="28">
        <f t="shared" si="4"/>
        <v>0.39500791671033847</v>
      </c>
      <c r="F33" s="51">
        <f t="shared" si="2"/>
        <v>0.18784406099211154</v>
      </c>
    </row>
    <row r="34" spans="2:6" x14ac:dyDescent="0.2">
      <c r="B34" s="50">
        <f t="shared" si="3"/>
        <v>0.4200000000000001</v>
      </c>
      <c r="C34" s="28">
        <f t="shared" si="0"/>
        <v>8.1598925307901193E-2</v>
      </c>
      <c r="D34" s="28">
        <f t="shared" si="1"/>
        <v>1.8879332376395205E-2</v>
      </c>
      <c r="E34" s="28">
        <f t="shared" si="4"/>
        <v>0.41388724908673369</v>
      </c>
      <c r="F34" s="51">
        <f t="shared" si="2"/>
        <v>0.19715254695077941</v>
      </c>
    </row>
    <row r="35" spans="2:6" x14ac:dyDescent="0.2">
      <c r="B35" s="50">
        <f t="shared" si="3"/>
        <v>0.44000000000000011</v>
      </c>
      <c r="C35" s="28">
        <f t="shared" si="0"/>
        <v>8.9737437253755659E-2</v>
      </c>
      <c r="D35" s="28">
        <f t="shared" si="1"/>
        <v>1.870094527319701E-2</v>
      </c>
      <c r="E35" s="28">
        <f t="shared" si="4"/>
        <v>0.43258819435993068</v>
      </c>
      <c r="F35" s="51">
        <f t="shared" si="2"/>
        <v>0.20744310275626829</v>
      </c>
    </row>
    <row r="36" spans="2:6" x14ac:dyDescent="0.2">
      <c r="B36" s="50">
        <f t="shared" si="3"/>
        <v>0.46000000000000013</v>
      </c>
      <c r="C36" s="28">
        <f t="shared" si="0"/>
        <v>9.8637702452498921E-2</v>
      </c>
      <c r="D36" s="28">
        <f t="shared" si="1"/>
        <v>1.850530580748394E-2</v>
      </c>
      <c r="E36" s="28">
        <f t="shared" si="4"/>
        <v>0.45109350016741462</v>
      </c>
      <c r="F36" s="51">
        <f t="shared" si="2"/>
        <v>0.218663541850839</v>
      </c>
    </row>
    <row r="37" spans="2:6" x14ac:dyDescent="0.2">
      <c r="B37" s="50">
        <f t="shared" si="3"/>
        <v>0.48000000000000015</v>
      </c>
      <c r="C37" s="28">
        <f t="shared" si="0"/>
        <v>0.10831833536714197</v>
      </c>
      <c r="D37" s="28">
        <f t="shared" si="1"/>
        <v>1.8291943356494506E-2</v>
      </c>
      <c r="E37" s="28">
        <f t="shared" si="4"/>
        <v>0.4693854435239091</v>
      </c>
      <c r="F37" s="51">
        <f t="shared" si="2"/>
        <v>0.23076628570741894</v>
      </c>
    </row>
    <row r="38" spans="2:6" x14ac:dyDescent="0.2">
      <c r="B38" s="50">
        <f t="shared" si="3"/>
        <v>0.50000000000000011</v>
      </c>
      <c r="C38" s="28">
        <f t="shared" si="0"/>
        <v>0.11879395262589794</v>
      </c>
      <c r="D38" s="28">
        <f t="shared" si="1"/>
        <v>1.8060475296075955E-2</v>
      </c>
      <c r="E38" s="28">
        <f t="shared" si="4"/>
        <v>0.48744591881998506</v>
      </c>
      <c r="F38" s="51">
        <f t="shared" si="2"/>
        <v>0.24370693863531726</v>
      </c>
    </row>
    <row r="39" spans="2:6" x14ac:dyDescent="0.2">
      <c r="B39" s="50">
        <f t="shared" si="3"/>
        <v>0.52000000000000013</v>
      </c>
      <c r="C39" s="28">
        <f t="shared" si="0"/>
        <v>0.13007485056465043</v>
      </c>
      <c r="D39" s="28">
        <f t="shared" si="1"/>
        <v>1.78106145887847E-2</v>
      </c>
      <c r="E39" s="28">
        <f t="shared" si="4"/>
        <v>0.50525653340876975</v>
      </c>
      <c r="F39" s="51">
        <f t="shared" si="2"/>
        <v>0.25744318373695418</v>
      </c>
    </row>
    <row r="40" spans="2:6" x14ac:dyDescent="0.2">
      <c r="B40" s="50">
        <f t="shared" si="3"/>
        <v>0.54000000000000015</v>
      </c>
      <c r="C40" s="28">
        <f t="shared" si="0"/>
        <v>0.14216670265900955</v>
      </c>
      <c r="D40" s="28">
        <f t="shared" si="1"/>
        <v>1.7542176978675474E-2</v>
      </c>
      <c r="E40" s="28">
        <f t="shared" si="4"/>
        <v>0.52279871038744519</v>
      </c>
      <c r="F40" s="51">
        <f t="shared" si="2"/>
        <v>0.27193391994722033</v>
      </c>
    </row>
    <row r="41" spans="2:6" x14ac:dyDescent="0.2">
      <c r="B41" s="50">
        <f t="shared" si="3"/>
        <v>0.56000000000000016</v>
      </c>
      <c r="C41" s="28">
        <f t="shared" si="0"/>
        <v>0.15507028254680616</v>
      </c>
      <c r="D41" s="28">
        <f t="shared" si="1"/>
        <v>1.725508766427955E-2</v>
      </c>
      <c r="E41" s="28">
        <f>E40+D41</f>
        <v>0.54005379805172471</v>
      </c>
      <c r="F41" s="51">
        <f t="shared" si="2"/>
        <v>0.28713858342674592</v>
      </c>
    </row>
    <row r="42" spans="2:6" x14ac:dyDescent="0.2">
      <c r="B42" s="50">
        <f t="shared" si="3"/>
        <v>0.58000000000000018</v>
      </c>
      <c r="C42" s="28">
        <f t="shared" si="0"/>
        <v>0.16878121848356334</v>
      </c>
      <c r="D42" s="28">
        <f t="shared" si="1"/>
        <v>1.6949387316902903E-2</v>
      </c>
      <c r="E42" s="28">
        <f t="shared" si="4"/>
        <v>0.55700318536862758</v>
      </c>
      <c r="F42" s="51">
        <f t="shared" si="2"/>
        <v>0.30301661268213942</v>
      </c>
    </row>
    <row r="43" spans="2:6" x14ac:dyDescent="0.2">
      <c r="B43" s="50">
        <f>B42+$C$11</f>
        <v>0.6000000000000002</v>
      </c>
      <c r="C43" s="28">
        <f t="shared" si="0"/>
        <v>0.18328978510868205</v>
      </c>
      <c r="D43" s="28">
        <f t="shared" si="1"/>
        <v>1.6625237309307973E-2</v>
      </c>
      <c r="E43" s="28">
        <f t="shared" si="4"/>
        <v>0.57362842267793557</v>
      </c>
      <c r="F43" s="51">
        <f t="shared" si="2"/>
        <v>0.31952702805939992</v>
      </c>
    </row>
    <row r="44" spans="2:6" x14ac:dyDescent="0.2">
      <c r="B44" s="50">
        <f t="shared" si="3"/>
        <v>0.62000000000000022</v>
      </c>
      <c r="C44" s="28">
        <f t="shared" si="0"/>
        <v>0.19858073831695194</v>
      </c>
      <c r="D44" s="28">
        <f t="shared" si="1"/>
        <v>1.628292402036121E-2</v>
      </c>
      <c r="E44" s="28">
        <f t="shared" si="4"/>
        <v>0.58991134669829681</v>
      </c>
      <c r="F44" s="51">
        <f t="shared" si="2"/>
        <v>0.33662810425396633</v>
      </c>
    </row>
    <row r="45" spans="2:6" x14ac:dyDescent="0.2">
      <c r="B45" s="50">
        <f t="shared" si="3"/>
        <v>0.64000000000000024</v>
      </c>
      <c r="C45" s="28">
        <f t="shared" si="0"/>
        <v>0.21463319881820053</v>
      </c>
      <c r="D45" s="28">
        <f t="shared" si="1"/>
        <v>1.592286208458852E-2</v>
      </c>
      <c r="E45" s="28">
        <f t="shared" si="4"/>
        <v>0.6058342087828853</v>
      </c>
      <c r="F45" s="51">
        <f t="shared" si="2"/>
        <v>0.35427712021973212</v>
      </c>
    </row>
    <row r="46" spans="2:6" x14ac:dyDescent="0.2">
      <c r="B46" s="50">
        <f t="shared" si="3"/>
        <v>0.66000000000000025</v>
      </c>
      <c r="C46" s="28">
        <f t="shared" si="0"/>
        <v>0.23142058961907158</v>
      </c>
      <c r="D46" s="28">
        <f t="shared" si="1"/>
        <v>1.5545596461999392E-2</v>
      </c>
      <c r="E46" s="28">
        <f t="shared" si="4"/>
        <v>0.62137980524488468</v>
      </c>
      <c r="F46" s="51">
        <f t="shared" si="2"/>
        <v>0.37243017501650078</v>
      </c>
    </row>
    <row r="47" spans="2:6" x14ac:dyDescent="0.2">
      <c r="B47" s="50">
        <f t="shared" si="3"/>
        <v>0.68000000000000027</v>
      </c>
      <c r="C47" s="28">
        <f t="shared" si="0"/>
        <v>0.24891063216934298</v>
      </c>
      <c r="D47" s="28">
        <f t="shared" si="1"/>
        <v>1.515180321318055E-2</v>
      </c>
      <c r="E47" s="28">
        <f t="shared" si="4"/>
        <v>0.63653160845806522</v>
      </c>
      <c r="F47" s="51">
        <f t="shared" si="2"/>
        <v>0.39104206116692986</v>
      </c>
    </row>
    <row r="48" spans="2:6" x14ac:dyDescent="0.2">
      <c r="B48" s="50">
        <f t="shared" si="3"/>
        <v>0.70000000000000029</v>
      </c>
      <c r="C48" s="28">
        <f t="shared" si="0"/>
        <v>0.26706540527826167</v>
      </c>
      <c r="D48" s="28">
        <f t="shared" si="1"/>
        <v>1.4742288877619065E-2</v>
      </c>
      <c r="E48" s="28">
        <f t="shared" si="4"/>
        <v>0.6512738973356843</v>
      </c>
      <c r="F48" s="51">
        <f t="shared" si="2"/>
        <v>0.41006618931114458</v>
      </c>
    </row>
    <row r="49" spans="2:6" x14ac:dyDescent="0.2">
      <c r="B49" s="50">
        <f t="shared" si="3"/>
        <v>0.72000000000000031</v>
      </c>
      <c r="C49" s="28">
        <f t="shared" si="0"/>
        <v>0.28584147012515643</v>
      </c>
      <c r="D49" s="28">
        <f t="shared" si="1"/>
        <v>1.4317988369511675E-2</v>
      </c>
      <c r="E49" s="28">
        <f t="shared" si="4"/>
        <v>0.66559188570519601</v>
      </c>
      <c r="F49" s="51">
        <f t="shared" si="2"/>
        <v>0.42945455956438949</v>
      </c>
    </row>
    <row r="50" spans="2:6" x14ac:dyDescent="0.2">
      <c r="B50" s="50">
        <f t="shared" si="3"/>
        <v>0.74000000000000032</v>
      </c>
      <c r="C50" s="28">
        <f t="shared" si="0"/>
        <v>0.30519006376823654</v>
      </c>
      <c r="D50" s="28">
        <f t="shared" si="1"/>
        <v>1.3879961324881427E-2</v>
      </c>
      <c r="E50" s="28">
        <f t="shared" si="4"/>
        <v>0.67947184703007746</v>
      </c>
      <c r="F50" s="51">
        <f t="shared" si="2"/>
        <v>0.44915777614952018</v>
      </c>
    </row>
    <row r="51" spans="2:6" x14ac:dyDescent="0.2">
      <c r="B51" s="50">
        <f t="shared" si="3"/>
        <v>0.76000000000000034</v>
      </c>
      <c r="C51" s="28">
        <f t="shared" si="0"/>
        <v>0.32505736250557871</v>
      </c>
      <c r="D51" s="28">
        <f t="shared" si="1"/>
        <v>1.3429386856486147E-2</v>
      </c>
      <c r="E51" s="28">
        <f t="shared" si="4"/>
        <v>0.69290123388656366</v>
      </c>
      <c r="F51" s="51">
        <f t="shared" si="2"/>
        <v>0.46912510269651869</v>
      </c>
    </row>
    <row r="52" spans="2:6" x14ac:dyDescent="0.2">
      <c r="B52" s="50">
        <f t="shared" si="3"/>
        <v>0.78000000000000036</v>
      </c>
      <c r="C52" s="28">
        <f t="shared" si="0"/>
        <v>0.3453848152770751</v>
      </c>
      <c r="D52" s="28">
        <f t="shared" si="1"/>
        <v>1.2967556698492784E-2</v>
      </c>
      <c r="E52" s="28">
        <f t="shared" si="4"/>
        <v>0.70586879058505647</v>
      </c>
      <c r="F52" s="51">
        <f t="shared" si="2"/>
        <v>0.48930455614959872</v>
      </c>
    </row>
    <row r="53" spans="2:6" x14ac:dyDescent="0.2">
      <c r="B53" s="50">
        <f t="shared" si="3"/>
        <v>0.80000000000000038</v>
      </c>
      <c r="C53" s="28">
        <f t="shared" si="0"/>
        <v>0.36610954603451878</v>
      </c>
      <c r="D53" s="28">
        <f t="shared" si="1"/>
        <v>1.2495866750826062E-2</v>
      </c>
      <c r="E53" s="28">
        <f t="shared" si="4"/>
        <v>0.71836465733588251</v>
      </c>
      <c r="F53" s="51">
        <f t="shared" si="2"/>
        <v>0.50964303755180229</v>
      </c>
    </row>
    <row r="54" spans="2:6" x14ac:dyDescent="0.2">
      <c r="B54" s="50">
        <f t="shared" si="3"/>
        <v>0.8200000000000004</v>
      </c>
      <c r="C54" s="28">
        <f>(1+$C$8*(1-EXP(-(B54^$C$3))))/(1+$C$8)*$C$9</f>
        <v>0.38716482267261798</v>
      </c>
      <c r="D54" s="28">
        <f t="shared" si="1"/>
        <v>1.2015807062990175E-2</v>
      </c>
      <c r="E54" s="28">
        <f t="shared" si="4"/>
        <v>0.73038046439887272</v>
      </c>
      <c r="F54" s="51">
        <f>C54/E54</f>
        <v>0.53008649812569597</v>
      </c>
    </row>
    <row r="55" spans="2:6" x14ac:dyDescent="0.2">
      <c r="B55" s="50">
        <f t="shared" si="3"/>
        <v>0.84000000000000041</v>
      </c>
      <c r="C55" s="28">
        <f t="shared" si="0"/>
        <v>0.40848058873452087</v>
      </c>
      <c r="D55" s="28">
        <f t="shared" si="1"/>
        <v>1.1528950328415234E-2</v>
      </c>
      <c r="E55" s="28">
        <f t="shared" si="4"/>
        <v>0.741909414727288</v>
      </c>
      <c r="F55" s="51">
        <f t="shared" si="2"/>
        <v>0.55058013906545544</v>
      </c>
    </row>
    <row r="56" spans="2:6" x14ac:dyDescent="0.2">
      <c r="B56" s="50">
        <f>B55+$C$11</f>
        <v>0.86000000000000043</v>
      </c>
      <c r="C56" s="28">
        <f t="shared" si="0"/>
        <v>0.42998405271321627</v>
      </c>
      <c r="D56" s="28">
        <f t="shared" si="1"/>
        <v>1.1036938992307821E-2</v>
      </c>
      <c r="E56" s="28">
        <f t="shared" si="4"/>
        <v>0.75294635371959584</v>
      </c>
      <c r="F56" s="51">
        <f t="shared" si="2"/>
        <v>0.57106864332242491</v>
      </c>
    </row>
    <row r="57" spans="2:6" x14ac:dyDescent="0.2">
      <c r="B57" s="50">
        <f t="shared" si="3"/>
        <v>0.88000000000000045</v>
      </c>
      <c r="C57" s="28">
        <f t="shared" si="0"/>
        <v>0.4516003284000355</v>
      </c>
      <c r="D57" s="28">
        <f t="shared" si="1"/>
        <v>1.054147110781658E-2</v>
      </c>
      <c r="E57" s="28">
        <f t="shared" si="4"/>
        <v>0.7634878248274124</v>
      </c>
      <c r="F57" s="51">
        <f t="shared" si="2"/>
        <v>0.59149643742140934</v>
      </c>
    </row>
    <row r="58" spans="2:6" x14ac:dyDescent="0.2">
      <c r="B58" s="50">
        <f t="shared" si="3"/>
        <v>0.90000000000000047</v>
      </c>
      <c r="C58" s="28">
        <f t="shared" si="0"/>
        <v>0.47325311842082968</v>
      </c>
      <c r="D58" s="28">
        <f t="shared" si="1"/>
        <v>1.004428510622374E-2</v>
      </c>
      <c r="E58" s="28">
        <f t="shared" si="4"/>
        <v>0.77353210993363619</v>
      </c>
      <c r="F58" s="51">
        <f t="shared" si="2"/>
        <v>0.61180798100473366</v>
      </c>
    </row>
    <row r="59" spans="2:6" x14ac:dyDescent="0.2">
      <c r="B59" s="50">
        <f t="shared" si="3"/>
        <v>0.92000000000000048</v>
      </c>
      <c r="C59" s="28">
        <f t="shared" si="0"/>
        <v>0.4948654318879781</v>
      </c>
      <c r="D59" s="28">
        <f t="shared" si="1"/>
        <v>9.5471436759643966E-3</v>
      </c>
      <c r="E59" s="28">
        <f t="shared" si="4"/>
        <v>0.78307925360960062</v>
      </c>
      <c r="F59" s="51">
        <f t="shared" si="2"/>
        <v>0.63194808138116021</v>
      </c>
    </row>
    <row r="60" spans="2:6" x14ac:dyDescent="0.2">
      <c r="B60" s="50">
        <f t="shared" si="3"/>
        <v>0.9400000000000005</v>
      </c>
      <c r="C60" s="28">
        <f t="shared" si="0"/>
        <v>0.51636032602106352</v>
      </c>
      <c r="D60" s="28">
        <f t="shared" si="1"/>
        <v>9.051816971661561E-3</v>
      </c>
      <c r="E60" s="28">
        <f t="shared" si="4"/>
        <v>0.7921310705812622</v>
      </c>
      <c r="F60" s="51">
        <f t="shared" si="2"/>
        <v>0.65186222987334741</v>
      </c>
    </row>
    <row r="61" spans="2:6" x14ac:dyDescent="0.2">
      <c r="B61" s="50">
        <f t="shared" si="3"/>
        <v>0.96000000000000052</v>
      </c>
      <c r="C61" s="28">
        <f t="shared" si="0"/>
        <v>0.53766166068847199</v>
      </c>
      <c r="D61" s="28">
        <f t="shared" si="1"/>
        <v>8.5600653971642845E-3</v>
      </c>
      <c r="E61" s="28">
        <f t="shared" si="4"/>
        <v>0.80069113597842645</v>
      </c>
      <c r="F61" s="51">
        <f t="shared" si="2"/>
        <v>0.67149695622827343</v>
      </c>
    </row>
    <row r="62" spans="2:6" x14ac:dyDescent="0.2">
      <c r="B62" s="50">
        <f t="shared" si="3"/>
        <v>0.98000000000000054</v>
      </c>
      <c r="C62" s="28">
        <f t="shared" si="0"/>
        <v>0.55869485413139242</v>
      </c>
      <c r="D62" s="28">
        <f t="shared" si="1"/>
        <v>8.0736222249493082E-3</v>
      </c>
      <c r="E62" s="28">
        <f t="shared" si="4"/>
        <v>0.80876475820337579</v>
      </c>
      <c r="F62" s="51">
        <f t="shared" si="2"/>
        <v>0.69080019679950044</v>
      </c>
    </row>
    <row r="63" spans="2:6" ht="15.75" thickBot="1" x14ac:dyDescent="0.25">
      <c r="B63" s="33">
        <f t="shared" si="3"/>
        <v>1.0000000000000004</v>
      </c>
      <c r="C63" s="34">
        <f t="shared" si="0"/>
        <v>0.57938762768167917</v>
      </c>
      <c r="D63" s="34">
        <f t="shared" si="1"/>
        <v>7.5941763274311284E-3</v>
      </c>
      <c r="E63" s="34">
        <f t="shared" si="4"/>
        <v>0.81635893453080688</v>
      </c>
      <c r="F63" s="35">
        <f t="shared" si="2"/>
        <v>0.70972167165007594</v>
      </c>
    </row>
  </sheetData>
  <mergeCells count="1">
    <mergeCell ref="J14:K1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D134B-3851-437E-91F5-CA273B21B5FC}">
  <dimension ref="A7:J44"/>
  <sheetViews>
    <sheetView topLeftCell="A19" workbookViewId="0">
      <selection activeCell="O44" sqref="O44"/>
    </sheetView>
  </sheetViews>
  <sheetFormatPr baseColWidth="10" defaultRowHeight="15" x14ac:dyDescent="0.2"/>
  <cols>
    <col min="1" max="2" width="11.42578125" style="2"/>
    <col min="3" max="3" width="12.42578125" style="2" bestFit="1" customWidth="1"/>
    <col min="4" max="16384" width="11.42578125" style="2"/>
  </cols>
  <sheetData>
    <row r="7" spans="2:9" ht="18" x14ac:dyDescent="0.25">
      <c r="B7" s="132" t="s">
        <v>144</v>
      </c>
      <c r="C7" s="130"/>
      <c r="D7" s="130"/>
      <c r="E7" s="130"/>
      <c r="F7" s="130"/>
      <c r="G7" s="130"/>
      <c r="H7" s="130"/>
      <c r="I7" s="130"/>
    </row>
    <row r="8" spans="2:9" ht="15.75" thickBot="1" x14ac:dyDescent="0.25"/>
    <row r="9" spans="2:9" ht="15.75" thickBot="1" x14ac:dyDescent="0.25">
      <c r="B9" s="38" t="s">
        <v>99</v>
      </c>
      <c r="C9" s="41" t="s">
        <v>100</v>
      </c>
      <c r="D9" s="38">
        <v>1</v>
      </c>
      <c r="E9" s="38">
        <v>2</v>
      </c>
      <c r="F9" s="38">
        <v>3</v>
      </c>
      <c r="G9" s="38">
        <v>12</v>
      </c>
      <c r="H9" s="38">
        <v>23</v>
      </c>
      <c r="I9" s="38">
        <v>13</v>
      </c>
    </row>
    <row r="10" spans="2:9" ht="15.75" thickBot="1" x14ac:dyDescent="0.25">
      <c r="B10" s="38" t="s">
        <v>100</v>
      </c>
      <c r="C10" s="98" t="s">
        <v>101</v>
      </c>
      <c r="D10" s="53" t="s">
        <v>102</v>
      </c>
      <c r="E10" s="53" t="s">
        <v>103</v>
      </c>
      <c r="F10" s="53" t="s">
        <v>104</v>
      </c>
      <c r="G10" s="53">
        <v>0</v>
      </c>
      <c r="H10" s="53">
        <v>0</v>
      </c>
      <c r="I10" s="52">
        <v>0</v>
      </c>
    </row>
    <row r="11" spans="2:9" ht="15.75" thickBot="1" x14ac:dyDescent="0.25">
      <c r="B11" s="38">
        <v>1</v>
      </c>
      <c r="C11" s="99">
        <v>0</v>
      </c>
      <c r="D11" s="28">
        <v>1</v>
      </c>
      <c r="E11" s="28">
        <f>0</f>
        <v>0</v>
      </c>
      <c r="F11" s="28">
        <f>0</f>
        <v>0</v>
      </c>
      <c r="G11" s="28">
        <f>0</f>
        <v>0</v>
      </c>
      <c r="H11" s="28">
        <f>0</f>
        <v>0</v>
      </c>
      <c r="I11" s="51">
        <f>0</f>
        <v>0</v>
      </c>
    </row>
    <row r="12" spans="2:9" ht="15.75" thickBot="1" x14ac:dyDescent="0.25">
      <c r="B12" s="38">
        <v>2</v>
      </c>
      <c r="C12" s="99">
        <v>0</v>
      </c>
      <c r="D12" s="28">
        <v>0</v>
      </c>
      <c r="E12" s="28" t="s">
        <v>105</v>
      </c>
      <c r="F12" s="28">
        <v>0</v>
      </c>
      <c r="G12" s="28" t="s">
        <v>102</v>
      </c>
      <c r="H12" s="28" t="s">
        <v>104</v>
      </c>
      <c r="I12" s="51">
        <v>0</v>
      </c>
    </row>
    <row r="13" spans="2:9" ht="15.75" thickBot="1" x14ac:dyDescent="0.25">
      <c r="B13" s="38">
        <v>3</v>
      </c>
      <c r="C13" s="99">
        <v>0</v>
      </c>
      <c r="D13" s="28">
        <v>0</v>
      </c>
      <c r="E13" s="28">
        <v>0</v>
      </c>
      <c r="F13" s="28" t="s">
        <v>106</v>
      </c>
      <c r="G13" s="28">
        <v>0</v>
      </c>
      <c r="H13" s="28" t="s">
        <v>103</v>
      </c>
      <c r="I13" s="51" t="s">
        <v>102</v>
      </c>
    </row>
    <row r="14" spans="2:9" ht="15.75" thickBot="1" x14ac:dyDescent="0.25">
      <c r="B14" s="38">
        <v>12</v>
      </c>
      <c r="C14" s="99">
        <v>0</v>
      </c>
      <c r="D14" s="28">
        <v>0</v>
      </c>
      <c r="E14" s="28">
        <v>0</v>
      </c>
      <c r="F14" s="28">
        <v>0</v>
      </c>
      <c r="G14" s="28">
        <v>1</v>
      </c>
      <c r="H14" s="28">
        <v>0</v>
      </c>
      <c r="I14" s="51">
        <v>0</v>
      </c>
    </row>
    <row r="15" spans="2:9" ht="15.75" thickBot="1" x14ac:dyDescent="0.25">
      <c r="B15" s="38">
        <v>23</v>
      </c>
      <c r="C15" s="99">
        <v>0</v>
      </c>
      <c r="D15" s="28">
        <v>0</v>
      </c>
      <c r="E15" s="28">
        <v>0</v>
      </c>
      <c r="F15" s="28">
        <v>0</v>
      </c>
      <c r="G15" s="28">
        <v>0</v>
      </c>
      <c r="H15" s="28">
        <v>1</v>
      </c>
      <c r="I15" s="51">
        <v>0</v>
      </c>
    </row>
    <row r="16" spans="2:9" ht="15.75" thickBot="1" x14ac:dyDescent="0.25">
      <c r="B16" s="38">
        <v>13</v>
      </c>
      <c r="C16" s="39">
        <v>0</v>
      </c>
      <c r="D16" s="34">
        <v>0</v>
      </c>
      <c r="E16" s="34">
        <v>0</v>
      </c>
      <c r="F16" s="34">
        <v>0</v>
      </c>
      <c r="G16" s="34">
        <v>0</v>
      </c>
      <c r="H16" s="34">
        <v>0</v>
      </c>
      <c r="I16" s="35">
        <v>1</v>
      </c>
    </row>
    <row r="17" spans="1:10" ht="15.75" thickBot="1" x14ac:dyDescent="0.25"/>
    <row r="18" spans="1:10" ht="15.75" thickBot="1" x14ac:dyDescent="0.25">
      <c r="B18" s="62" t="s">
        <v>107</v>
      </c>
      <c r="C18" s="59">
        <v>0.1</v>
      </c>
    </row>
    <row r="19" spans="1:10" ht="15.75" thickBot="1" x14ac:dyDescent="0.25">
      <c r="B19" s="62" t="s">
        <v>108</v>
      </c>
      <c r="C19" s="60">
        <v>0.15</v>
      </c>
    </row>
    <row r="20" spans="1:10" ht="15.75" thickBot="1" x14ac:dyDescent="0.25">
      <c r="B20" s="62" t="s">
        <v>109</v>
      </c>
      <c r="C20" s="61">
        <v>0.2</v>
      </c>
    </row>
    <row r="21" spans="1:10" ht="15.75" thickBot="1" x14ac:dyDescent="0.25"/>
    <row r="22" spans="1:10" ht="15.75" thickBot="1" x14ac:dyDescent="0.25">
      <c r="B22" s="38" t="s">
        <v>99</v>
      </c>
      <c r="C22" s="41" t="s">
        <v>100</v>
      </c>
      <c r="D22" s="38">
        <v>1</v>
      </c>
      <c r="E22" s="38">
        <v>2</v>
      </c>
      <c r="F22" s="38">
        <v>3</v>
      </c>
      <c r="G22" s="38">
        <v>12</v>
      </c>
      <c r="H22" s="38">
        <v>23</v>
      </c>
      <c r="I22" s="38">
        <v>13</v>
      </c>
      <c r="J22" s="55" t="s">
        <v>116</v>
      </c>
    </row>
    <row r="23" spans="1:10" ht="15.75" thickBot="1" x14ac:dyDescent="0.25">
      <c r="B23" s="38" t="s">
        <v>100</v>
      </c>
      <c r="C23" s="98">
        <f>1-C18-C19-C20</f>
        <v>0.55000000000000004</v>
      </c>
      <c r="D23" s="53">
        <f>C18</f>
        <v>0.1</v>
      </c>
      <c r="E23" s="53">
        <f>C19</f>
        <v>0.15</v>
      </c>
      <c r="F23" s="53">
        <f>C20</f>
        <v>0.2</v>
      </c>
      <c r="G23" s="53">
        <v>0</v>
      </c>
      <c r="H23" s="53">
        <v>0</v>
      </c>
      <c r="I23" s="52">
        <v>0</v>
      </c>
      <c r="J23" s="2">
        <f>SUM(C23:I23)</f>
        <v>1</v>
      </c>
    </row>
    <row r="24" spans="1:10" ht="15.75" thickBot="1" x14ac:dyDescent="0.25">
      <c r="B24" s="38">
        <v>1</v>
      </c>
      <c r="C24" s="99">
        <v>0</v>
      </c>
      <c r="D24" s="28">
        <v>1</v>
      </c>
      <c r="E24" s="28">
        <f>0</f>
        <v>0</v>
      </c>
      <c r="F24" s="28">
        <f>0</f>
        <v>0</v>
      </c>
      <c r="G24" s="28">
        <f>0</f>
        <v>0</v>
      </c>
      <c r="H24" s="28">
        <f>0</f>
        <v>0</v>
      </c>
      <c r="I24" s="51">
        <f>0</f>
        <v>0</v>
      </c>
      <c r="J24" s="2">
        <f t="shared" ref="J24:J29" si="0">SUM(C24:I24)</f>
        <v>1</v>
      </c>
    </row>
    <row r="25" spans="1:10" ht="15.75" thickBot="1" x14ac:dyDescent="0.25">
      <c r="B25" s="38">
        <v>2</v>
      </c>
      <c r="C25" s="99">
        <v>0</v>
      </c>
      <c r="D25" s="28">
        <v>0</v>
      </c>
      <c r="E25" s="28">
        <f>1-C18-C20</f>
        <v>0.7</v>
      </c>
      <c r="F25" s="28">
        <v>0</v>
      </c>
      <c r="G25" s="28">
        <f>C18</f>
        <v>0.1</v>
      </c>
      <c r="H25" s="28">
        <f>C20</f>
        <v>0.2</v>
      </c>
      <c r="I25" s="51">
        <v>0</v>
      </c>
      <c r="J25" s="2">
        <f t="shared" si="0"/>
        <v>1</v>
      </c>
    </row>
    <row r="26" spans="1:10" ht="15.75" thickBot="1" x14ac:dyDescent="0.25">
      <c r="B26" s="38">
        <v>3</v>
      </c>
      <c r="C26" s="99">
        <v>0</v>
      </c>
      <c r="D26" s="28">
        <v>0</v>
      </c>
      <c r="E26" s="28">
        <v>0</v>
      </c>
      <c r="F26" s="28">
        <f>1-C19-C18</f>
        <v>0.75</v>
      </c>
      <c r="G26" s="28">
        <v>0</v>
      </c>
      <c r="H26" s="28">
        <f>C19</f>
        <v>0.15</v>
      </c>
      <c r="I26" s="51">
        <f>C18</f>
        <v>0.1</v>
      </c>
      <c r="J26" s="2">
        <f t="shared" si="0"/>
        <v>1</v>
      </c>
    </row>
    <row r="27" spans="1:10" ht="15.75" thickBot="1" x14ac:dyDescent="0.25">
      <c r="B27" s="38">
        <v>12</v>
      </c>
      <c r="C27" s="99">
        <v>0</v>
      </c>
      <c r="D27" s="28">
        <v>0</v>
      </c>
      <c r="E27" s="28">
        <v>0</v>
      </c>
      <c r="F27" s="28">
        <v>0</v>
      </c>
      <c r="G27" s="28">
        <v>1</v>
      </c>
      <c r="H27" s="28">
        <v>0</v>
      </c>
      <c r="I27" s="51">
        <v>0</v>
      </c>
      <c r="J27" s="2">
        <f t="shared" si="0"/>
        <v>1</v>
      </c>
    </row>
    <row r="28" spans="1:10" ht="15.75" thickBot="1" x14ac:dyDescent="0.25">
      <c r="B28" s="38">
        <v>23</v>
      </c>
      <c r="C28" s="99">
        <v>0</v>
      </c>
      <c r="D28" s="28">
        <v>0</v>
      </c>
      <c r="E28" s="28">
        <v>0</v>
      </c>
      <c r="F28" s="28">
        <v>0</v>
      </c>
      <c r="G28" s="28">
        <v>0</v>
      </c>
      <c r="H28" s="28">
        <v>1</v>
      </c>
      <c r="I28" s="51">
        <v>0</v>
      </c>
      <c r="J28" s="2">
        <f t="shared" si="0"/>
        <v>1</v>
      </c>
    </row>
    <row r="29" spans="1:10" ht="15.75" thickBot="1" x14ac:dyDescent="0.25">
      <c r="B29" s="38">
        <v>13</v>
      </c>
      <c r="C29" s="39">
        <v>0</v>
      </c>
      <c r="D29" s="34">
        <v>0</v>
      </c>
      <c r="E29" s="34">
        <v>0</v>
      </c>
      <c r="F29" s="34">
        <v>0</v>
      </c>
      <c r="G29" s="34">
        <v>0</v>
      </c>
      <c r="H29" s="34">
        <v>0</v>
      </c>
      <c r="I29" s="35">
        <v>1</v>
      </c>
      <c r="J29" s="2">
        <f t="shared" si="0"/>
        <v>1</v>
      </c>
    </row>
    <row r="30" spans="1:10" ht="15.75" thickBot="1" x14ac:dyDescent="0.25"/>
    <row r="31" spans="1:10" ht="15.75" thickBot="1" x14ac:dyDescent="0.25">
      <c r="A31" s="48"/>
      <c r="B31" s="38" t="s">
        <v>110</v>
      </c>
      <c r="C31" s="38" t="s">
        <v>111</v>
      </c>
      <c r="D31" s="38" t="s">
        <v>112</v>
      </c>
      <c r="E31" s="38" t="s">
        <v>113</v>
      </c>
      <c r="F31" s="38" t="s">
        <v>114</v>
      </c>
    </row>
    <row r="32" spans="1:10" x14ac:dyDescent="0.2">
      <c r="A32" s="64" t="s">
        <v>100</v>
      </c>
      <c r="B32" s="102">
        <v>1</v>
      </c>
      <c r="C32" s="102">
        <f t="array" ref="C32:C38">MMULT(TRANSPOSE(C23:I29),B32:B38)</f>
        <v>0.55000000000000004</v>
      </c>
      <c r="D32" s="102">
        <f t="array" ref="D32:D38">MMULT(TRANSPOSE(C23:I29),C32:C38)</f>
        <v>0.30250000000000005</v>
      </c>
      <c r="E32" s="102">
        <f t="array" ref="E32:E38">MMULT(TRANSPOSE(C23:I29),D32:D38)</f>
        <v>0.16637500000000005</v>
      </c>
      <c r="F32" s="104">
        <f t="array" ref="F32:F38">MMULT(TRANSPOSE(C23:I29),E32:E38)</f>
        <v>9.1506250000000039E-2</v>
      </c>
    </row>
    <row r="33" spans="1:10" x14ac:dyDescent="0.2">
      <c r="A33" s="64">
        <v>1</v>
      </c>
      <c r="B33" s="100">
        <v>0</v>
      </c>
      <c r="C33" s="102">
        <v>0.1</v>
      </c>
      <c r="D33" s="100">
        <v>0.15500000000000003</v>
      </c>
      <c r="E33" s="100">
        <v>0.18525000000000003</v>
      </c>
      <c r="F33" s="100">
        <v>0.20188750000000003</v>
      </c>
    </row>
    <row r="34" spans="1:10" x14ac:dyDescent="0.2">
      <c r="A34" s="64">
        <v>2</v>
      </c>
      <c r="B34" s="100">
        <v>0</v>
      </c>
      <c r="C34" s="102">
        <v>0.15</v>
      </c>
      <c r="D34" s="100">
        <v>0.1875</v>
      </c>
      <c r="E34" s="100">
        <v>0.17662499999999998</v>
      </c>
      <c r="F34" s="105">
        <v>0.14859374999999997</v>
      </c>
    </row>
    <row r="35" spans="1:10" x14ac:dyDescent="0.2">
      <c r="A35" s="64">
        <v>3</v>
      </c>
      <c r="B35" s="100">
        <v>0</v>
      </c>
      <c r="C35" s="102">
        <v>0.2</v>
      </c>
      <c r="D35" s="100">
        <v>0.26</v>
      </c>
      <c r="E35" s="100">
        <v>0.2555</v>
      </c>
      <c r="F35" s="105">
        <v>0.22489999999999999</v>
      </c>
    </row>
    <row r="36" spans="1:10" x14ac:dyDescent="0.2">
      <c r="A36" s="64">
        <v>12</v>
      </c>
      <c r="B36" s="100">
        <v>0</v>
      </c>
      <c r="C36" s="102">
        <v>0</v>
      </c>
      <c r="D36" s="100">
        <v>1.4999999999999999E-2</v>
      </c>
      <c r="E36" s="100">
        <v>3.3750000000000002E-2</v>
      </c>
      <c r="F36" s="100">
        <v>5.14125E-2</v>
      </c>
    </row>
    <row r="37" spans="1:10" x14ac:dyDescent="0.2">
      <c r="A37" s="64">
        <v>23</v>
      </c>
      <c r="B37" s="100">
        <v>0</v>
      </c>
      <c r="C37" s="102">
        <v>0</v>
      </c>
      <c r="D37" s="100">
        <v>0.06</v>
      </c>
      <c r="E37" s="100">
        <v>0.13650000000000001</v>
      </c>
      <c r="F37" s="100">
        <v>0.21015</v>
      </c>
    </row>
    <row r="38" spans="1:10" ht="15.75" thickBot="1" x14ac:dyDescent="0.25">
      <c r="A38" s="64">
        <v>13</v>
      </c>
      <c r="B38" s="101">
        <v>0</v>
      </c>
      <c r="C38" s="102">
        <v>0</v>
      </c>
      <c r="D38" s="101">
        <v>2.0000000000000004E-2</v>
      </c>
      <c r="E38" s="101">
        <v>4.6000000000000006E-2</v>
      </c>
      <c r="F38" s="101">
        <v>7.1550000000000002E-2</v>
      </c>
    </row>
    <row r="39" spans="1:10" x14ac:dyDescent="0.2">
      <c r="A39" s="64" t="s">
        <v>116</v>
      </c>
      <c r="B39" s="48">
        <f>SUM(B32:B38)</f>
        <v>1</v>
      </c>
      <c r="C39" s="48">
        <f t="shared" ref="C39:F39" si="1">SUM(C32:C38)</f>
        <v>1</v>
      </c>
      <c r="D39" s="48">
        <f t="shared" si="1"/>
        <v>1</v>
      </c>
      <c r="E39" s="48">
        <f t="shared" si="1"/>
        <v>1.0000000000000002</v>
      </c>
      <c r="F39" s="48">
        <f t="shared" si="1"/>
        <v>1</v>
      </c>
    </row>
    <row r="41" spans="1:10" x14ac:dyDescent="0.2">
      <c r="B41" s="129" t="s">
        <v>115</v>
      </c>
      <c r="C41" s="129"/>
      <c r="D41" s="129"/>
      <c r="E41" s="129"/>
      <c r="F41" s="129"/>
      <c r="G41" s="129"/>
      <c r="H41" s="129"/>
      <c r="I41" s="129"/>
      <c r="J41" s="103">
        <f>F32+F34+F35</f>
        <v>0.46499999999999997</v>
      </c>
    </row>
    <row r="44" spans="1:10" ht="18" x14ac:dyDescent="0.25">
      <c r="B44" s="132" t="s">
        <v>145</v>
      </c>
      <c r="C44" s="132"/>
      <c r="D44" s="132"/>
      <c r="E44" s="132"/>
      <c r="F44" s="132"/>
      <c r="G44" s="132"/>
      <c r="H44" s="132"/>
      <c r="I44" s="132"/>
      <c r="J44" s="132"/>
    </row>
  </sheetData>
  <mergeCells count="3">
    <mergeCell ref="B41:I41"/>
    <mergeCell ref="B7:I7"/>
    <mergeCell ref="B44:J44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A9B2F-97DE-46EE-B804-F0F45EA490D2}">
  <dimension ref="A9:N90"/>
  <sheetViews>
    <sheetView workbookViewId="0">
      <selection activeCell="N73" sqref="N73"/>
    </sheetView>
  </sheetViews>
  <sheetFormatPr baseColWidth="10" defaultRowHeight="15" x14ac:dyDescent="0.2"/>
  <cols>
    <col min="1" max="1" width="12.42578125" style="2" bestFit="1" customWidth="1"/>
    <col min="2" max="2" width="11.42578125" style="2"/>
    <col min="3" max="3" width="12.42578125" style="2" bestFit="1" customWidth="1"/>
    <col min="4" max="16384" width="11.42578125" style="2"/>
  </cols>
  <sheetData>
    <row r="9" spans="2:10" ht="15.75" thickBot="1" x14ac:dyDescent="0.25"/>
    <row r="10" spans="2:10" ht="15.75" thickBot="1" x14ac:dyDescent="0.25">
      <c r="B10" s="38" t="s">
        <v>99</v>
      </c>
      <c r="C10" s="41" t="s">
        <v>117</v>
      </c>
      <c r="D10" s="38">
        <v>1</v>
      </c>
      <c r="E10" s="38">
        <v>2</v>
      </c>
      <c r="F10" s="38">
        <v>3</v>
      </c>
      <c r="G10" s="38">
        <v>12</v>
      </c>
      <c r="H10" s="38">
        <v>13</v>
      </c>
      <c r="I10" s="38">
        <v>23</v>
      </c>
      <c r="J10" s="38">
        <v>123</v>
      </c>
    </row>
    <row r="11" spans="2:10" ht="15.75" thickBot="1" x14ac:dyDescent="0.25">
      <c r="B11" s="38" t="str">
        <f t="array" ref="B11:B18">TRANSPOSE(C10:J10)</f>
        <v>No failures</v>
      </c>
      <c r="C11" s="98" t="s">
        <v>101</v>
      </c>
      <c r="D11" s="53" t="s">
        <v>102</v>
      </c>
      <c r="E11" s="53" t="s">
        <v>103</v>
      </c>
      <c r="F11" s="53" t="s">
        <v>104</v>
      </c>
      <c r="G11" s="53">
        <v>0</v>
      </c>
      <c r="H11" s="53">
        <v>0</v>
      </c>
      <c r="I11" s="53">
        <v>0</v>
      </c>
      <c r="J11" s="52">
        <v>0</v>
      </c>
    </row>
    <row r="12" spans="2:10" ht="15.75" thickBot="1" x14ac:dyDescent="0.25">
      <c r="B12" s="38">
        <v>1</v>
      </c>
      <c r="C12" s="99">
        <v>0</v>
      </c>
      <c r="D12" s="28" t="s">
        <v>118</v>
      </c>
      <c r="E12" s="28">
        <v>0</v>
      </c>
      <c r="F12" s="28">
        <v>0</v>
      </c>
      <c r="G12" s="28" t="s">
        <v>103</v>
      </c>
      <c r="H12" s="28" t="s">
        <v>104</v>
      </c>
      <c r="I12" s="28">
        <v>0</v>
      </c>
      <c r="J12" s="51">
        <v>0</v>
      </c>
    </row>
    <row r="13" spans="2:10" ht="15.75" thickBot="1" x14ac:dyDescent="0.25">
      <c r="B13" s="38">
        <v>2</v>
      </c>
      <c r="C13" s="99">
        <v>0</v>
      </c>
      <c r="D13" s="28">
        <v>0</v>
      </c>
      <c r="E13" s="28" t="s">
        <v>105</v>
      </c>
      <c r="F13" s="28">
        <v>0</v>
      </c>
      <c r="G13" s="28" t="s">
        <v>102</v>
      </c>
      <c r="H13" s="28">
        <v>0</v>
      </c>
      <c r="I13" s="28" t="s">
        <v>104</v>
      </c>
      <c r="J13" s="51">
        <v>0</v>
      </c>
    </row>
    <row r="14" spans="2:10" ht="15.75" thickBot="1" x14ac:dyDescent="0.25">
      <c r="B14" s="38">
        <v>3</v>
      </c>
      <c r="C14" s="99">
        <v>0</v>
      </c>
      <c r="D14" s="28">
        <v>0</v>
      </c>
      <c r="E14" s="28">
        <v>0</v>
      </c>
      <c r="F14" s="28" t="s">
        <v>119</v>
      </c>
      <c r="G14" s="28">
        <v>0</v>
      </c>
      <c r="H14" s="28" t="s">
        <v>102</v>
      </c>
      <c r="I14" s="28" t="s">
        <v>103</v>
      </c>
      <c r="J14" s="51">
        <v>0</v>
      </c>
    </row>
    <row r="15" spans="2:10" ht="15.75" thickBot="1" x14ac:dyDescent="0.25">
      <c r="B15" s="38">
        <v>12</v>
      </c>
      <c r="C15" s="99">
        <v>0</v>
      </c>
      <c r="D15" s="28">
        <v>0</v>
      </c>
      <c r="E15" s="28">
        <v>0</v>
      </c>
      <c r="F15" s="28">
        <v>0</v>
      </c>
      <c r="G15" s="28" t="s">
        <v>120</v>
      </c>
      <c r="H15" s="28">
        <v>0</v>
      </c>
      <c r="I15" s="28">
        <v>0</v>
      </c>
      <c r="J15" s="51" t="s">
        <v>104</v>
      </c>
    </row>
    <row r="16" spans="2:10" ht="15.75" thickBot="1" x14ac:dyDescent="0.25">
      <c r="B16" s="38">
        <v>13</v>
      </c>
      <c r="C16" s="99">
        <v>0</v>
      </c>
      <c r="D16" s="28">
        <v>0</v>
      </c>
      <c r="E16" s="28">
        <v>0</v>
      </c>
      <c r="F16" s="28">
        <v>0</v>
      </c>
      <c r="G16" s="28">
        <v>0</v>
      </c>
      <c r="H16" s="28">
        <v>1</v>
      </c>
      <c r="I16" s="28">
        <v>0</v>
      </c>
      <c r="J16" s="51">
        <v>0</v>
      </c>
    </row>
    <row r="17" spans="2:11" ht="15.75" thickBot="1" x14ac:dyDescent="0.25">
      <c r="B17" s="38">
        <v>23</v>
      </c>
      <c r="C17" s="99">
        <v>0</v>
      </c>
      <c r="D17" s="28">
        <v>0</v>
      </c>
      <c r="E17" s="28">
        <v>0</v>
      </c>
      <c r="F17" s="28">
        <v>0</v>
      </c>
      <c r="G17" s="28">
        <v>0</v>
      </c>
      <c r="H17" s="28">
        <v>0</v>
      </c>
      <c r="I17" s="28">
        <v>1</v>
      </c>
      <c r="J17" s="51">
        <v>0</v>
      </c>
    </row>
    <row r="18" spans="2:11" ht="15.75" thickBot="1" x14ac:dyDescent="0.25">
      <c r="B18" s="38">
        <v>123</v>
      </c>
      <c r="C18" s="39">
        <v>0</v>
      </c>
      <c r="D18" s="34">
        <v>0</v>
      </c>
      <c r="E18" s="34">
        <v>0</v>
      </c>
      <c r="F18" s="34">
        <v>0</v>
      </c>
      <c r="G18" s="34">
        <v>0</v>
      </c>
      <c r="H18" s="34">
        <v>0</v>
      </c>
      <c r="I18" s="34">
        <v>0</v>
      </c>
      <c r="J18" s="35">
        <v>1</v>
      </c>
    </row>
    <row r="19" spans="2:11" ht="15.75" thickBot="1" x14ac:dyDescent="0.25"/>
    <row r="20" spans="2:11" ht="15.75" thickBot="1" x14ac:dyDescent="0.25">
      <c r="B20" s="62" t="s">
        <v>107</v>
      </c>
      <c r="C20" s="59">
        <v>0.15</v>
      </c>
    </row>
    <row r="21" spans="2:11" ht="15.75" thickBot="1" x14ac:dyDescent="0.25">
      <c r="B21" s="62" t="s">
        <v>108</v>
      </c>
      <c r="C21" s="60">
        <v>0.2</v>
      </c>
    </row>
    <row r="22" spans="2:11" ht="15.75" thickBot="1" x14ac:dyDescent="0.25">
      <c r="B22" s="62" t="s">
        <v>109</v>
      </c>
      <c r="C22" s="61">
        <v>0.05</v>
      </c>
    </row>
    <row r="23" spans="2:11" ht="15.75" thickBot="1" x14ac:dyDescent="0.25"/>
    <row r="24" spans="2:11" ht="15.75" thickBot="1" x14ac:dyDescent="0.25">
      <c r="B24" s="38" t="s">
        <v>99</v>
      </c>
      <c r="C24" s="41" t="s">
        <v>117</v>
      </c>
      <c r="D24" s="38">
        <v>1</v>
      </c>
      <c r="E24" s="38">
        <v>2</v>
      </c>
      <c r="F24" s="38">
        <v>3</v>
      </c>
      <c r="G24" s="38">
        <v>12</v>
      </c>
      <c r="H24" s="38">
        <v>13</v>
      </c>
      <c r="I24" s="38">
        <v>23</v>
      </c>
      <c r="J24" s="38">
        <v>123</v>
      </c>
      <c r="K24" s="55" t="s">
        <v>116</v>
      </c>
    </row>
    <row r="25" spans="2:11" ht="15.75" thickBot="1" x14ac:dyDescent="0.25">
      <c r="B25" s="38" t="str">
        <f t="array" ref="B25:B32">TRANSPOSE(C24:J24)</f>
        <v>No failures</v>
      </c>
      <c r="C25" s="98">
        <f>1-C20-C21-C22</f>
        <v>0.59999999999999987</v>
      </c>
      <c r="D25" s="53">
        <f>C20</f>
        <v>0.15</v>
      </c>
      <c r="E25" s="53">
        <f>C21</f>
        <v>0.2</v>
      </c>
      <c r="F25" s="53">
        <f>C22</f>
        <v>0.05</v>
      </c>
      <c r="G25" s="53">
        <v>0</v>
      </c>
      <c r="H25" s="53">
        <v>0</v>
      </c>
      <c r="I25" s="53">
        <v>0</v>
      </c>
      <c r="J25" s="52">
        <v>0</v>
      </c>
      <c r="K25" s="2">
        <f>SUM(C25:J25)</f>
        <v>1</v>
      </c>
    </row>
    <row r="26" spans="2:11" ht="15.75" thickBot="1" x14ac:dyDescent="0.25">
      <c r="B26" s="38">
        <v>1</v>
      </c>
      <c r="C26" s="99">
        <v>0</v>
      </c>
      <c r="D26" s="28">
        <f>1-C21-C22</f>
        <v>0.75</v>
      </c>
      <c r="E26" s="28">
        <v>0</v>
      </c>
      <c r="F26" s="28">
        <v>0</v>
      </c>
      <c r="G26" s="28">
        <f>C21</f>
        <v>0.2</v>
      </c>
      <c r="H26" s="28">
        <f>C22</f>
        <v>0.05</v>
      </c>
      <c r="I26" s="28">
        <v>0</v>
      </c>
      <c r="J26" s="51">
        <v>0</v>
      </c>
      <c r="K26" s="2">
        <f t="shared" ref="K26:K32" si="0">SUM(C26:J26)</f>
        <v>1</v>
      </c>
    </row>
    <row r="27" spans="2:11" ht="15.75" thickBot="1" x14ac:dyDescent="0.25">
      <c r="B27" s="38">
        <v>2</v>
      </c>
      <c r="C27" s="99">
        <v>0</v>
      </c>
      <c r="D27" s="28">
        <v>0</v>
      </c>
      <c r="E27" s="28">
        <f>1-C20-C22</f>
        <v>0.79999999999999993</v>
      </c>
      <c r="F27" s="28">
        <v>0</v>
      </c>
      <c r="G27" s="28">
        <f>C20</f>
        <v>0.15</v>
      </c>
      <c r="H27" s="28">
        <v>0</v>
      </c>
      <c r="I27" s="28">
        <f>C22</f>
        <v>0.05</v>
      </c>
      <c r="J27" s="51">
        <v>0</v>
      </c>
      <c r="K27" s="2">
        <f t="shared" si="0"/>
        <v>1</v>
      </c>
    </row>
    <row r="28" spans="2:11" ht="15.75" thickBot="1" x14ac:dyDescent="0.25">
      <c r="B28" s="38">
        <v>3</v>
      </c>
      <c r="C28" s="99">
        <v>0</v>
      </c>
      <c r="D28" s="28">
        <v>0</v>
      </c>
      <c r="E28" s="28">
        <v>0</v>
      </c>
      <c r="F28" s="28">
        <f>1-C20-C21</f>
        <v>0.64999999999999991</v>
      </c>
      <c r="G28" s="28">
        <v>0</v>
      </c>
      <c r="H28" s="28">
        <f>C20</f>
        <v>0.15</v>
      </c>
      <c r="I28" s="28">
        <f>C21</f>
        <v>0.2</v>
      </c>
      <c r="J28" s="51">
        <v>0</v>
      </c>
      <c r="K28" s="2">
        <f t="shared" si="0"/>
        <v>1</v>
      </c>
    </row>
    <row r="29" spans="2:11" ht="15.75" thickBot="1" x14ac:dyDescent="0.25">
      <c r="B29" s="38">
        <v>12</v>
      </c>
      <c r="C29" s="99">
        <v>0</v>
      </c>
      <c r="D29" s="28">
        <v>0</v>
      </c>
      <c r="E29" s="28">
        <v>0</v>
      </c>
      <c r="F29" s="28">
        <v>0</v>
      </c>
      <c r="G29" s="28">
        <f>1-C22</f>
        <v>0.95</v>
      </c>
      <c r="H29" s="28">
        <v>0</v>
      </c>
      <c r="I29" s="28">
        <v>0</v>
      </c>
      <c r="J29" s="51">
        <f>C22</f>
        <v>0.05</v>
      </c>
      <c r="K29" s="2">
        <f t="shared" si="0"/>
        <v>1</v>
      </c>
    </row>
    <row r="30" spans="2:11" ht="15.75" thickBot="1" x14ac:dyDescent="0.25">
      <c r="B30" s="38">
        <v>13</v>
      </c>
      <c r="C30" s="99">
        <v>0</v>
      </c>
      <c r="D30" s="28">
        <v>0</v>
      </c>
      <c r="E30" s="28">
        <v>0</v>
      </c>
      <c r="F30" s="28">
        <v>0</v>
      </c>
      <c r="G30" s="28">
        <v>0</v>
      </c>
      <c r="H30" s="28">
        <v>1</v>
      </c>
      <c r="I30" s="28">
        <v>0</v>
      </c>
      <c r="J30" s="51">
        <v>0</v>
      </c>
      <c r="K30" s="2">
        <f t="shared" si="0"/>
        <v>1</v>
      </c>
    </row>
    <row r="31" spans="2:11" ht="15.75" thickBot="1" x14ac:dyDescent="0.25">
      <c r="B31" s="38">
        <v>23</v>
      </c>
      <c r="C31" s="99">
        <v>0</v>
      </c>
      <c r="D31" s="28">
        <v>0</v>
      </c>
      <c r="E31" s="28">
        <v>0</v>
      </c>
      <c r="F31" s="28">
        <v>0</v>
      </c>
      <c r="G31" s="28">
        <v>0</v>
      </c>
      <c r="H31" s="28">
        <v>0</v>
      </c>
      <c r="I31" s="28">
        <v>1</v>
      </c>
      <c r="J31" s="51">
        <v>0</v>
      </c>
      <c r="K31" s="2">
        <f t="shared" si="0"/>
        <v>1</v>
      </c>
    </row>
    <row r="32" spans="2:11" ht="15.75" thickBot="1" x14ac:dyDescent="0.25">
      <c r="B32" s="38">
        <v>123</v>
      </c>
      <c r="C32" s="39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5">
        <v>1</v>
      </c>
      <c r="K32" s="2">
        <f t="shared" si="0"/>
        <v>1</v>
      </c>
    </row>
    <row r="33" spans="1:14" ht="15.75" thickBot="1" x14ac:dyDescent="0.25"/>
    <row r="34" spans="1:14" ht="15.75" thickBot="1" x14ac:dyDescent="0.25">
      <c r="B34" s="38" t="s">
        <v>110</v>
      </c>
      <c r="C34" s="38" t="s">
        <v>111</v>
      </c>
      <c r="D34" s="65" t="s">
        <v>112</v>
      </c>
      <c r="E34" s="38" t="s">
        <v>113</v>
      </c>
      <c r="F34" s="65" t="s">
        <v>114</v>
      </c>
      <c r="G34" s="38" t="s">
        <v>121</v>
      </c>
      <c r="H34" s="41" t="s">
        <v>122</v>
      </c>
    </row>
    <row r="35" spans="1:14" x14ac:dyDescent="0.2">
      <c r="A35" s="55" t="str">
        <f t="array" ref="A35:A42">TRANSPOSE(C24:J24)</f>
        <v>No failures</v>
      </c>
      <c r="B35" s="102">
        <v>1</v>
      </c>
      <c r="C35" s="102">
        <f t="array" ref="C35:C42">MMULT(TRANSPOSE(C25:J32),B35:B42)</f>
        <v>0.59999999999999987</v>
      </c>
      <c r="D35" s="108">
        <f t="array" ref="D35:D42">MMULT(TRANSPOSE(C25:J32),C35:C42)</f>
        <v>0.35999999999999982</v>
      </c>
      <c r="E35" s="102">
        <f t="array" ref="E35:E42">MMULT(TRANSPOSE(C25:J32),D35:D42)</f>
        <v>0.21599999999999983</v>
      </c>
      <c r="F35" s="108">
        <f t="array" ref="F35:F42">MMULT(TRANSPOSE(C25:J32),E35:E42)</f>
        <v>0.12959999999999988</v>
      </c>
      <c r="G35" s="102">
        <f t="array" ref="G35:G42">MMULT(TRANSPOSE(C25:J32),F35:F42)</f>
        <v>7.7759999999999913E-2</v>
      </c>
      <c r="H35" s="109">
        <f t="array" ref="H35:H42">MMULT(TRANSPOSE(C25:J32),G35:G42)</f>
        <v>4.6655999999999941E-2</v>
      </c>
    </row>
    <row r="36" spans="1:14" x14ac:dyDescent="0.2">
      <c r="A36" s="55">
        <v>1</v>
      </c>
      <c r="B36" s="100">
        <v>0</v>
      </c>
      <c r="C36" s="102">
        <v>0.15</v>
      </c>
      <c r="D36" s="106">
        <v>0.20249999999999996</v>
      </c>
      <c r="E36" s="100">
        <v>0.20587499999999995</v>
      </c>
      <c r="F36" s="106">
        <v>0.18680624999999995</v>
      </c>
      <c r="G36" s="100">
        <v>0.15954468749999995</v>
      </c>
      <c r="H36" s="110">
        <v>0.13132251562499994</v>
      </c>
    </row>
    <row r="37" spans="1:14" x14ac:dyDescent="0.2">
      <c r="A37" s="55">
        <v>2</v>
      </c>
      <c r="B37" s="100">
        <v>0</v>
      </c>
      <c r="C37" s="102">
        <v>0.2</v>
      </c>
      <c r="D37" s="106">
        <v>0.27999999999999997</v>
      </c>
      <c r="E37" s="100">
        <v>0.29599999999999993</v>
      </c>
      <c r="F37" s="106">
        <v>0.27999999999999992</v>
      </c>
      <c r="G37" s="100">
        <v>0.24991999999999989</v>
      </c>
      <c r="H37" s="110">
        <v>0.21548799999999987</v>
      </c>
    </row>
    <row r="38" spans="1:14" x14ac:dyDescent="0.2">
      <c r="A38" s="55">
        <v>3</v>
      </c>
      <c r="B38" s="100">
        <v>0</v>
      </c>
      <c r="C38" s="102">
        <v>0.05</v>
      </c>
      <c r="D38" s="106">
        <v>6.2499999999999986E-2</v>
      </c>
      <c r="E38" s="100">
        <v>5.8624999999999983E-2</v>
      </c>
      <c r="F38" s="106">
        <v>4.8906249999999971E-2</v>
      </c>
      <c r="G38" s="100">
        <v>3.8269062499999972E-2</v>
      </c>
      <c r="H38" s="110">
        <v>2.8762890624999975E-2</v>
      </c>
    </row>
    <row r="39" spans="1:14" x14ac:dyDescent="0.2">
      <c r="A39" s="55">
        <v>12</v>
      </c>
      <c r="B39" s="100">
        <v>0</v>
      </c>
      <c r="C39" s="102">
        <v>0</v>
      </c>
      <c r="D39" s="106">
        <v>0.06</v>
      </c>
      <c r="E39" s="100">
        <v>0.13949999999999999</v>
      </c>
      <c r="F39" s="106">
        <v>0.21809999999999996</v>
      </c>
      <c r="G39" s="100">
        <v>0.28655624999999996</v>
      </c>
      <c r="H39" s="110">
        <v>0.3416253749999999</v>
      </c>
    </row>
    <row r="40" spans="1:14" x14ac:dyDescent="0.2">
      <c r="A40" s="55">
        <v>13</v>
      </c>
      <c r="B40" s="100">
        <v>0</v>
      </c>
      <c r="C40" s="102">
        <v>0</v>
      </c>
      <c r="D40" s="106">
        <v>1.4999999999999999E-2</v>
      </c>
      <c r="E40" s="100">
        <v>3.4499999999999996E-2</v>
      </c>
      <c r="F40" s="106">
        <v>5.3587499999999989E-2</v>
      </c>
      <c r="G40" s="100">
        <v>7.0263749999999986E-2</v>
      </c>
      <c r="H40" s="60">
        <v>8.3981343749999979E-2</v>
      </c>
    </row>
    <row r="41" spans="1:14" x14ac:dyDescent="0.2">
      <c r="A41" s="55">
        <v>23</v>
      </c>
      <c r="B41" s="100">
        <v>0</v>
      </c>
      <c r="C41" s="102">
        <v>0</v>
      </c>
      <c r="D41" s="106">
        <v>2.0000000000000004E-2</v>
      </c>
      <c r="E41" s="100">
        <v>4.65E-2</v>
      </c>
      <c r="F41" s="106">
        <v>7.3024999999999993E-2</v>
      </c>
      <c r="G41" s="100">
        <v>9.6806249999999983E-2</v>
      </c>
      <c r="H41" s="60">
        <v>0.11695606249999997</v>
      </c>
    </row>
    <row r="42" spans="1:14" ht="15.75" thickBot="1" x14ac:dyDescent="0.25">
      <c r="A42" s="55">
        <v>123</v>
      </c>
      <c r="B42" s="101">
        <v>0</v>
      </c>
      <c r="C42" s="102">
        <v>0</v>
      </c>
      <c r="D42" s="107">
        <v>0</v>
      </c>
      <c r="E42" s="101">
        <v>3.0000000000000001E-3</v>
      </c>
      <c r="F42" s="107">
        <v>9.9749999999999995E-3</v>
      </c>
      <c r="G42" s="101">
        <v>2.0879999999999996E-2</v>
      </c>
      <c r="H42" s="61">
        <v>3.5207812499999991E-2</v>
      </c>
    </row>
    <row r="43" spans="1:14" x14ac:dyDescent="0.2">
      <c r="A43" s="55" t="s">
        <v>116</v>
      </c>
      <c r="B43" s="2">
        <f>SUM(B35:B42)</f>
        <v>1</v>
      </c>
      <c r="C43" s="2">
        <f t="shared" ref="C43:H43" si="1">SUM(C35:C42)</f>
        <v>1</v>
      </c>
      <c r="D43" s="2">
        <f t="shared" si="1"/>
        <v>0.99999999999999989</v>
      </c>
      <c r="E43" s="2">
        <f t="shared" si="1"/>
        <v>0.99999999999999967</v>
      </c>
      <c r="F43" s="2">
        <f t="shared" si="1"/>
        <v>0.99999999999999967</v>
      </c>
      <c r="G43" s="2">
        <f t="shared" si="1"/>
        <v>0.99999999999999967</v>
      </c>
      <c r="H43" s="2">
        <f t="shared" si="1"/>
        <v>0.99999999999999956</v>
      </c>
    </row>
    <row r="45" spans="1:14" x14ac:dyDescent="0.2">
      <c r="B45" s="129" t="s">
        <v>123</v>
      </c>
      <c r="C45" s="129"/>
      <c r="D45" s="129"/>
      <c r="E45" s="129"/>
      <c r="F45" s="129"/>
      <c r="G45" s="129"/>
      <c r="H45" s="129"/>
      <c r="I45" s="129"/>
      <c r="J45" s="129"/>
      <c r="K45" s="129"/>
      <c r="L45" s="129"/>
      <c r="M45" s="129"/>
      <c r="N45" s="103">
        <f>SUM(H35:H39)</f>
        <v>0.76385478124999961</v>
      </c>
    </row>
    <row r="57" spans="2:9" ht="15.75" thickBot="1" x14ac:dyDescent="0.25"/>
    <row r="58" spans="2:9" ht="15.75" thickBot="1" x14ac:dyDescent="0.25">
      <c r="B58" s="38" t="s">
        <v>99</v>
      </c>
      <c r="C58" s="41" t="s">
        <v>100</v>
      </c>
      <c r="D58" s="38">
        <v>1</v>
      </c>
      <c r="E58" s="38">
        <v>2</v>
      </c>
      <c r="F58" s="38">
        <v>3</v>
      </c>
      <c r="G58" s="38">
        <v>12</v>
      </c>
      <c r="H58" s="38">
        <v>13</v>
      </c>
      <c r="I58" s="38">
        <v>23</v>
      </c>
    </row>
    <row r="59" spans="2:9" ht="15.75" thickBot="1" x14ac:dyDescent="0.25">
      <c r="B59" s="38" t="str">
        <f t="array" ref="B59:B65">TRANSPOSE(C58:I58)</f>
        <v>No failure</v>
      </c>
      <c r="C59" s="98" t="s">
        <v>101</v>
      </c>
      <c r="D59" s="53" t="s">
        <v>102</v>
      </c>
      <c r="E59" s="53" t="s">
        <v>103</v>
      </c>
      <c r="F59" s="53" t="s">
        <v>104</v>
      </c>
      <c r="G59" s="53">
        <v>0</v>
      </c>
      <c r="H59" s="53">
        <v>0</v>
      </c>
      <c r="I59" s="52">
        <v>0</v>
      </c>
    </row>
    <row r="60" spans="2:9" ht="15.75" thickBot="1" x14ac:dyDescent="0.25">
      <c r="B60" s="38">
        <v>1</v>
      </c>
      <c r="C60" s="99">
        <v>0</v>
      </c>
      <c r="D60" s="28" t="s">
        <v>118</v>
      </c>
      <c r="E60" s="28">
        <v>0</v>
      </c>
      <c r="F60" s="28">
        <v>0</v>
      </c>
      <c r="G60" s="28" t="s">
        <v>103</v>
      </c>
      <c r="H60" s="28" t="s">
        <v>104</v>
      </c>
      <c r="I60" s="51">
        <v>0</v>
      </c>
    </row>
    <row r="61" spans="2:9" ht="15.75" thickBot="1" x14ac:dyDescent="0.25">
      <c r="B61" s="38">
        <v>2</v>
      </c>
      <c r="C61" s="99">
        <v>0</v>
      </c>
      <c r="D61" s="28">
        <v>0</v>
      </c>
      <c r="E61" s="28" t="s">
        <v>105</v>
      </c>
      <c r="F61" s="28">
        <v>0</v>
      </c>
      <c r="G61" s="28" t="s">
        <v>102</v>
      </c>
      <c r="H61" s="28">
        <v>0</v>
      </c>
      <c r="I61" s="51" t="s">
        <v>104</v>
      </c>
    </row>
    <row r="62" spans="2:9" ht="15.75" thickBot="1" x14ac:dyDescent="0.25">
      <c r="B62" s="38">
        <v>3</v>
      </c>
      <c r="C62" s="99">
        <v>0</v>
      </c>
      <c r="D62" s="28">
        <v>0</v>
      </c>
      <c r="E62" s="28">
        <v>0</v>
      </c>
      <c r="F62" s="28" t="s">
        <v>119</v>
      </c>
      <c r="G62" s="28">
        <v>0</v>
      </c>
      <c r="H62" s="28" t="s">
        <v>102</v>
      </c>
      <c r="I62" s="51" t="s">
        <v>103</v>
      </c>
    </row>
    <row r="63" spans="2:9" ht="15.75" thickBot="1" x14ac:dyDescent="0.25">
      <c r="B63" s="38">
        <v>12</v>
      </c>
      <c r="C63" s="99">
        <v>0</v>
      </c>
      <c r="D63" s="28">
        <v>0</v>
      </c>
      <c r="E63" s="28">
        <v>0</v>
      </c>
      <c r="F63" s="28">
        <v>0</v>
      </c>
      <c r="G63" s="28">
        <v>1</v>
      </c>
      <c r="H63" s="28">
        <v>0</v>
      </c>
      <c r="I63" s="51">
        <v>0</v>
      </c>
    </row>
    <row r="64" spans="2:9" ht="15.75" thickBot="1" x14ac:dyDescent="0.25">
      <c r="B64" s="38">
        <v>13</v>
      </c>
      <c r="C64" s="99">
        <v>0</v>
      </c>
      <c r="D64" s="28">
        <v>0</v>
      </c>
      <c r="E64" s="28">
        <v>0</v>
      </c>
      <c r="F64" s="28">
        <v>0</v>
      </c>
      <c r="G64" s="28">
        <v>0</v>
      </c>
      <c r="H64" s="28">
        <v>1</v>
      </c>
      <c r="I64" s="51">
        <v>0</v>
      </c>
    </row>
    <row r="65" spans="2:10" ht="15.75" thickBot="1" x14ac:dyDescent="0.25">
      <c r="B65" s="38">
        <v>23</v>
      </c>
      <c r="C65" s="39">
        <v>0</v>
      </c>
      <c r="D65" s="34">
        <v>0</v>
      </c>
      <c r="E65" s="34">
        <v>0</v>
      </c>
      <c r="F65" s="34">
        <v>0</v>
      </c>
      <c r="G65" s="34">
        <v>0</v>
      </c>
      <c r="H65" s="34">
        <v>0</v>
      </c>
      <c r="I65" s="35">
        <v>1</v>
      </c>
    </row>
    <row r="66" spans="2:10" ht="15.75" thickBot="1" x14ac:dyDescent="0.25"/>
    <row r="67" spans="2:10" ht="15.75" thickBot="1" x14ac:dyDescent="0.25">
      <c r="B67" s="38" t="s">
        <v>107</v>
      </c>
      <c r="C67" s="59">
        <v>0.15</v>
      </c>
    </row>
    <row r="68" spans="2:10" ht="15.75" thickBot="1" x14ac:dyDescent="0.25">
      <c r="B68" s="38" t="s">
        <v>108</v>
      </c>
      <c r="C68" s="60">
        <v>0.2</v>
      </c>
    </row>
    <row r="69" spans="2:10" ht="15.75" thickBot="1" x14ac:dyDescent="0.25">
      <c r="B69" s="38" t="s">
        <v>109</v>
      </c>
      <c r="C69" s="61">
        <v>0.05</v>
      </c>
    </row>
    <row r="70" spans="2:10" ht="15.75" thickBot="1" x14ac:dyDescent="0.25"/>
    <row r="71" spans="2:10" ht="15.75" thickBot="1" x14ac:dyDescent="0.25">
      <c r="B71" s="38" t="s">
        <v>99</v>
      </c>
      <c r="C71" s="41" t="s">
        <v>100</v>
      </c>
      <c r="D71" s="38">
        <v>1</v>
      </c>
      <c r="E71" s="38">
        <v>2</v>
      </c>
      <c r="F71" s="38">
        <v>3</v>
      </c>
      <c r="G71" s="38">
        <v>12</v>
      </c>
      <c r="H71" s="38">
        <v>13</v>
      </c>
      <c r="I71" s="38">
        <v>23</v>
      </c>
      <c r="J71" s="55" t="s">
        <v>116</v>
      </c>
    </row>
    <row r="72" spans="2:10" ht="15.75" thickBot="1" x14ac:dyDescent="0.25">
      <c r="B72" s="38" t="str">
        <f t="array" ref="B72:B78">TRANSPOSE(C71:I71)</f>
        <v>No failure</v>
      </c>
      <c r="C72" s="98">
        <f>1-SUM(C67:C69)</f>
        <v>0.60000000000000009</v>
      </c>
      <c r="D72" s="53">
        <f>C67</f>
        <v>0.15</v>
      </c>
      <c r="E72" s="53">
        <f>C68</f>
        <v>0.2</v>
      </c>
      <c r="F72" s="53">
        <f>C69</f>
        <v>0.05</v>
      </c>
      <c r="G72" s="53">
        <v>0</v>
      </c>
      <c r="H72" s="53">
        <v>0</v>
      </c>
      <c r="I72" s="52">
        <v>0</v>
      </c>
      <c r="J72" s="2">
        <f>SUM(C72:I72)</f>
        <v>1.0000000000000002</v>
      </c>
    </row>
    <row r="73" spans="2:10" ht="15.75" thickBot="1" x14ac:dyDescent="0.25">
      <c r="B73" s="38">
        <v>1</v>
      </c>
      <c r="C73" s="99">
        <v>0</v>
      </c>
      <c r="D73" s="28">
        <f>1-C68-C69</f>
        <v>0.75</v>
      </c>
      <c r="E73" s="28">
        <v>0</v>
      </c>
      <c r="F73" s="28">
        <v>0</v>
      </c>
      <c r="G73" s="28">
        <f>C68</f>
        <v>0.2</v>
      </c>
      <c r="H73" s="28">
        <f>C69</f>
        <v>0.05</v>
      </c>
      <c r="I73" s="51">
        <v>0</v>
      </c>
      <c r="J73" s="2">
        <f t="shared" ref="J73:J78" si="2">SUM(C73:I73)</f>
        <v>1</v>
      </c>
    </row>
    <row r="74" spans="2:10" ht="15.75" thickBot="1" x14ac:dyDescent="0.25">
      <c r="B74" s="38">
        <v>2</v>
      </c>
      <c r="C74" s="99">
        <v>0</v>
      </c>
      <c r="D74" s="28">
        <v>0</v>
      </c>
      <c r="E74" s="28">
        <f>1-C67-C69</f>
        <v>0.79999999999999993</v>
      </c>
      <c r="F74" s="28">
        <v>0</v>
      </c>
      <c r="G74" s="28">
        <f>C67</f>
        <v>0.15</v>
      </c>
      <c r="H74" s="28">
        <v>0</v>
      </c>
      <c r="I74" s="51">
        <f>C69</f>
        <v>0.05</v>
      </c>
      <c r="J74" s="2">
        <f t="shared" si="2"/>
        <v>1</v>
      </c>
    </row>
    <row r="75" spans="2:10" ht="15.75" thickBot="1" x14ac:dyDescent="0.25">
      <c r="B75" s="38">
        <v>3</v>
      </c>
      <c r="C75" s="99">
        <v>0</v>
      </c>
      <c r="D75" s="28">
        <v>0</v>
      </c>
      <c r="E75" s="28">
        <v>0</v>
      </c>
      <c r="F75" s="28">
        <f>1-C67-C68</f>
        <v>0.64999999999999991</v>
      </c>
      <c r="G75" s="28">
        <v>0</v>
      </c>
      <c r="H75" s="28">
        <f>C67</f>
        <v>0.15</v>
      </c>
      <c r="I75" s="51">
        <f>C68</f>
        <v>0.2</v>
      </c>
      <c r="J75" s="2">
        <f t="shared" si="2"/>
        <v>1</v>
      </c>
    </row>
    <row r="76" spans="2:10" ht="15.75" thickBot="1" x14ac:dyDescent="0.25">
      <c r="B76" s="38">
        <v>12</v>
      </c>
      <c r="C76" s="99">
        <v>0</v>
      </c>
      <c r="D76" s="28">
        <v>0</v>
      </c>
      <c r="E76" s="28">
        <v>0</v>
      </c>
      <c r="F76" s="28">
        <v>0</v>
      </c>
      <c r="G76" s="28">
        <v>1</v>
      </c>
      <c r="H76" s="28">
        <v>0</v>
      </c>
      <c r="I76" s="51">
        <v>0</v>
      </c>
      <c r="J76" s="2">
        <f t="shared" si="2"/>
        <v>1</v>
      </c>
    </row>
    <row r="77" spans="2:10" ht="15.75" thickBot="1" x14ac:dyDescent="0.25">
      <c r="B77" s="38">
        <v>13</v>
      </c>
      <c r="C77" s="99">
        <v>0</v>
      </c>
      <c r="D77" s="28">
        <v>0</v>
      </c>
      <c r="E77" s="28">
        <v>0</v>
      </c>
      <c r="F77" s="28">
        <v>0</v>
      </c>
      <c r="G77" s="28">
        <v>0</v>
      </c>
      <c r="H77" s="28">
        <v>1</v>
      </c>
      <c r="I77" s="51">
        <v>0</v>
      </c>
      <c r="J77" s="2">
        <f t="shared" si="2"/>
        <v>1</v>
      </c>
    </row>
    <row r="78" spans="2:10" ht="15.75" thickBot="1" x14ac:dyDescent="0.25">
      <c r="B78" s="38">
        <v>23</v>
      </c>
      <c r="C78" s="39">
        <v>0</v>
      </c>
      <c r="D78" s="34">
        <v>0</v>
      </c>
      <c r="E78" s="34">
        <v>0</v>
      </c>
      <c r="F78" s="34">
        <v>0</v>
      </c>
      <c r="G78" s="34">
        <v>0</v>
      </c>
      <c r="H78" s="34">
        <v>0</v>
      </c>
      <c r="I78" s="35">
        <v>1</v>
      </c>
      <c r="J78" s="2">
        <f t="shared" si="2"/>
        <v>1</v>
      </c>
    </row>
    <row r="79" spans="2:10" ht="15.75" thickBot="1" x14ac:dyDescent="0.25"/>
    <row r="80" spans="2:10" ht="15.75" thickBot="1" x14ac:dyDescent="0.25">
      <c r="B80" s="38" t="s">
        <v>110</v>
      </c>
      <c r="C80" s="38" t="s">
        <v>111</v>
      </c>
      <c r="D80" s="38" t="s">
        <v>112</v>
      </c>
      <c r="E80" s="38" t="s">
        <v>113</v>
      </c>
      <c r="F80" s="38" t="s">
        <v>114</v>
      </c>
      <c r="G80" s="38" t="s">
        <v>121</v>
      </c>
      <c r="H80" s="38" t="s">
        <v>122</v>
      </c>
    </row>
    <row r="81" spans="1:12" x14ac:dyDescent="0.2">
      <c r="A81" s="55" t="str">
        <f t="array" ref="A81:A87">TRANSPOSE(C71:I71)</f>
        <v>No failure</v>
      </c>
      <c r="B81" s="102">
        <v>1</v>
      </c>
      <c r="C81" s="102">
        <f t="array" ref="C81:C87">MMULT(TRANSPOSE(C72:I78),B81:B87)</f>
        <v>0.60000000000000009</v>
      </c>
      <c r="D81" s="102">
        <f t="array" ref="D81:D87">MMULT(TRANSPOSE(C72:I78),C81:C87)</f>
        <v>0.3600000000000001</v>
      </c>
      <c r="E81" s="102">
        <f t="array" ref="E81:E87">MMULT(TRANSPOSE(C72:I78),D81:D87)</f>
        <v>0.21600000000000008</v>
      </c>
      <c r="F81" s="102">
        <f t="array" ref="F81:F87">MMULT(TRANSPOSE(C72:I78),E81:E87)</f>
        <v>0.12960000000000008</v>
      </c>
      <c r="G81" s="102">
        <f t="array" ref="G81:G87">MMULT(TRANSPOSE(C72:I78),F81:F87)</f>
        <v>7.7760000000000051E-2</v>
      </c>
      <c r="H81" s="104">
        <f t="array" ref="H81:H87">MMULT(TRANSPOSE(C72:I78),G81:G87)</f>
        <v>4.6656000000000038E-2</v>
      </c>
    </row>
    <row r="82" spans="1:12" x14ac:dyDescent="0.2">
      <c r="A82" s="55">
        <v>1</v>
      </c>
      <c r="B82" s="100">
        <v>0</v>
      </c>
      <c r="C82" s="100">
        <v>0.15</v>
      </c>
      <c r="D82" s="100">
        <v>0.20250000000000001</v>
      </c>
      <c r="E82" s="100">
        <v>0.20587500000000003</v>
      </c>
      <c r="F82" s="100">
        <v>0.18680625000000003</v>
      </c>
      <c r="G82" s="100">
        <v>0.15954468750000003</v>
      </c>
      <c r="H82" s="105">
        <v>0.13132251562500002</v>
      </c>
    </row>
    <row r="83" spans="1:12" x14ac:dyDescent="0.2">
      <c r="A83" s="55">
        <v>2</v>
      </c>
      <c r="B83" s="100">
        <v>0</v>
      </c>
      <c r="C83" s="100">
        <v>0.2</v>
      </c>
      <c r="D83" s="100">
        <v>0.28000000000000003</v>
      </c>
      <c r="E83" s="100">
        <v>0.29600000000000004</v>
      </c>
      <c r="F83" s="100">
        <v>0.28000000000000003</v>
      </c>
      <c r="G83" s="100">
        <v>0.24992000000000003</v>
      </c>
      <c r="H83" s="105">
        <v>0.21548800000000001</v>
      </c>
    </row>
    <row r="84" spans="1:12" x14ac:dyDescent="0.2">
      <c r="A84" s="55">
        <v>3</v>
      </c>
      <c r="B84" s="100">
        <v>0</v>
      </c>
      <c r="C84" s="100">
        <v>0.05</v>
      </c>
      <c r="D84" s="100">
        <v>6.25E-2</v>
      </c>
      <c r="E84" s="100">
        <v>5.8624999999999997E-2</v>
      </c>
      <c r="F84" s="100">
        <v>4.8906249999999998E-2</v>
      </c>
      <c r="G84" s="100">
        <v>3.8269062499999999E-2</v>
      </c>
      <c r="H84" s="105">
        <v>2.8762890624999999E-2</v>
      </c>
    </row>
    <row r="85" spans="1:12" x14ac:dyDescent="0.2">
      <c r="A85" s="55">
        <v>12</v>
      </c>
      <c r="B85" s="100">
        <v>0</v>
      </c>
      <c r="C85" s="100">
        <v>0</v>
      </c>
      <c r="D85" s="100">
        <v>0.06</v>
      </c>
      <c r="E85" s="100">
        <v>0.14250000000000002</v>
      </c>
      <c r="F85" s="100">
        <v>0.22807500000000003</v>
      </c>
      <c r="G85" s="100">
        <v>0.30743625000000002</v>
      </c>
      <c r="H85" s="100">
        <v>0.37683318750000006</v>
      </c>
    </row>
    <row r="86" spans="1:12" x14ac:dyDescent="0.2">
      <c r="A86" s="55">
        <v>13</v>
      </c>
      <c r="B86" s="100">
        <v>0</v>
      </c>
      <c r="C86" s="100">
        <v>0</v>
      </c>
      <c r="D86" s="100">
        <v>1.4999999999999999E-2</v>
      </c>
      <c r="E86" s="100">
        <v>3.4500000000000003E-2</v>
      </c>
      <c r="F86" s="100">
        <v>5.3587500000000003E-2</v>
      </c>
      <c r="G86" s="100">
        <v>7.026375E-2</v>
      </c>
      <c r="H86" s="100">
        <v>8.3981343749999993E-2</v>
      </c>
    </row>
    <row r="87" spans="1:12" ht="15.75" thickBot="1" x14ac:dyDescent="0.25">
      <c r="A87" s="55">
        <v>23</v>
      </c>
      <c r="B87" s="101">
        <v>0</v>
      </c>
      <c r="C87" s="101">
        <v>0</v>
      </c>
      <c r="D87" s="101">
        <v>2.0000000000000004E-2</v>
      </c>
      <c r="E87" s="101">
        <v>4.6500000000000007E-2</v>
      </c>
      <c r="F87" s="101">
        <v>7.3025000000000007E-2</v>
      </c>
      <c r="G87" s="101">
        <v>9.680625000000001E-2</v>
      </c>
      <c r="H87" s="101">
        <v>0.11695606250000001</v>
      </c>
    </row>
    <row r="88" spans="1:12" x14ac:dyDescent="0.2">
      <c r="A88" s="55" t="s">
        <v>116</v>
      </c>
      <c r="B88" s="2">
        <f>SUM(B81:B87)</f>
        <v>1</v>
      </c>
      <c r="C88" s="2">
        <f t="shared" ref="C88:H88" si="3">SUM(C81:C87)</f>
        <v>1.0000000000000002</v>
      </c>
      <c r="D88" s="2">
        <f t="shared" si="3"/>
        <v>1</v>
      </c>
      <c r="E88" s="2">
        <f t="shared" si="3"/>
        <v>1.0000000000000002</v>
      </c>
      <c r="F88" s="2">
        <f t="shared" si="3"/>
        <v>1.0000000000000002</v>
      </c>
      <c r="G88" s="2">
        <f t="shared" si="3"/>
        <v>1.0000000000000002</v>
      </c>
      <c r="H88" s="2">
        <f t="shared" si="3"/>
        <v>1</v>
      </c>
    </row>
    <row r="90" spans="1:12" x14ac:dyDescent="0.2">
      <c r="B90" s="129" t="s">
        <v>124</v>
      </c>
      <c r="C90" s="129"/>
      <c r="D90" s="129"/>
      <c r="E90" s="129"/>
      <c r="F90" s="129"/>
      <c r="G90" s="129"/>
      <c r="H90" s="129"/>
      <c r="I90" s="129"/>
      <c r="J90" s="129"/>
      <c r="K90" s="129"/>
      <c r="L90" s="103">
        <f>SUM(H81:H84)</f>
        <v>0.42222940625000005</v>
      </c>
    </row>
  </sheetData>
  <mergeCells count="2">
    <mergeCell ref="B45:M45"/>
    <mergeCell ref="B90:K90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838FD-318B-4864-8ACB-3CF15BBC97DA}">
  <dimension ref="A8:R64"/>
  <sheetViews>
    <sheetView workbookViewId="0">
      <selection activeCell="H79" sqref="H79"/>
    </sheetView>
  </sheetViews>
  <sheetFormatPr baseColWidth="10" defaultRowHeight="15" x14ac:dyDescent="0.2"/>
  <cols>
    <col min="1" max="16384" width="11.42578125" style="2"/>
  </cols>
  <sheetData>
    <row r="8" spans="2:17" ht="15.75" thickBot="1" x14ac:dyDescent="0.25"/>
    <row r="9" spans="2:17" ht="15.75" thickBot="1" x14ac:dyDescent="0.25">
      <c r="B9" s="38" t="s">
        <v>99</v>
      </c>
      <c r="C9" s="38" t="s">
        <v>142</v>
      </c>
      <c r="D9" s="38" t="s">
        <v>125</v>
      </c>
      <c r="E9" s="38" t="s">
        <v>127</v>
      </c>
      <c r="F9" s="38" t="s">
        <v>128</v>
      </c>
      <c r="G9" s="38" t="s">
        <v>129</v>
      </c>
      <c r="H9" s="38" t="s">
        <v>130</v>
      </c>
      <c r="I9" s="131" t="s">
        <v>126</v>
      </c>
      <c r="J9" s="38" t="s">
        <v>131</v>
      </c>
      <c r="K9" s="38" t="s">
        <v>132</v>
      </c>
      <c r="L9" s="38" t="s">
        <v>133</v>
      </c>
      <c r="M9" s="38" t="s">
        <v>134</v>
      </c>
      <c r="N9" s="38" t="s">
        <v>135</v>
      </c>
      <c r="O9" s="38" t="s">
        <v>136</v>
      </c>
      <c r="P9" s="38" t="s">
        <v>137</v>
      </c>
      <c r="Q9" s="38" t="s">
        <v>138</v>
      </c>
    </row>
    <row r="10" spans="2:17" ht="15.75" thickBot="1" x14ac:dyDescent="0.25">
      <c r="B10" s="38" t="str">
        <f t="array" ref="B10:B24">TRANSPOSE(C9:Q9)</f>
        <v>No failure|</v>
      </c>
      <c r="C10" s="98" t="s">
        <v>139</v>
      </c>
      <c r="D10" s="53" t="s">
        <v>102</v>
      </c>
      <c r="E10" s="53" t="s">
        <v>103</v>
      </c>
      <c r="F10" s="53" t="s">
        <v>102</v>
      </c>
      <c r="G10" s="53" t="s">
        <v>103</v>
      </c>
      <c r="H10" s="53">
        <v>0</v>
      </c>
      <c r="I10" s="53">
        <v>0</v>
      </c>
      <c r="J10" s="53">
        <v>0</v>
      </c>
      <c r="K10" s="53">
        <v>0</v>
      </c>
      <c r="L10" s="53">
        <v>0</v>
      </c>
      <c r="M10" s="53">
        <v>0</v>
      </c>
      <c r="N10" s="53">
        <v>0</v>
      </c>
      <c r="O10" s="53">
        <v>0</v>
      </c>
      <c r="P10" s="53">
        <v>0</v>
      </c>
      <c r="Q10" s="52">
        <v>0</v>
      </c>
    </row>
    <row r="11" spans="2:17" ht="15.75" thickBot="1" x14ac:dyDescent="0.25">
      <c r="B11" s="38" t="str">
        <v>1|</v>
      </c>
      <c r="C11" s="99">
        <v>0</v>
      </c>
      <c r="D11" s="28" t="s">
        <v>140</v>
      </c>
      <c r="E11" s="28">
        <v>0</v>
      </c>
      <c r="F11" s="28">
        <v>0</v>
      </c>
      <c r="G11" s="28">
        <v>0</v>
      </c>
      <c r="H11" s="28" t="s">
        <v>103</v>
      </c>
      <c r="I11" s="28" t="s">
        <v>102</v>
      </c>
      <c r="J11" s="28" t="s">
        <v>103</v>
      </c>
      <c r="K11" s="28">
        <v>0</v>
      </c>
      <c r="L11" s="28">
        <v>0</v>
      </c>
      <c r="M11" s="28">
        <v>0</v>
      </c>
      <c r="N11" s="28">
        <v>0</v>
      </c>
      <c r="O11" s="28">
        <v>0</v>
      </c>
      <c r="P11" s="28">
        <v>0</v>
      </c>
      <c r="Q11" s="51">
        <v>0</v>
      </c>
    </row>
    <row r="12" spans="2:17" ht="15.75" thickBot="1" x14ac:dyDescent="0.25">
      <c r="B12" s="38" t="str">
        <v>2|</v>
      </c>
      <c r="C12" s="99">
        <v>0</v>
      </c>
      <c r="D12" s="28">
        <v>0</v>
      </c>
      <c r="E12" s="28" t="s">
        <v>141</v>
      </c>
      <c r="F12" s="28">
        <v>0</v>
      </c>
      <c r="G12" s="28">
        <v>0</v>
      </c>
      <c r="H12" s="28" t="s">
        <v>102</v>
      </c>
      <c r="I12" s="28">
        <v>0</v>
      </c>
      <c r="J12" s="28">
        <v>0</v>
      </c>
      <c r="K12" s="28" t="s">
        <v>102</v>
      </c>
      <c r="L12" s="28" t="s">
        <v>103</v>
      </c>
      <c r="M12" s="28">
        <v>0</v>
      </c>
      <c r="N12" s="28">
        <v>0</v>
      </c>
      <c r="O12" s="28">
        <v>0</v>
      </c>
      <c r="P12" s="28">
        <v>0</v>
      </c>
      <c r="Q12" s="51">
        <v>0</v>
      </c>
    </row>
    <row r="13" spans="2:17" ht="15.75" thickBot="1" x14ac:dyDescent="0.25">
      <c r="B13" s="38" t="str">
        <v>|1</v>
      </c>
      <c r="C13" s="99">
        <v>0</v>
      </c>
      <c r="D13" s="28">
        <v>0</v>
      </c>
      <c r="E13" s="28">
        <v>0</v>
      </c>
      <c r="F13" s="28" t="s">
        <v>140</v>
      </c>
      <c r="G13" s="28">
        <v>0</v>
      </c>
      <c r="H13" s="28">
        <v>0</v>
      </c>
      <c r="I13" s="28" t="s">
        <v>102</v>
      </c>
      <c r="J13" s="28">
        <v>0</v>
      </c>
      <c r="K13" s="28" t="s">
        <v>103</v>
      </c>
      <c r="L13" s="28">
        <v>0</v>
      </c>
      <c r="M13" s="28" t="s">
        <v>103</v>
      </c>
      <c r="N13" s="28">
        <v>0</v>
      </c>
      <c r="O13" s="28">
        <v>0</v>
      </c>
      <c r="P13" s="28">
        <v>0</v>
      </c>
      <c r="Q13" s="51">
        <v>0</v>
      </c>
    </row>
    <row r="14" spans="2:17" ht="15.75" thickBot="1" x14ac:dyDescent="0.25">
      <c r="B14" s="38" t="str">
        <v>|2</v>
      </c>
      <c r="C14" s="99">
        <v>0</v>
      </c>
      <c r="D14" s="28">
        <v>0</v>
      </c>
      <c r="E14" s="28">
        <v>0</v>
      </c>
      <c r="F14" s="28">
        <v>0</v>
      </c>
      <c r="G14" s="28" t="s">
        <v>141</v>
      </c>
      <c r="H14" s="28">
        <v>0</v>
      </c>
      <c r="I14" s="28">
        <v>0</v>
      </c>
      <c r="J14" s="28" t="s">
        <v>102</v>
      </c>
      <c r="K14" s="28">
        <v>0</v>
      </c>
      <c r="L14" s="28" t="s">
        <v>103</v>
      </c>
      <c r="M14" s="28" t="s">
        <v>102</v>
      </c>
      <c r="N14" s="28">
        <v>0</v>
      </c>
      <c r="O14" s="28">
        <v>0</v>
      </c>
      <c r="P14" s="28">
        <v>0</v>
      </c>
      <c r="Q14" s="51">
        <v>0</v>
      </c>
    </row>
    <row r="15" spans="2:17" ht="15.75" thickBot="1" x14ac:dyDescent="0.25">
      <c r="B15" s="38" t="str">
        <v>12|</v>
      </c>
      <c r="C15" s="99">
        <v>0</v>
      </c>
      <c r="D15" s="28">
        <v>0</v>
      </c>
      <c r="E15" s="28">
        <v>0</v>
      </c>
      <c r="F15" s="28">
        <v>0</v>
      </c>
      <c r="G15" s="28">
        <v>0</v>
      </c>
      <c r="H15" s="28" t="s">
        <v>119</v>
      </c>
      <c r="I15" s="28">
        <v>0</v>
      </c>
      <c r="J15" s="28">
        <v>0</v>
      </c>
      <c r="K15" s="28">
        <v>0</v>
      </c>
      <c r="L15" s="28">
        <v>0</v>
      </c>
      <c r="M15" s="28">
        <v>0</v>
      </c>
      <c r="N15" s="28" t="s">
        <v>102</v>
      </c>
      <c r="O15" s="28" t="s">
        <v>103</v>
      </c>
      <c r="P15" s="28">
        <v>0</v>
      </c>
      <c r="Q15" s="51">
        <v>0</v>
      </c>
    </row>
    <row r="16" spans="2:17" ht="15.75" thickBot="1" x14ac:dyDescent="0.25">
      <c r="B16" s="38" t="str">
        <v>1|1</v>
      </c>
      <c r="C16" s="99">
        <v>0</v>
      </c>
      <c r="D16" s="28">
        <v>0</v>
      </c>
      <c r="E16" s="28">
        <v>0</v>
      </c>
      <c r="F16" s="28">
        <v>0</v>
      </c>
      <c r="G16" s="28">
        <v>0</v>
      </c>
      <c r="H16" s="28">
        <v>0</v>
      </c>
      <c r="I16" s="28">
        <v>1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51">
        <v>0</v>
      </c>
    </row>
    <row r="17" spans="2:18" ht="15.75" thickBot="1" x14ac:dyDescent="0.25">
      <c r="B17" s="38" t="str">
        <v>1|2</v>
      </c>
      <c r="C17" s="99">
        <v>0</v>
      </c>
      <c r="D17" s="28">
        <v>0</v>
      </c>
      <c r="E17" s="28">
        <v>0</v>
      </c>
      <c r="F17" s="28">
        <v>0</v>
      </c>
      <c r="G17" s="28">
        <v>0</v>
      </c>
      <c r="H17" s="28">
        <v>0</v>
      </c>
      <c r="I17" s="28">
        <v>0</v>
      </c>
      <c r="J17" s="28">
        <v>1</v>
      </c>
      <c r="K17" s="28">
        <v>0</v>
      </c>
      <c r="L17" s="28">
        <v>0</v>
      </c>
      <c r="M17" s="28">
        <v>0</v>
      </c>
      <c r="N17" s="28">
        <v>0</v>
      </c>
      <c r="O17" s="28">
        <v>0</v>
      </c>
      <c r="P17" s="28">
        <v>0</v>
      </c>
      <c r="Q17" s="51">
        <v>0</v>
      </c>
    </row>
    <row r="18" spans="2:18" ht="15.75" thickBot="1" x14ac:dyDescent="0.25">
      <c r="B18" s="38" t="str">
        <v>2|1</v>
      </c>
      <c r="C18" s="99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8">
        <v>1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51">
        <v>0</v>
      </c>
    </row>
    <row r="19" spans="2:18" ht="15.75" thickBot="1" x14ac:dyDescent="0.25">
      <c r="B19" s="38" t="str">
        <v>2|2</v>
      </c>
      <c r="C19" s="99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8">
        <v>0</v>
      </c>
      <c r="L19" s="28">
        <v>1</v>
      </c>
      <c r="M19" s="28">
        <v>0</v>
      </c>
      <c r="N19" s="28">
        <v>0</v>
      </c>
      <c r="O19" s="28">
        <v>0</v>
      </c>
      <c r="P19" s="28">
        <v>0</v>
      </c>
      <c r="Q19" s="51">
        <v>0</v>
      </c>
    </row>
    <row r="20" spans="2:18" ht="15.75" thickBot="1" x14ac:dyDescent="0.25">
      <c r="B20" s="38" t="str">
        <v>|12</v>
      </c>
      <c r="C20" s="99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8">
        <v>0</v>
      </c>
      <c r="L20" s="28">
        <v>0</v>
      </c>
      <c r="M20" s="28" t="s">
        <v>119</v>
      </c>
      <c r="N20" s="28">
        <v>0</v>
      </c>
      <c r="O20" s="28">
        <v>0</v>
      </c>
      <c r="P20" s="28" t="s">
        <v>102</v>
      </c>
      <c r="Q20" s="51" t="s">
        <v>103</v>
      </c>
    </row>
    <row r="21" spans="2:18" ht="15.75" thickBot="1" x14ac:dyDescent="0.25">
      <c r="B21" s="38" t="str">
        <v>12|1</v>
      </c>
      <c r="C21" s="99">
        <v>0</v>
      </c>
      <c r="D21" s="28">
        <v>0</v>
      </c>
      <c r="E21" s="28">
        <v>0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0</v>
      </c>
      <c r="M21" s="28">
        <v>0</v>
      </c>
      <c r="N21" s="28">
        <v>1</v>
      </c>
      <c r="O21" s="28">
        <v>0</v>
      </c>
      <c r="P21" s="28">
        <v>0</v>
      </c>
      <c r="Q21" s="51">
        <v>0</v>
      </c>
    </row>
    <row r="22" spans="2:18" ht="15.75" thickBot="1" x14ac:dyDescent="0.25">
      <c r="B22" s="38" t="str">
        <v>12|2</v>
      </c>
      <c r="C22" s="99">
        <v>0</v>
      </c>
      <c r="D22" s="28">
        <v>0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1</v>
      </c>
      <c r="P22" s="28">
        <v>0</v>
      </c>
      <c r="Q22" s="51">
        <v>0</v>
      </c>
    </row>
    <row r="23" spans="2:18" ht="15.75" thickBot="1" x14ac:dyDescent="0.25">
      <c r="B23" s="38" t="str">
        <v>1|12</v>
      </c>
      <c r="C23" s="99">
        <v>0</v>
      </c>
      <c r="D23" s="28">
        <v>0</v>
      </c>
      <c r="E23" s="28">
        <v>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0</v>
      </c>
      <c r="N23" s="28">
        <v>0</v>
      </c>
      <c r="O23" s="28">
        <v>0</v>
      </c>
      <c r="P23" s="28">
        <v>1</v>
      </c>
      <c r="Q23" s="51">
        <v>0</v>
      </c>
    </row>
    <row r="24" spans="2:18" ht="15.75" thickBot="1" x14ac:dyDescent="0.25">
      <c r="B24" s="38" t="str">
        <v>2|12</v>
      </c>
      <c r="C24" s="39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5">
        <v>1</v>
      </c>
    </row>
    <row r="25" spans="2:18" ht="15.75" thickBot="1" x14ac:dyDescent="0.25"/>
    <row r="26" spans="2:18" ht="15.75" thickBot="1" x14ac:dyDescent="0.25">
      <c r="B26" s="62" t="s">
        <v>107</v>
      </c>
      <c r="C26" s="59">
        <v>0.15</v>
      </c>
    </row>
    <row r="27" spans="2:18" ht="15.75" thickBot="1" x14ac:dyDescent="0.25">
      <c r="B27" s="62" t="s">
        <v>108</v>
      </c>
      <c r="C27" s="61">
        <v>0.1</v>
      </c>
    </row>
    <row r="28" spans="2:18" ht="15.75" thickBot="1" x14ac:dyDescent="0.25"/>
    <row r="29" spans="2:18" ht="15.75" thickBot="1" x14ac:dyDescent="0.25">
      <c r="B29" s="38" t="s">
        <v>99</v>
      </c>
      <c r="C29" s="38" t="s">
        <v>142</v>
      </c>
      <c r="D29" s="38" t="s">
        <v>125</v>
      </c>
      <c r="E29" s="38" t="s">
        <v>127</v>
      </c>
      <c r="F29" s="38" t="s">
        <v>128</v>
      </c>
      <c r="G29" s="38" t="s">
        <v>129</v>
      </c>
      <c r="H29" s="38" t="s">
        <v>130</v>
      </c>
      <c r="I29" s="131" t="s">
        <v>126</v>
      </c>
      <c r="J29" s="38" t="s">
        <v>131</v>
      </c>
      <c r="K29" s="38" t="s">
        <v>132</v>
      </c>
      <c r="L29" s="38" t="s">
        <v>133</v>
      </c>
      <c r="M29" s="38" t="s">
        <v>134</v>
      </c>
      <c r="N29" s="38" t="s">
        <v>135</v>
      </c>
      <c r="O29" s="38" t="s">
        <v>136</v>
      </c>
      <c r="P29" s="38" t="s">
        <v>137</v>
      </c>
      <c r="Q29" s="38" t="s">
        <v>138</v>
      </c>
      <c r="R29" s="55" t="s">
        <v>116</v>
      </c>
    </row>
    <row r="30" spans="2:18" ht="15.75" thickBot="1" x14ac:dyDescent="0.25">
      <c r="B30" s="38" t="str">
        <f t="array" ref="B30:B44">TRANSPOSE(C29:Q29)</f>
        <v>No failure|</v>
      </c>
      <c r="C30" s="98">
        <f>1-2*C26-2*C27</f>
        <v>0.49999999999999994</v>
      </c>
      <c r="D30" s="53">
        <f>C26</f>
        <v>0.15</v>
      </c>
      <c r="E30" s="53">
        <f>C27</f>
        <v>0.1</v>
      </c>
      <c r="F30" s="53">
        <f>C26</f>
        <v>0.15</v>
      </c>
      <c r="G30" s="53">
        <f>C27</f>
        <v>0.1</v>
      </c>
      <c r="H30" s="53">
        <v>0</v>
      </c>
      <c r="I30" s="53">
        <v>0</v>
      </c>
      <c r="J30" s="53">
        <v>0</v>
      </c>
      <c r="K30" s="53">
        <v>0</v>
      </c>
      <c r="L30" s="53">
        <v>0</v>
      </c>
      <c r="M30" s="53">
        <v>0</v>
      </c>
      <c r="N30" s="53">
        <v>0</v>
      </c>
      <c r="O30" s="53">
        <v>0</v>
      </c>
      <c r="P30" s="53">
        <v>0</v>
      </c>
      <c r="Q30" s="52">
        <v>0</v>
      </c>
      <c r="R30" s="2">
        <f>SUM(C30:Q30)</f>
        <v>0.99999999999999989</v>
      </c>
    </row>
    <row r="31" spans="2:18" ht="15.75" thickBot="1" x14ac:dyDescent="0.25">
      <c r="B31" s="38" t="str">
        <v>1|</v>
      </c>
      <c r="C31" s="99">
        <v>0</v>
      </c>
      <c r="D31" s="28">
        <f>1-C26-2*C27</f>
        <v>0.64999999999999991</v>
      </c>
      <c r="E31" s="28">
        <v>0</v>
      </c>
      <c r="F31" s="28">
        <v>0</v>
      </c>
      <c r="G31" s="28">
        <v>0</v>
      </c>
      <c r="H31" s="28">
        <f>C27</f>
        <v>0.1</v>
      </c>
      <c r="I31" s="28">
        <f>C26</f>
        <v>0.15</v>
      </c>
      <c r="J31" s="28">
        <f>C27</f>
        <v>0.1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51">
        <v>0</v>
      </c>
      <c r="R31" s="2">
        <f t="shared" ref="R31:R44" si="0">SUM(C31:Q31)</f>
        <v>0.99999999999999989</v>
      </c>
    </row>
    <row r="32" spans="2:18" ht="15.75" thickBot="1" x14ac:dyDescent="0.25">
      <c r="B32" s="38" t="str">
        <v>2|</v>
      </c>
      <c r="C32" s="99">
        <v>0</v>
      </c>
      <c r="D32" s="28">
        <v>0</v>
      </c>
      <c r="E32" s="28">
        <f>1-2*C26-C27</f>
        <v>0.6</v>
      </c>
      <c r="F32" s="28">
        <v>0</v>
      </c>
      <c r="G32" s="28">
        <v>0</v>
      </c>
      <c r="H32" s="28">
        <f>C26</f>
        <v>0.15</v>
      </c>
      <c r="I32" s="28">
        <v>0</v>
      </c>
      <c r="J32" s="28">
        <v>0</v>
      </c>
      <c r="K32" s="28">
        <f>C26</f>
        <v>0.15</v>
      </c>
      <c r="L32" s="28">
        <f>C27</f>
        <v>0.1</v>
      </c>
      <c r="M32" s="28">
        <v>0</v>
      </c>
      <c r="N32" s="28">
        <v>0</v>
      </c>
      <c r="O32" s="28">
        <v>0</v>
      </c>
      <c r="P32" s="28">
        <v>0</v>
      </c>
      <c r="Q32" s="51">
        <v>0</v>
      </c>
      <c r="R32" s="2">
        <f t="shared" si="0"/>
        <v>1</v>
      </c>
    </row>
    <row r="33" spans="1:18" ht="15.75" thickBot="1" x14ac:dyDescent="0.25">
      <c r="B33" s="38" t="str">
        <v>|1</v>
      </c>
      <c r="C33" s="99">
        <v>0</v>
      </c>
      <c r="D33" s="28">
        <v>0</v>
      </c>
      <c r="E33" s="28">
        <v>0</v>
      </c>
      <c r="F33" s="28">
        <f>1-C26-2*C27</f>
        <v>0.64999999999999991</v>
      </c>
      <c r="G33" s="28">
        <v>0</v>
      </c>
      <c r="H33" s="28">
        <v>0</v>
      </c>
      <c r="I33" s="28">
        <f>C26</f>
        <v>0.15</v>
      </c>
      <c r="J33" s="28">
        <v>0</v>
      </c>
      <c r="K33" s="28">
        <f>C27</f>
        <v>0.1</v>
      </c>
      <c r="L33" s="28">
        <v>0</v>
      </c>
      <c r="M33" s="28">
        <f>C27</f>
        <v>0.1</v>
      </c>
      <c r="N33" s="28">
        <v>0</v>
      </c>
      <c r="O33" s="28">
        <v>0</v>
      </c>
      <c r="P33" s="28">
        <v>0</v>
      </c>
      <c r="Q33" s="51">
        <v>0</v>
      </c>
      <c r="R33" s="2">
        <f t="shared" si="0"/>
        <v>0.99999999999999989</v>
      </c>
    </row>
    <row r="34" spans="1:18" ht="15.75" thickBot="1" x14ac:dyDescent="0.25">
      <c r="B34" s="38" t="str">
        <v>|2</v>
      </c>
      <c r="C34" s="99">
        <v>0</v>
      </c>
      <c r="D34" s="28">
        <v>0</v>
      </c>
      <c r="E34" s="28">
        <v>0</v>
      </c>
      <c r="F34" s="28">
        <v>0</v>
      </c>
      <c r="G34" s="28">
        <f>1-2*C26-C27</f>
        <v>0.6</v>
      </c>
      <c r="H34" s="28">
        <v>0</v>
      </c>
      <c r="I34" s="28">
        <v>0</v>
      </c>
      <c r="J34" s="28">
        <f>C26</f>
        <v>0.15</v>
      </c>
      <c r="K34" s="28">
        <v>0</v>
      </c>
      <c r="L34" s="28">
        <f>C27</f>
        <v>0.1</v>
      </c>
      <c r="M34" s="28">
        <f>C26</f>
        <v>0.15</v>
      </c>
      <c r="N34" s="28">
        <v>0</v>
      </c>
      <c r="O34" s="28">
        <v>0</v>
      </c>
      <c r="P34" s="28">
        <v>0</v>
      </c>
      <c r="Q34" s="51">
        <v>0</v>
      </c>
      <c r="R34" s="2">
        <f t="shared" si="0"/>
        <v>1</v>
      </c>
    </row>
    <row r="35" spans="1:18" ht="15.75" thickBot="1" x14ac:dyDescent="0.25">
      <c r="B35" s="38" t="str">
        <v>12|</v>
      </c>
      <c r="C35" s="99">
        <v>0</v>
      </c>
      <c r="D35" s="28">
        <v>0</v>
      </c>
      <c r="E35" s="28">
        <v>0</v>
      </c>
      <c r="F35" s="28">
        <v>0</v>
      </c>
      <c r="G35" s="28">
        <v>0</v>
      </c>
      <c r="H35" s="28">
        <f>1-C26-C27</f>
        <v>0.75</v>
      </c>
      <c r="I35" s="28">
        <v>0</v>
      </c>
      <c r="J35" s="28">
        <v>0</v>
      </c>
      <c r="K35" s="28">
        <v>0</v>
      </c>
      <c r="L35" s="28">
        <v>0</v>
      </c>
      <c r="M35" s="28">
        <v>0</v>
      </c>
      <c r="N35" s="28">
        <f>C26</f>
        <v>0.15</v>
      </c>
      <c r="O35" s="28">
        <f>C27</f>
        <v>0.1</v>
      </c>
      <c r="P35" s="28">
        <v>0</v>
      </c>
      <c r="Q35" s="51">
        <v>0</v>
      </c>
      <c r="R35" s="2">
        <f t="shared" si="0"/>
        <v>1</v>
      </c>
    </row>
    <row r="36" spans="1:18" ht="15.75" thickBot="1" x14ac:dyDescent="0.25">
      <c r="B36" s="38" t="str">
        <v>1|1</v>
      </c>
      <c r="C36" s="99">
        <v>0</v>
      </c>
      <c r="D36" s="28">
        <v>0</v>
      </c>
      <c r="E36" s="28">
        <v>0</v>
      </c>
      <c r="F36" s="28">
        <v>0</v>
      </c>
      <c r="G36" s="28">
        <v>0</v>
      </c>
      <c r="H36" s="28">
        <v>0</v>
      </c>
      <c r="I36" s="28">
        <v>1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0</v>
      </c>
      <c r="P36" s="28">
        <v>0</v>
      </c>
      <c r="Q36" s="51">
        <v>0</v>
      </c>
      <c r="R36" s="2">
        <f t="shared" si="0"/>
        <v>1</v>
      </c>
    </row>
    <row r="37" spans="1:18" ht="15.75" thickBot="1" x14ac:dyDescent="0.25">
      <c r="B37" s="38" t="str">
        <v>1|2</v>
      </c>
      <c r="C37" s="99">
        <v>0</v>
      </c>
      <c r="D37" s="28">
        <v>0</v>
      </c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>
        <v>1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  <c r="P37" s="28">
        <v>0</v>
      </c>
      <c r="Q37" s="51">
        <v>0</v>
      </c>
      <c r="R37" s="2">
        <f t="shared" si="0"/>
        <v>1</v>
      </c>
    </row>
    <row r="38" spans="1:18" ht="15.75" thickBot="1" x14ac:dyDescent="0.25">
      <c r="B38" s="38" t="str">
        <v>2|1</v>
      </c>
      <c r="C38" s="99">
        <v>0</v>
      </c>
      <c r="D38" s="28">
        <v>0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1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51">
        <v>0</v>
      </c>
      <c r="R38" s="2">
        <f t="shared" si="0"/>
        <v>1</v>
      </c>
    </row>
    <row r="39" spans="1:18" ht="15.75" thickBot="1" x14ac:dyDescent="0.25">
      <c r="B39" s="38" t="str">
        <v>2|2</v>
      </c>
      <c r="C39" s="99">
        <v>0</v>
      </c>
      <c r="D39" s="28">
        <v>0</v>
      </c>
      <c r="E39" s="28">
        <v>0</v>
      </c>
      <c r="F39" s="28">
        <v>0</v>
      </c>
      <c r="G39" s="28">
        <v>0</v>
      </c>
      <c r="H39" s="28">
        <v>0</v>
      </c>
      <c r="I39" s="28">
        <v>0</v>
      </c>
      <c r="J39" s="28">
        <v>0</v>
      </c>
      <c r="K39" s="28">
        <v>0</v>
      </c>
      <c r="L39" s="28">
        <v>1</v>
      </c>
      <c r="M39" s="28">
        <v>0</v>
      </c>
      <c r="N39" s="28">
        <v>0</v>
      </c>
      <c r="O39" s="28">
        <v>0</v>
      </c>
      <c r="P39" s="28">
        <v>0</v>
      </c>
      <c r="Q39" s="51">
        <v>0</v>
      </c>
      <c r="R39" s="2">
        <f t="shared" si="0"/>
        <v>1</v>
      </c>
    </row>
    <row r="40" spans="1:18" ht="15.75" thickBot="1" x14ac:dyDescent="0.25">
      <c r="B40" s="38" t="str">
        <v>|12</v>
      </c>
      <c r="C40" s="99">
        <v>0</v>
      </c>
      <c r="D40" s="28">
        <v>0</v>
      </c>
      <c r="E40" s="28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0</v>
      </c>
      <c r="M40" s="28">
        <f>1-C26-C27</f>
        <v>0.75</v>
      </c>
      <c r="N40" s="28">
        <v>0</v>
      </c>
      <c r="O40" s="28">
        <v>0</v>
      </c>
      <c r="P40" s="28">
        <f>C26</f>
        <v>0.15</v>
      </c>
      <c r="Q40" s="51">
        <f>C27</f>
        <v>0.1</v>
      </c>
      <c r="R40" s="2">
        <f t="shared" si="0"/>
        <v>1</v>
      </c>
    </row>
    <row r="41" spans="1:18" ht="15.75" thickBot="1" x14ac:dyDescent="0.25">
      <c r="B41" s="38" t="str">
        <v>12|1</v>
      </c>
      <c r="C41" s="99">
        <v>0</v>
      </c>
      <c r="D41" s="28">
        <v>0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28">
        <v>1</v>
      </c>
      <c r="O41" s="28">
        <v>0</v>
      </c>
      <c r="P41" s="28">
        <v>0</v>
      </c>
      <c r="Q41" s="51">
        <v>0</v>
      </c>
      <c r="R41" s="2">
        <f t="shared" si="0"/>
        <v>1</v>
      </c>
    </row>
    <row r="42" spans="1:18" ht="15.75" thickBot="1" x14ac:dyDescent="0.25">
      <c r="B42" s="38" t="str">
        <v>12|2</v>
      </c>
      <c r="C42" s="99">
        <v>0</v>
      </c>
      <c r="D42" s="28">
        <v>0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  <c r="L42" s="28">
        <v>0</v>
      </c>
      <c r="M42" s="28">
        <v>0</v>
      </c>
      <c r="N42" s="28">
        <v>0</v>
      </c>
      <c r="O42" s="28">
        <v>1</v>
      </c>
      <c r="P42" s="28">
        <v>0</v>
      </c>
      <c r="Q42" s="51">
        <v>0</v>
      </c>
      <c r="R42" s="2">
        <f t="shared" si="0"/>
        <v>1</v>
      </c>
    </row>
    <row r="43" spans="1:18" ht="15.75" thickBot="1" x14ac:dyDescent="0.25">
      <c r="B43" s="38" t="str">
        <v>1|12</v>
      </c>
      <c r="C43" s="99">
        <v>0</v>
      </c>
      <c r="D43" s="28">
        <v>0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1</v>
      </c>
      <c r="Q43" s="51">
        <v>0</v>
      </c>
      <c r="R43" s="2">
        <f t="shared" si="0"/>
        <v>1</v>
      </c>
    </row>
    <row r="44" spans="1:18" ht="15.75" thickBot="1" x14ac:dyDescent="0.25">
      <c r="B44" s="38" t="str">
        <v>2|12</v>
      </c>
      <c r="C44" s="39">
        <v>0</v>
      </c>
      <c r="D44" s="34">
        <v>0</v>
      </c>
      <c r="E44" s="34">
        <v>0</v>
      </c>
      <c r="F44" s="34">
        <v>0</v>
      </c>
      <c r="G44" s="34">
        <v>0</v>
      </c>
      <c r="H44" s="34">
        <v>0</v>
      </c>
      <c r="I44" s="34">
        <v>0</v>
      </c>
      <c r="J44" s="34">
        <v>0</v>
      </c>
      <c r="K44" s="34">
        <v>0</v>
      </c>
      <c r="L44" s="34">
        <v>0</v>
      </c>
      <c r="M44" s="34">
        <v>0</v>
      </c>
      <c r="N44" s="34">
        <v>0</v>
      </c>
      <c r="O44" s="34">
        <v>0</v>
      </c>
      <c r="P44" s="34">
        <v>0</v>
      </c>
      <c r="Q44" s="35">
        <v>1</v>
      </c>
      <c r="R44" s="2">
        <f t="shared" si="0"/>
        <v>1</v>
      </c>
    </row>
    <row r="45" spans="1:18" ht="15.75" thickBot="1" x14ac:dyDescent="0.25"/>
    <row r="46" spans="1:18" ht="15.75" thickBot="1" x14ac:dyDescent="0.25">
      <c r="B46" s="38" t="s">
        <v>110</v>
      </c>
      <c r="C46" s="38" t="s">
        <v>111</v>
      </c>
      <c r="D46" s="38" t="s">
        <v>112</v>
      </c>
      <c r="E46" s="38" t="s">
        <v>113</v>
      </c>
      <c r="F46" s="38" t="s">
        <v>114</v>
      </c>
    </row>
    <row r="47" spans="1:18" x14ac:dyDescent="0.2">
      <c r="A47" s="55" t="str">
        <f t="array" ref="A47:A61">TRANSPOSE(C29:Q29)</f>
        <v>No failure|</v>
      </c>
      <c r="B47" s="102">
        <f>1</f>
        <v>1</v>
      </c>
      <c r="C47" s="102">
        <f t="array" ref="C47:C61">MMULT(TRANSPOSE(C30:Q44),B47:B61)</f>
        <v>0.49999999999999994</v>
      </c>
      <c r="D47" s="102">
        <f t="array" ref="D47:D61">MMULT(TRANSPOSE(C30:Q44),C47:C61)</f>
        <v>0.24999999999999994</v>
      </c>
      <c r="E47" s="102">
        <f t="array" ref="E47:E61">MMULT(TRANSPOSE(C30:Q44),D47:D61)</f>
        <v>0.12499999999999996</v>
      </c>
      <c r="F47" s="104">
        <f t="array" ref="F47:F61">MMULT(TRANSPOSE(C30:Q44),E47:E61)</f>
        <v>6.2499999999999972E-2</v>
      </c>
    </row>
    <row r="48" spans="1:18" x14ac:dyDescent="0.2">
      <c r="A48" s="55" t="str">
        <v>1|</v>
      </c>
      <c r="B48" s="100">
        <f>0</f>
        <v>0</v>
      </c>
      <c r="C48" s="100">
        <v>0.15</v>
      </c>
      <c r="D48" s="100">
        <v>0.17249999999999999</v>
      </c>
      <c r="E48" s="100">
        <v>0.14962499999999995</v>
      </c>
      <c r="F48" s="105">
        <v>0.11600624999999995</v>
      </c>
    </row>
    <row r="49" spans="1:18" x14ac:dyDescent="0.2">
      <c r="A49" s="55" t="str">
        <v>2|</v>
      </c>
      <c r="B49" s="100">
        <f>0</f>
        <v>0</v>
      </c>
      <c r="C49" s="100">
        <v>0.1</v>
      </c>
      <c r="D49" s="100">
        <v>0.10999999999999999</v>
      </c>
      <c r="E49" s="100">
        <v>9.0999999999999984E-2</v>
      </c>
      <c r="F49" s="105">
        <v>6.7099999999999993E-2</v>
      </c>
    </row>
    <row r="50" spans="1:18" x14ac:dyDescent="0.2">
      <c r="A50" s="55" t="str">
        <v>|1</v>
      </c>
      <c r="B50" s="100">
        <f>0</f>
        <v>0</v>
      </c>
      <c r="C50" s="100">
        <v>0.15</v>
      </c>
      <c r="D50" s="100">
        <v>0.17249999999999999</v>
      </c>
      <c r="E50" s="100">
        <v>0.14962499999999995</v>
      </c>
      <c r="F50" s="105">
        <v>0.11600624999999995</v>
      </c>
    </row>
    <row r="51" spans="1:18" x14ac:dyDescent="0.2">
      <c r="A51" s="55" t="str">
        <v>|2</v>
      </c>
      <c r="B51" s="100">
        <f>0</f>
        <v>0</v>
      </c>
      <c r="C51" s="100">
        <v>0.1</v>
      </c>
      <c r="D51" s="100">
        <v>0.10999999999999999</v>
      </c>
      <c r="E51" s="100">
        <v>9.0999999999999984E-2</v>
      </c>
      <c r="F51" s="105">
        <v>6.7099999999999993E-2</v>
      </c>
    </row>
    <row r="52" spans="1:18" x14ac:dyDescent="0.2">
      <c r="A52" s="55" t="str">
        <v>12|</v>
      </c>
      <c r="B52" s="100">
        <f>0</f>
        <v>0</v>
      </c>
      <c r="C52" s="100">
        <v>0</v>
      </c>
      <c r="D52" s="100">
        <v>0.03</v>
      </c>
      <c r="E52" s="100">
        <v>5.6249999999999994E-2</v>
      </c>
      <c r="F52" s="105">
        <v>7.0799999999999988E-2</v>
      </c>
    </row>
    <row r="53" spans="1:18" x14ac:dyDescent="0.2">
      <c r="A53" s="55" t="str">
        <v>1|1</v>
      </c>
      <c r="B53" s="100">
        <f>0</f>
        <v>0</v>
      </c>
      <c r="C53" s="100">
        <v>0</v>
      </c>
      <c r="D53" s="100">
        <v>4.4999999999999998E-2</v>
      </c>
      <c r="E53" s="100">
        <v>9.6750000000000003E-2</v>
      </c>
      <c r="F53" s="100">
        <v>0.14163749999999997</v>
      </c>
    </row>
    <row r="54" spans="1:18" x14ac:dyDescent="0.2">
      <c r="A54" s="55" t="str">
        <v>1|2</v>
      </c>
      <c r="B54" s="100">
        <f>0</f>
        <v>0</v>
      </c>
      <c r="C54" s="100">
        <v>0</v>
      </c>
      <c r="D54" s="100">
        <v>0.03</v>
      </c>
      <c r="E54" s="100">
        <v>6.3750000000000001E-2</v>
      </c>
      <c r="F54" s="100">
        <v>9.2362499999999986E-2</v>
      </c>
    </row>
    <row r="55" spans="1:18" x14ac:dyDescent="0.2">
      <c r="A55" s="55" t="str">
        <v>2|1</v>
      </c>
      <c r="B55" s="100">
        <f>0</f>
        <v>0</v>
      </c>
      <c r="C55" s="100">
        <v>0</v>
      </c>
      <c r="D55" s="100">
        <v>0.03</v>
      </c>
      <c r="E55" s="100">
        <v>6.3750000000000001E-2</v>
      </c>
      <c r="F55" s="100">
        <v>9.2362499999999986E-2</v>
      </c>
    </row>
    <row r="56" spans="1:18" x14ac:dyDescent="0.2">
      <c r="A56" s="55" t="str">
        <v>2|2</v>
      </c>
      <c r="B56" s="100">
        <f>0</f>
        <v>0</v>
      </c>
      <c r="C56" s="100">
        <v>0</v>
      </c>
      <c r="D56" s="100">
        <v>2.0000000000000004E-2</v>
      </c>
      <c r="E56" s="100">
        <v>4.2000000000000003E-2</v>
      </c>
      <c r="F56" s="100">
        <v>6.0200000000000004E-2</v>
      </c>
    </row>
    <row r="57" spans="1:18" x14ac:dyDescent="0.2">
      <c r="A57" s="55" t="str">
        <v>|12</v>
      </c>
      <c r="B57" s="100">
        <f>0</f>
        <v>0</v>
      </c>
      <c r="C57" s="100">
        <v>0</v>
      </c>
      <c r="D57" s="100">
        <v>0.03</v>
      </c>
      <c r="E57" s="100">
        <v>5.6249999999999994E-2</v>
      </c>
      <c r="F57" s="105">
        <v>7.0799999999999988E-2</v>
      </c>
    </row>
    <row r="58" spans="1:18" x14ac:dyDescent="0.2">
      <c r="A58" s="55" t="str">
        <v>12|1</v>
      </c>
      <c r="B58" s="100">
        <f>0</f>
        <v>0</v>
      </c>
      <c r="C58" s="100">
        <v>0</v>
      </c>
      <c r="D58" s="100">
        <v>0</v>
      </c>
      <c r="E58" s="100">
        <v>4.4999999999999997E-3</v>
      </c>
      <c r="F58" s="100">
        <v>1.2937499999999998E-2</v>
      </c>
    </row>
    <row r="59" spans="1:18" x14ac:dyDescent="0.2">
      <c r="A59" s="55" t="str">
        <v>12|2</v>
      </c>
      <c r="B59" s="100">
        <f>0</f>
        <v>0</v>
      </c>
      <c r="C59" s="100">
        <v>0</v>
      </c>
      <c r="D59" s="100">
        <v>0</v>
      </c>
      <c r="E59" s="100">
        <v>3.0000000000000001E-3</v>
      </c>
      <c r="F59" s="100">
        <v>8.6250000000000007E-3</v>
      </c>
    </row>
    <row r="60" spans="1:18" x14ac:dyDescent="0.2">
      <c r="A60" s="55" t="str">
        <v>1|12</v>
      </c>
      <c r="B60" s="100">
        <f>0</f>
        <v>0</v>
      </c>
      <c r="C60" s="100">
        <v>0</v>
      </c>
      <c r="D60" s="100">
        <v>0</v>
      </c>
      <c r="E60" s="100">
        <v>4.4999999999999997E-3</v>
      </c>
      <c r="F60" s="100">
        <v>1.2937499999999998E-2</v>
      </c>
    </row>
    <row r="61" spans="1:18" ht="15.75" thickBot="1" x14ac:dyDescent="0.25">
      <c r="A61" s="55" t="str">
        <v>2|12</v>
      </c>
      <c r="B61" s="101">
        <f>0</f>
        <v>0</v>
      </c>
      <c r="C61" s="101">
        <v>0</v>
      </c>
      <c r="D61" s="101">
        <v>0</v>
      </c>
      <c r="E61" s="101">
        <v>3.0000000000000001E-3</v>
      </c>
      <c r="F61" s="101">
        <v>8.6250000000000007E-3</v>
      </c>
    </row>
    <row r="62" spans="1:18" x14ac:dyDescent="0.2">
      <c r="A62" s="55" t="s">
        <v>116</v>
      </c>
      <c r="B62" s="2">
        <f>SUM(B47:B61)</f>
        <v>1</v>
      </c>
      <c r="C62" s="2">
        <f t="shared" ref="C62:F62" si="1">SUM(C47:C61)</f>
        <v>0.99999999999999989</v>
      </c>
      <c r="D62" s="2">
        <f t="shared" si="1"/>
        <v>1</v>
      </c>
      <c r="E62" s="2">
        <f t="shared" si="1"/>
        <v>0.99999999999999967</v>
      </c>
      <c r="F62" s="2">
        <f t="shared" si="1"/>
        <v>1</v>
      </c>
    </row>
    <row r="64" spans="1:18" x14ac:dyDescent="0.2">
      <c r="B64" s="129" t="s">
        <v>143</v>
      </c>
      <c r="C64" s="129"/>
      <c r="D64" s="129"/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03">
        <f>F47+F48+F49+F50+F51+F52+F57</f>
        <v>0.57031249999999989</v>
      </c>
    </row>
  </sheetData>
  <mergeCells count="1">
    <mergeCell ref="B64:Q6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28BD8-279B-46E0-9596-773718670529}">
  <dimension ref="A1"/>
  <sheetViews>
    <sheetView workbookViewId="0">
      <selection activeCell="K27" sqref="K27"/>
    </sheetView>
  </sheetViews>
  <sheetFormatPr baseColWidth="10" defaultRowHeight="15" x14ac:dyDescent="0.2"/>
  <cols>
    <col min="1" max="16384" width="11.42578125" style="2"/>
  </cols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3B9BB-CF17-4A26-8B84-1FC8845EDD42}">
  <dimension ref="A1"/>
  <sheetViews>
    <sheetView topLeftCell="A88" workbookViewId="0">
      <selection activeCell="U5" sqref="U5"/>
    </sheetView>
  </sheetViews>
  <sheetFormatPr baseColWidth="10" defaultRowHeight="15" x14ac:dyDescent="0.2"/>
  <cols>
    <col min="1" max="16384" width="11.42578125" style="2"/>
  </cols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9A768-9BB2-4DDB-A316-A1D927E3A5F1}">
  <dimension ref="B45:D45"/>
  <sheetViews>
    <sheetView topLeftCell="A100" workbookViewId="0">
      <selection activeCell="M118" sqref="M118"/>
    </sheetView>
  </sheetViews>
  <sheetFormatPr baseColWidth="10" defaultRowHeight="15" x14ac:dyDescent="0.2"/>
  <cols>
    <col min="1" max="16384" width="11.42578125" style="2"/>
  </cols>
  <sheetData>
    <row r="45" spans="2:4" ht="15.75" x14ac:dyDescent="0.25">
      <c r="B45" s="133" t="s">
        <v>146</v>
      </c>
      <c r="C45" s="134"/>
      <c r="D45" s="134"/>
    </row>
  </sheetData>
  <mergeCells count="1">
    <mergeCell ref="B45:D4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11</vt:i4>
      </vt:variant>
    </vt:vector>
  </HeadingPairs>
  <TitlesOfParts>
    <vt:vector size="11" baseType="lpstr">
      <vt:lpstr>Ex1.1</vt:lpstr>
      <vt:lpstr>Ex1.2</vt:lpstr>
      <vt:lpstr>Ex1.3</vt:lpstr>
      <vt:lpstr>Ex2.1</vt:lpstr>
      <vt:lpstr>Ex2.2</vt:lpstr>
      <vt:lpstr>Ex3.1</vt:lpstr>
      <vt:lpstr>Ex3.2</vt:lpstr>
      <vt:lpstr>Ex3.3</vt:lpstr>
      <vt:lpstr>Ex3.4</vt:lpstr>
      <vt:lpstr>Ex3.5</vt:lpstr>
      <vt:lpstr>Ex4.1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Romain Ducrocq</dc:creator>
  <cp:lastModifiedBy>Romain Ducrocq</cp:lastModifiedBy>
  <dcterms:created xsi:type="dcterms:W3CDTF">2015-06-05T18:19:34Z</dcterms:created>
  <dcterms:modified xsi:type="dcterms:W3CDTF">2021-03-22T17:07:45Z</dcterms:modified>
</cp:coreProperties>
</file>