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omai\Documents\reliability_and_maintenance\"/>
    </mc:Choice>
  </mc:AlternateContent>
  <xr:revisionPtr revIDLastSave="0" documentId="13_ncr:1_{7C62AD46-C682-47E3-832F-8AFB345C5CC9}" xr6:coauthVersionLast="46" xr6:coauthVersionMax="46" xr10:uidLastSave="{00000000-0000-0000-0000-000000000000}"/>
  <bookViews>
    <workbookView xWindow="-120" yWindow="-120" windowWidth="29040" windowHeight="14790" activeTab="10" xr2:uid="{00000000-000D-0000-FFFF-FFFF00000000}"/>
  </bookViews>
  <sheets>
    <sheet name="Ex 1.1" sheetId="1" r:id="rId1"/>
    <sheet name="Ex 1.2" sheetId="2" r:id="rId2"/>
    <sheet name="Ex 1.3" sheetId="7" r:id="rId3"/>
    <sheet name="Ex 1.4" sheetId="8" r:id="rId4"/>
    <sheet name="Ex 2.1" sheetId="3" r:id="rId5"/>
    <sheet name="Ex 2.2" sheetId="11" r:id="rId6"/>
    <sheet name="Ex 2.3" sheetId="10" r:id="rId7"/>
    <sheet name="Ex 2.4" sheetId="9" r:id="rId8"/>
    <sheet name="Ex 2.5" sheetId="4" r:id="rId9"/>
    <sheet name="Ex 2.6" sheetId="12" r:id="rId10"/>
    <sheet name="Ex 2.7" sheetId="13" r:id="rId11"/>
  </sheets>
  <definedNames>
    <definedName name="_xlnm.Print_Area" localSheetId="0">'Ex 1.1'!$B$4:$I$11</definedName>
    <definedName name="_xlnm.Print_Area" localSheetId="1">'Ex 1.2'!$M$4:$O$9</definedName>
    <definedName name="_xlnm.Print_Area" localSheetId="2">'Ex 1.3'!$I$4:$K$9</definedName>
    <definedName name="_xlnm.Print_Area" localSheetId="3">'Ex 1.4'!$C$4:$E$9</definedName>
    <definedName name="_xlnm.Print_Area" localSheetId="8">'Ex 2.5'!#REF!</definedName>
    <definedName name="_xlnm.Print_Area" localSheetId="9">'Ex 2.6'!#REF!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6" i="12" l="1"/>
  <c r="Z56" i="12"/>
  <c r="AA55" i="12"/>
  <c r="Z55" i="12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62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63" i="4"/>
  <c r="W62" i="4"/>
  <c r="F63" i="8"/>
  <c r="F64" i="8"/>
  <c r="F65" i="8"/>
  <c r="F62" i="8"/>
  <c r="F61" i="8"/>
  <c r="E62" i="8"/>
  <c r="E63" i="8"/>
  <c r="E64" i="8"/>
  <c r="E65" i="8"/>
  <c r="E61" i="8"/>
  <c r="D64" i="8"/>
  <c r="D63" i="8"/>
  <c r="D65" i="8"/>
  <c r="D61" i="8"/>
  <c r="D62" i="8"/>
  <c r="F51" i="8"/>
  <c r="F52" i="8"/>
  <c r="F53" i="8"/>
  <c r="F50" i="8"/>
  <c r="F49" i="8"/>
  <c r="E50" i="8"/>
  <c r="E51" i="8"/>
  <c r="E52" i="8"/>
  <c r="E53" i="8"/>
  <c r="E49" i="8"/>
  <c r="D52" i="8"/>
  <c r="D51" i="8"/>
  <c r="D53" i="8"/>
  <c r="D49" i="8"/>
  <c r="D50" i="8"/>
  <c r="N38" i="8"/>
  <c r="N37" i="8"/>
  <c r="N34" i="8"/>
  <c r="N35" i="8"/>
  <c r="N27" i="8"/>
  <c r="N24" i="8"/>
  <c r="N17" i="8"/>
  <c r="N18" i="8"/>
  <c r="N15" i="8"/>
  <c r="AC24" i="12"/>
  <c r="AA54" i="12"/>
  <c r="Z54" i="12"/>
  <c r="AF24" i="12" l="1"/>
  <c r="AC25" i="12"/>
  <c r="S38" i="12"/>
  <c r="S39" i="12" s="1"/>
  <c r="AE24" i="12" s="1"/>
  <c r="R37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24" i="12"/>
  <c r="N39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24" i="12"/>
  <c r="I38" i="12" s="1"/>
  <c r="E24" i="12"/>
  <c r="F24" i="12" s="1"/>
  <c r="N24" i="12" s="1"/>
  <c r="O24" i="12" s="1"/>
  <c r="P24" i="12" s="1"/>
  <c r="AF25" i="12" l="1"/>
  <c r="AE25" i="12"/>
  <c r="AC26" i="12"/>
  <c r="T25" i="12"/>
  <c r="U25" i="12" s="1"/>
  <c r="T26" i="12"/>
  <c r="U26" i="12" s="1"/>
  <c r="T27" i="12"/>
  <c r="U27" i="12" s="1"/>
  <c r="T28" i="12"/>
  <c r="U28" i="12" s="1"/>
  <c r="T29" i="12"/>
  <c r="U29" i="12" s="1"/>
  <c r="T30" i="12"/>
  <c r="U30" i="12" s="1"/>
  <c r="T31" i="12"/>
  <c r="U31" i="12" s="1"/>
  <c r="T32" i="12"/>
  <c r="U32" i="12" s="1"/>
  <c r="T33" i="12"/>
  <c r="U33" i="12" s="1"/>
  <c r="T34" i="12"/>
  <c r="U34" i="12" s="1"/>
  <c r="T35" i="12"/>
  <c r="U35" i="12" s="1"/>
  <c r="T36" i="12"/>
  <c r="U36" i="12" s="1"/>
  <c r="T37" i="12"/>
  <c r="U37" i="12" s="1"/>
  <c r="T24" i="12"/>
  <c r="U24" i="12" s="1"/>
  <c r="S41" i="12"/>
  <c r="S24" i="12"/>
  <c r="E25" i="12"/>
  <c r="S54" i="4"/>
  <c r="S55" i="4" s="1"/>
  <c r="R32" i="4"/>
  <c r="O32" i="4"/>
  <c r="N55" i="4"/>
  <c r="I32" i="4"/>
  <c r="E32" i="4"/>
  <c r="F32" i="4" s="1"/>
  <c r="C33" i="4"/>
  <c r="R33" i="4" s="1"/>
  <c r="AF26" i="12" l="1"/>
  <c r="AE26" i="12"/>
  <c r="AC27" i="12"/>
  <c r="V24" i="12"/>
  <c r="F25" i="12"/>
  <c r="E26" i="12"/>
  <c r="N32" i="4"/>
  <c r="S32" i="4"/>
  <c r="V57" i="4"/>
  <c r="S57" i="4"/>
  <c r="C34" i="4"/>
  <c r="R34" i="4" s="1"/>
  <c r="O33" i="4"/>
  <c r="E33" i="4"/>
  <c r="I33" i="4"/>
  <c r="P32" i="4"/>
  <c r="H21" i="9"/>
  <c r="G5" i="9"/>
  <c r="G6" i="9" s="1"/>
  <c r="G7" i="9" s="1"/>
  <c r="G8" i="9" s="1"/>
  <c r="G9" i="9" s="1"/>
  <c r="G10" i="9" s="1"/>
  <c r="G11" i="9" s="1"/>
  <c r="G12" i="9" s="1"/>
  <c r="G13" i="9" s="1"/>
  <c r="G14" i="9" s="1"/>
  <c r="H16" i="9" s="1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6" i="10"/>
  <c r="J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5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I5" i="11"/>
  <c r="J5" i="11" s="1"/>
  <c r="L5" i="11" s="1"/>
  <c r="G6" i="1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C27" i="3"/>
  <c r="C26" i="3"/>
  <c r="C25" i="3"/>
  <c r="C22" i="3"/>
  <c r="C21" i="3"/>
  <c r="C20" i="3"/>
  <c r="C17" i="3"/>
  <c r="C16" i="3"/>
  <c r="C15" i="3"/>
  <c r="C12" i="3"/>
  <c r="AF27" i="12" l="1"/>
  <c r="AE27" i="12"/>
  <c r="AC28" i="12"/>
  <c r="N25" i="12"/>
  <c r="O25" i="12" s="1"/>
  <c r="P25" i="12" s="1"/>
  <c r="S25" i="12"/>
  <c r="V25" i="12" s="1"/>
  <c r="F26" i="12"/>
  <c r="E27" i="12"/>
  <c r="F33" i="4"/>
  <c r="E34" i="4"/>
  <c r="P33" i="4"/>
  <c r="C35" i="4"/>
  <c r="R35" i="4" s="1"/>
  <c r="O34" i="4"/>
  <c r="I34" i="4"/>
  <c r="I6" i="11"/>
  <c r="J6" i="11" s="1"/>
  <c r="L6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5" i="9"/>
  <c r="C6" i="9" s="1"/>
  <c r="C7" i="9" s="1"/>
  <c r="C8" i="9" s="1"/>
  <c r="C9" i="9" s="1"/>
  <c r="C10" i="9" s="1"/>
  <c r="C11" i="9" s="1"/>
  <c r="C12" i="9" s="1"/>
  <c r="C13" i="9" s="1"/>
  <c r="C14" i="9" s="1"/>
  <c r="F36" i="8"/>
  <c r="F37" i="8"/>
  <c r="F38" i="8"/>
  <c r="F35" i="8"/>
  <c r="F34" i="8"/>
  <c r="E35" i="8"/>
  <c r="E36" i="8"/>
  <c r="E37" i="8"/>
  <c r="E38" i="8"/>
  <c r="E34" i="8"/>
  <c r="D39" i="8"/>
  <c r="F25" i="8"/>
  <c r="F26" i="8"/>
  <c r="F27" i="8"/>
  <c r="F24" i="8"/>
  <c r="F23" i="8"/>
  <c r="E24" i="8"/>
  <c r="E25" i="8"/>
  <c r="E26" i="8"/>
  <c r="E27" i="8"/>
  <c r="E23" i="8"/>
  <c r="D28" i="8"/>
  <c r="D24" i="8"/>
  <c r="D25" i="8"/>
  <c r="D27" i="8"/>
  <c r="D23" i="8"/>
  <c r="D26" i="8"/>
  <c r="D20" i="8"/>
  <c r="E16" i="8" s="1"/>
  <c r="D42" i="7"/>
  <c r="D46" i="7"/>
  <c r="D43" i="7"/>
  <c r="D45" i="7"/>
  <c r="D44" i="7"/>
  <c r="N26" i="7"/>
  <c r="N29" i="7"/>
  <c r="N27" i="7"/>
  <c r="D27" i="7"/>
  <c r="E27" i="7" s="1"/>
  <c r="D30" i="7"/>
  <c r="E30" i="7" s="1"/>
  <c r="D26" i="7"/>
  <c r="E26" i="7" s="1"/>
  <c r="D28" i="7"/>
  <c r="E28" i="7" s="1"/>
  <c r="D29" i="7"/>
  <c r="E29" i="7" s="1"/>
  <c r="N16" i="7"/>
  <c r="D60" i="7" s="1"/>
  <c r="N17" i="7"/>
  <c r="N19" i="7"/>
  <c r="D31" i="7"/>
  <c r="D20" i="7"/>
  <c r="E16" i="7" s="1"/>
  <c r="M36" i="2"/>
  <c r="D71" i="2"/>
  <c r="D70" i="2"/>
  <c r="D66" i="2"/>
  <c r="D65" i="2"/>
  <c r="D64" i="2"/>
  <c r="D68" i="2"/>
  <c r="D67" i="2"/>
  <c r="D69" i="2"/>
  <c r="F55" i="2"/>
  <c r="F56" i="2"/>
  <c r="F57" i="2"/>
  <c r="F58" i="2"/>
  <c r="F59" i="2"/>
  <c r="F60" i="2"/>
  <c r="F54" i="2"/>
  <c r="F53" i="2"/>
  <c r="E54" i="2"/>
  <c r="E55" i="2"/>
  <c r="E56" i="2"/>
  <c r="E57" i="2"/>
  <c r="E58" i="2"/>
  <c r="E59" i="2"/>
  <c r="E60" i="2"/>
  <c r="E53" i="2"/>
  <c r="D61" i="2"/>
  <c r="D60" i="2"/>
  <c r="D57" i="2"/>
  <c r="D54" i="2"/>
  <c r="D53" i="2"/>
  <c r="D55" i="2"/>
  <c r="D59" i="2"/>
  <c r="D56" i="2"/>
  <c r="D58" i="2"/>
  <c r="M41" i="2"/>
  <c r="M43" i="2"/>
  <c r="M48" i="2"/>
  <c r="M47" i="2"/>
  <c r="M35" i="2"/>
  <c r="M30" i="2"/>
  <c r="M32" i="2"/>
  <c r="M37" i="2"/>
  <c r="D49" i="2"/>
  <c r="E42" i="2" s="1"/>
  <c r="D34" i="2"/>
  <c r="D30" i="2"/>
  <c r="D35" i="2"/>
  <c r="D31" i="2"/>
  <c r="D33" i="2"/>
  <c r="D37" i="2"/>
  <c r="D32" i="2"/>
  <c r="D36" i="2"/>
  <c r="D27" i="2"/>
  <c r="E20" i="2" s="1"/>
  <c r="D18" i="1"/>
  <c r="D20" i="1" s="1"/>
  <c r="D21" i="1" s="1"/>
  <c r="E18" i="1"/>
  <c r="E20" i="1" s="1"/>
  <c r="E21" i="1" s="1"/>
  <c r="F18" i="1"/>
  <c r="F20" i="1" s="1"/>
  <c r="F21" i="1" s="1"/>
  <c r="G18" i="1"/>
  <c r="G20" i="1" s="1"/>
  <c r="G21" i="1" s="1"/>
  <c r="H18" i="1"/>
  <c r="H20" i="1" s="1"/>
  <c r="H21" i="1" s="1"/>
  <c r="I18" i="1"/>
  <c r="I20" i="1" s="1"/>
  <c r="I21" i="1" s="1"/>
  <c r="C18" i="1"/>
  <c r="C20" i="1" s="1"/>
  <c r="C21" i="1" s="1"/>
  <c r="C2" i="1"/>
  <c r="C1" i="1"/>
  <c r="D12" i="1" s="1"/>
  <c r="D13" i="1"/>
  <c r="D15" i="1" s="1"/>
  <c r="D16" i="1" s="1"/>
  <c r="E13" i="1"/>
  <c r="E15" i="1" s="1"/>
  <c r="F13" i="1"/>
  <c r="F15" i="1" s="1"/>
  <c r="G13" i="1"/>
  <c r="G15" i="1" s="1"/>
  <c r="H13" i="1"/>
  <c r="H15" i="1" s="1"/>
  <c r="I13" i="1"/>
  <c r="I15" i="1" s="1"/>
  <c r="C13" i="1"/>
  <c r="C15" i="1" s="1"/>
  <c r="AF28" i="12" l="1"/>
  <c r="AE28" i="12"/>
  <c r="AC29" i="12"/>
  <c r="D54" i="8"/>
  <c r="D66" i="8"/>
  <c r="C12" i="1"/>
  <c r="C16" i="1" s="1"/>
  <c r="I12" i="1"/>
  <c r="I16" i="1" s="1"/>
  <c r="H12" i="1"/>
  <c r="H16" i="1" s="1"/>
  <c r="G12" i="1"/>
  <c r="G16" i="1" s="1"/>
  <c r="F12" i="1"/>
  <c r="F16" i="1" s="1"/>
  <c r="E12" i="1"/>
  <c r="E16" i="1" s="1"/>
  <c r="C14" i="1"/>
  <c r="I14" i="1"/>
  <c r="H14" i="1"/>
  <c r="G14" i="1"/>
  <c r="F14" i="1"/>
  <c r="E14" i="1"/>
  <c r="D14" i="1"/>
  <c r="D17" i="1" s="1"/>
  <c r="D19" i="1"/>
  <c r="N26" i="12"/>
  <c r="O26" i="12" s="1"/>
  <c r="P26" i="12" s="1"/>
  <c r="S26" i="12"/>
  <c r="V26" i="12" s="1"/>
  <c r="F27" i="12"/>
  <c r="E28" i="12"/>
  <c r="N33" i="4"/>
  <c r="S33" i="4"/>
  <c r="C36" i="4"/>
  <c r="O35" i="4"/>
  <c r="I35" i="4"/>
  <c r="F34" i="4"/>
  <c r="E35" i="4"/>
  <c r="I7" i="11"/>
  <c r="J7" i="11" s="1"/>
  <c r="L7" i="11" s="1"/>
  <c r="E15" i="8"/>
  <c r="F15" i="8" s="1"/>
  <c r="F16" i="8" s="1"/>
  <c r="E19" i="8"/>
  <c r="E18" i="8"/>
  <c r="E17" i="8"/>
  <c r="F26" i="7"/>
  <c r="F27" i="7" s="1"/>
  <c r="F28" i="7" s="1"/>
  <c r="F29" i="7" s="1"/>
  <c r="F30" i="7" s="1"/>
  <c r="N30" i="7"/>
  <c r="D57" i="7" s="1"/>
  <c r="D47" i="7"/>
  <c r="E44" i="7" s="1"/>
  <c r="E15" i="7"/>
  <c r="E19" i="7"/>
  <c r="E18" i="7"/>
  <c r="E17" i="7"/>
  <c r="D72" i="2"/>
  <c r="E41" i="2"/>
  <c r="E48" i="2"/>
  <c r="E47" i="2"/>
  <c r="E46" i="2"/>
  <c r="E45" i="2"/>
  <c r="E44" i="2"/>
  <c r="E43" i="2"/>
  <c r="E26" i="2"/>
  <c r="E25" i="2"/>
  <c r="E24" i="2"/>
  <c r="E23" i="2"/>
  <c r="E22" i="2"/>
  <c r="E21" i="2"/>
  <c r="D38" i="2"/>
  <c r="E36" i="2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AF29" i="12" l="1"/>
  <c r="AE29" i="12"/>
  <c r="AC30" i="12"/>
  <c r="D22" i="1"/>
  <c r="E17" i="1"/>
  <c r="E19" i="1"/>
  <c r="F17" i="1"/>
  <c r="F19" i="1"/>
  <c r="G17" i="1"/>
  <c r="G19" i="1"/>
  <c r="H17" i="1"/>
  <c r="H19" i="1"/>
  <c r="I17" i="1"/>
  <c r="I19" i="1"/>
  <c r="C17" i="1"/>
  <c r="C19" i="1"/>
  <c r="N27" i="12"/>
  <c r="O27" i="12" s="1"/>
  <c r="P27" i="12" s="1"/>
  <c r="S27" i="12"/>
  <c r="V27" i="12" s="1"/>
  <c r="F28" i="12"/>
  <c r="E29" i="12"/>
  <c r="N34" i="4"/>
  <c r="S34" i="4"/>
  <c r="T36" i="4"/>
  <c r="U36" i="4" s="1"/>
  <c r="R36" i="4"/>
  <c r="F35" i="4"/>
  <c r="E36" i="4"/>
  <c r="P35" i="4"/>
  <c r="C37" i="4"/>
  <c r="O36" i="4"/>
  <c r="I36" i="4"/>
  <c r="P34" i="4"/>
  <c r="I8" i="11"/>
  <c r="J8" i="11" s="1"/>
  <c r="L8" i="11" s="1"/>
  <c r="F17" i="8"/>
  <c r="F18" i="8" s="1"/>
  <c r="F19" i="8" s="1"/>
  <c r="F15" i="7"/>
  <c r="F16" i="7" s="1"/>
  <c r="N18" i="7" s="1"/>
  <c r="D59" i="7" s="1"/>
  <c r="N15" i="7"/>
  <c r="D58" i="7" s="1"/>
  <c r="E42" i="7"/>
  <c r="F42" i="7" s="1"/>
  <c r="E46" i="7"/>
  <c r="E43" i="7"/>
  <c r="E45" i="7"/>
  <c r="N28" i="7"/>
  <c r="D56" i="7" s="1"/>
  <c r="F17" i="7"/>
  <c r="F18" i="7" s="1"/>
  <c r="F19" i="7" s="1"/>
  <c r="E65" i="2"/>
  <c r="E66" i="2"/>
  <c r="E67" i="2"/>
  <c r="E68" i="2"/>
  <c r="E69" i="2"/>
  <c r="E71" i="2"/>
  <c r="E64" i="2"/>
  <c r="F64" i="2" s="1"/>
  <c r="F65" i="2" s="1"/>
  <c r="F66" i="2" s="1"/>
  <c r="F67" i="2" s="1"/>
  <c r="F68" i="2" s="1"/>
  <c r="F69" i="2" s="1"/>
  <c r="E70" i="2"/>
  <c r="F41" i="2"/>
  <c r="F42" i="2" s="1"/>
  <c r="F43" i="2" s="1"/>
  <c r="F44" i="2" s="1"/>
  <c r="M44" i="2" s="1"/>
  <c r="E34" i="2"/>
  <c r="E30" i="2"/>
  <c r="E35" i="2"/>
  <c r="E31" i="2"/>
  <c r="E33" i="2"/>
  <c r="E37" i="2"/>
  <c r="E32" i="2"/>
  <c r="E19" i="2"/>
  <c r="AF30" i="12" l="1"/>
  <c r="AE30" i="12"/>
  <c r="AC31" i="12"/>
  <c r="C22" i="1"/>
  <c r="I22" i="1"/>
  <c r="H22" i="1"/>
  <c r="G22" i="1"/>
  <c r="F22" i="1"/>
  <c r="E22" i="1"/>
  <c r="N28" i="12"/>
  <c r="O28" i="12" s="1"/>
  <c r="P28" i="12" s="1"/>
  <c r="S28" i="12"/>
  <c r="V28" i="12" s="1"/>
  <c r="F29" i="12"/>
  <c r="E30" i="12"/>
  <c r="T37" i="4"/>
  <c r="U37" i="4" s="1"/>
  <c r="R37" i="4"/>
  <c r="N35" i="4"/>
  <c r="S35" i="4"/>
  <c r="C38" i="4"/>
  <c r="O37" i="4"/>
  <c r="I37" i="4"/>
  <c r="F36" i="4"/>
  <c r="E37" i="4"/>
  <c r="I9" i="11"/>
  <c r="J9" i="11" s="1"/>
  <c r="L9" i="11" s="1"/>
  <c r="D61" i="7"/>
  <c r="F43" i="7"/>
  <c r="F44" i="7" s="1"/>
  <c r="F45" i="7" s="1"/>
  <c r="F46" i="7" s="1"/>
  <c r="E58" i="7"/>
  <c r="E59" i="7"/>
  <c r="F70" i="2"/>
  <c r="F71" i="2" s="1"/>
  <c r="M45" i="2"/>
  <c r="M42" i="2"/>
  <c r="M46" i="2"/>
  <c r="F45" i="2"/>
  <c r="F46" i="2" s="1"/>
  <c r="F47" i="2" s="1"/>
  <c r="F48" i="2" s="1"/>
  <c r="F19" i="2"/>
  <c r="F20" i="2" s="1"/>
  <c r="F21" i="2" s="1"/>
  <c r="F22" i="2" s="1"/>
  <c r="F30" i="2"/>
  <c r="F31" i="2" s="1"/>
  <c r="F32" i="2" s="1"/>
  <c r="F33" i="2" s="1"/>
  <c r="AF31" i="12" l="1"/>
  <c r="AE31" i="12"/>
  <c r="AC32" i="12"/>
  <c r="N29" i="12"/>
  <c r="O29" i="12" s="1"/>
  <c r="P29" i="12" s="1"/>
  <c r="S29" i="12"/>
  <c r="V29" i="12" s="1"/>
  <c r="F30" i="12"/>
  <c r="E31" i="12"/>
  <c r="N36" i="4"/>
  <c r="S36" i="4"/>
  <c r="V36" i="4" s="1"/>
  <c r="T38" i="4"/>
  <c r="U38" i="4" s="1"/>
  <c r="R38" i="4"/>
  <c r="F37" i="4"/>
  <c r="E38" i="4"/>
  <c r="P37" i="4"/>
  <c r="C39" i="4"/>
  <c r="O38" i="4"/>
  <c r="I38" i="4"/>
  <c r="P36" i="4"/>
  <c r="I10" i="11"/>
  <c r="J10" i="11" s="1"/>
  <c r="L10" i="11" s="1"/>
  <c r="E60" i="7"/>
  <c r="E57" i="7"/>
  <c r="E56" i="7"/>
  <c r="F56" i="7" s="1"/>
  <c r="F57" i="7" s="1"/>
  <c r="F58" i="7" s="1"/>
  <c r="F59" i="7" s="1"/>
  <c r="F60" i="7" s="1"/>
  <c r="F34" i="2"/>
  <c r="F35" i="2" s="1"/>
  <c r="F36" i="2" s="1"/>
  <c r="F37" i="2" s="1"/>
  <c r="M21" i="2"/>
  <c r="M19" i="2"/>
  <c r="M22" i="2"/>
  <c r="M34" i="2"/>
  <c r="M33" i="2"/>
  <c r="M31" i="2"/>
  <c r="M24" i="2"/>
  <c r="F23" i="2"/>
  <c r="F24" i="2" s="1"/>
  <c r="F25" i="2" s="1"/>
  <c r="F26" i="2" s="1"/>
  <c r="Z58" i="12" l="1"/>
  <c r="Z57" i="12"/>
  <c r="AF32" i="12"/>
  <c r="AE32" i="12"/>
  <c r="AC33" i="12"/>
  <c r="N30" i="12"/>
  <c r="O30" i="12" s="1"/>
  <c r="P30" i="12" s="1"/>
  <c r="S30" i="12"/>
  <c r="V30" i="12" s="1"/>
  <c r="F31" i="12"/>
  <c r="E32" i="12"/>
  <c r="T39" i="4"/>
  <c r="U39" i="4" s="1"/>
  <c r="R39" i="4"/>
  <c r="N37" i="4"/>
  <c r="S37" i="4"/>
  <c r="V37" i="4" s="1"/>
  <c r="C40" i="4"/>
  <c r="O39" i="4"/>
  <c r="I39" i="4"/>
  <c r="F38" i="4"/>
  <c r="E39" i="4"/>
  <c r="I11" i="11"/>
  <c r="J11" i="11" s="1"/>
  <c r="L11" i="11" s="1"/>
  <c r="AF33" i="12" l="1"/>
  <c r="AE33" i="12"/>
  <c r="AC34" i="12"/>
  <c r="N31" i="12"/>
  <c r="O31" i="12" s="1"/>
  <c r="P31" i="12" s="1"/>
  <c r="S31" i="12"/>
  <c r="V31" i="12" s="1"/>
  <c r="F32" i="12"/>
  <c r="E33" i="12"/>
  <c r="N38" i="4"/>
  <c r="S38" i="4"/>
  <c r="V38" i="4" s="1"/>
  <c r="T40" i="4"/>
  <c r="U40" i="4" s="1"/>
  <c r="R40" i="4"/>
  <c r="F39" i="4"/>
  <c r="E40" i="4"/>
  <c r="P39" i="4"/>
  <c r="C41" i="4"/>
  <c r="O40" i="4"/>
  <c r="I40" i="4"/>
  <c r="P38" i="4"/>
  <c r="I12" i="11"/>
  <c r="J12" i="11" s="1"/>
  <c r="L12" i="11" s="1"/>
  <c r="AF34" i="12" l="1"/>
  <c r="AE34" i="12"/>
  <c r="AC35" i="12"/>
  <c r="N32" i="12"/>
  <c r="O32" i="12" s="1"/>
  <c r="P32" i="12" s="1"/>
  <c r="S32" i="12"/>
  <c r="V32" i="12" s="1"/>
  <c r="F33" i="12"/>
  <c r="E34" i="12"/>
  <c r="T41" i="4"/>
  <c r="U41" i="4" s="1"/>
  <c r="R41" i="4"/>
  <c r="N39" i="4"/>
  <c r="S39" i="4"/>
  <c r="V39" i="4" s="1"/>
  <c r="C42" i="4"/>
  <c r="O41" i="4"/>
  <c r="I41" i="4"/>
  <c r="F40" i="4"/>
  <c r="E41" i="4"/>
  <c r="I13" i="11"/>
  <c r="J13" i="11" s="1"/>
  <c r="L13" i="11" s="1"/>
  <c r="AF35" i="12" l="1"/>
  <c r="AE35" i="12"/>
  <c r="AC36" i="12"/>
  <c r="N33" i="12"/>
  <c r="O33" i="12" s="1"/>
  <c r="P33" i="12" s="1"/>
  <c r="S33" i="12"/>
  <c r="V33" i="12" s="1"/>
  <c r="F34" i="12"/>
  <c r="E35" i="12"/>
  <c r="N40" i="4"/>
  <c r="S40" i="4"/>
  <c r="V40" i="4" s="1"/>
  <c r="T42" i="4"/>
  <c r="U42" i="4" s="1"/>
  <c r="R42" i="4"/>
  <c r="F41" i="4"/>
  <c r="E42" i="4"/>
  <c r="P41" i="4"/>
  <c r="C43" i="4"/>
  <c r="O42" i="4"/>
  <c r="I42" i="4"/>
  <c r="P40" i="4"/>
  <c r="I14" i="11"/>
  <c r="J14" i="11" s="1"/>
  <c r="L14" i="11" s="1"/>
  <c r="AF36" i="12" l="1"/>
  <c r="AE36" i="12"/>
  <c r="AC37" i="12"/>
  <c r="N34" i="12"/>
  <c r="O34" i="12" s="1"/>
  <c r="P34" i="12" s="1"/>
  <c r="S34" i="12"/>
  <c r="V34" i="12" s="1"/>
  <c r="F35" i="12"/>
  <c r="E36" i="12"/>
  <c r="T43" i="4"/>
  <c r="U43" i="4" s="1"/>
  <c r="R43" i="4"/>
  <c r="N41" i="4"/>
  <c r="S41" i="4"/>
  <c r="V41" i="4" s="1"/>
  <c r="C44" i="4"/>
  <c r="O43" i="4"/>
  <c r="I43" i="4"/>
  <c r="F42" i="4"/>
  <c r="E43" i="4"/>
  <c r="I15" i="11"/>
  <c r="J15" i="11" s="1"/>
  <c r="L15" i="11" s="1"/>
  <c r="AF37" i="12" l="1"/>
  <c r="AE37" i="12"/>
  <c r="AC38" i="12"/>
  <c r="N35" i="12"/>
  <c r="O35" i="12" s="1"/>
  <c r="P35" i="12" s="1"/>
  <c r="S35" i="12"/>
  <c r="V35" i="12" s="1"/>
  <c r="F36" i="12"/>
  <c r="E37" i="12"/>
  <c r="N42" i="4"/>
  <c r="S42" i="4"/>
  <c r="V42" i="4" s="1"/>
  <c r="T44" i="4"/>
  <c r="U44" i="4" s="1"/>
  <c r="R44" i="4"/>
  <c r="F43" i="4"/>
  <c r="E44" i="4"/>
  <c r="P43" i="4"/>
  <c r="C45" i="4"/>
  <c r="O44" i="4"/>
  <c r="I44" i="4"/>
  <c r="P42" i="4"/>
  <c r="I16" i="11"/>
  <c r="J16" i="11" s="1"/>
  <c r="L16" i="11" s="1"/>
  <c r="AF38" i="12" l="1"/>
  <c r="AE38" i="12"/>
  <c r="AC39" i="12"/>
  <c r="N36" i="12"/>
  <c r="O36" i="12" s="1"/>
  <c r="P36" i="12" s="1"/>
  <c r="S36" i="12"/>
  <c r="V36" i="12" s="1"/>
  <c r="I39" i="12"/>
  <c r="I40" i="12" s="1"/>
  <c r="I41" i="12" s="1"/>
  <c r="I42" i="12" s="1"/>
  <c r="F37" i="12"/>
  <c r="T45" i="4"/>
  <c r="U45" i="4" s="1"/>
  <c r="R45" i="4"/>
  <c r="N43" i="4"/>
  <c r="S43" i="4"/>
  <c r="V43" i="4" s="1"/>
  <c r="C46" i="4"/>
  <c r="O45" i="4"/>
  <c r="I45" i="4"/>
  <c r="F44" i="4"/>
  <c r="E45" i="4"/>
  <c r="I17" i="11"/>
  <c r="J17" i="11" s="1"/>
  <c r="L17" i="11" s="1"/>
  <c r="AD30" i="12" l="1"/>
  <c r="AD31" i="12"/>
  <c r="AD32" i="12"/>
  <c r="AD33" i="12"/>
  <c r="AD34" i="12"/>
  <c r="AD35" i="12"/>
  <c r="AD36" i="12"/>
  <c r="AD37" i="12"/>
  <c r="AD38" i="12"/>
  <c r="AD39" i="12"/>
  <c r="AD25" i="12"/>
  <c r="AD26" i="12"/>
  <c r="AD27" i="12"/>
  <c r="AD28" i="12"/>
  <c r="AD29" i="12"/>
  <c r="AD24" i="12"/>
  <c r="AF39" i="12"/>
  <c r="AE39" i="12"/>
  <c r="AC40" i="12"/>
  <c r="N37" i="12"/>
  <c r="O37" i="12" s="1"/>
  <c r="P37" i="12" s="1"/>
  <c r="S37" i="12"/>
  <c r="V37" i="12" s="1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24" i="12"/>
  <c r="N44" i="4"/>
  <c r="S44" i="4"/>
  <c r="V44" i="4" s="1"/>
  <c r="T46" i="4"/>
  <c r="U46" i="4" s="1"/>
  <c r="R46" i="4"/>
  <c r="F45" i="4"/>
  <c r="E46" i="4"/>
  <c r="P45" i="4"/>
  <c r="C47" i="4"/>
  <c r="O46" i="4"/>
  <c r="I46" i="4"/>
  <c r="P44" i="4"/>
  <c r="I18" i="11"/>
  <c r="J18" i="11" s="1"/>
  <c r="L18" i="11" s="1"/>
  <c r="V38" i="12" l="1"/>
  <c r="V39" i="12" s="1"/>
  <c r="AA58" i="12"/>
  <c r="AA57" i="12"/>
  <c r="P39" i="12"/>
  <c r="P38" i="12"/>
  <c r="AF40" i="12"/>
  <c r="AE40" i="12"/>
  <c r="AC41" i="12"/>
  <c r="AD40" i="12"/>
  <c r="K39" i="12"/>
  <c r="K38" i="12"/>
  <c r="T47" i="4"/>
  <c r="U47" i="4" s="1"/>
  <c r="R47" i="4"/>
  <c r="N45" i="4"/>
  <c r="S45" i="4"/>
  <c r="V45" i="4" s="1"/>
  <c r="C48" i="4"/>
  <c r="O47" i="4"/>
  <c r="I47" i="4"/>
  <c r="F46" i="4"/>
  <c r="E47" i="4"/>
  <c r="I19" i="11"/>
  <c r="J19" i="11" s="1"/>
  <c r="L19" i="11" s="1"/>
  <c r="AF41" i="12" l="1"/>
  <c r="AE41" i="12"/>
  <c r="AC42" i="12"/>
  <c r="AD41" i="12"/>
  <c r="N46" i="4"/>
  <c r="S46" i="4"/>
  <c r="V46" i="4" s="1"/>
  <c r="T48" i="4"/>
  <c r="U48" i="4" s="1"/>
  <c r="R48" i="4"/>
  <c r="F47" i="4"/>
  <c r="E48" i="4"/>
  <c r="P47" i="4"/>
  <c r="C49" i="4"/>
  <c r="O48" i="4"/>
  <c r="I48" i="4"/>
  <c r="P46" i="4"/>
  <c r="AF42" i="12" l="1"/>
  <c r="AE42" i="12"/>
  <c r="AC43" i="12"/>
  <c r="AD42" i="12"/>
  <c r="T49" i="4"/>
  <c r="U49" i="4" s="1"/>
  <c r="R49" i="4"/>
  <c r="N47" i="4"/>
  <c r="S47" i="4"/>
  <c r="V47" i="4" s="1"/>
  <c r="C50" i="4"/>
  <c r="O49" i="4"/>
  <c r="I49" i="4"/>
  <c r="F48" i="4"/>
  <c r="E49" i="4"/>
  <c r="AF43" i="12" l="1"/>
  <c r="AE43" i="12"/>
  <c r="AC44" i="12"/>
  <c r="AD43" i="12"/>
  <c r="N48" i="4"/>
  <c r="S48" i="4"/>
  <c r="V48" i="4" s="1"/>
  <c r="T50" i="4"/>
  <c r="U50" i="4" s="1"/>
  <c r="R50" i="4"/>
  <c r="F49" i="4"/>
  <c r="E50" i="4"/>
  <c r="P49" i="4"/>
  <c r="C51" i="4"/>
  <c r="O50" i="4"/>
  <c r="I50" i="4"/>
  <c r="P48" i="4"/>
  <c r="AF44" i="12" l="1"/>
  <c r="AE44" i="12"/>
  <c r="AC45" i="12"/>
  <c r="AD44" i="12"/>
  <c r="T51" i="4"/>
  <c r="U51" i="4" s="1"/>
  <c r="R51" i="4"/>
  <c r="N49" i="4"/>
  <c r="S49" i="4"/>
  <c r="V49" i="4" s="1"/>
  <c r="C52" i="4"/>
  <c r="O51" i="4"/>
  <c r="I51" i="4"/>
  <c r="F50" i="4"/>
  <c r="E51" i="4"/>
  <c r="AF45" i="12" l="1"/>
  <c r="AE45" i="12"/>
  <c r="AC46" i="12"/>
  <c r="AD45" i="12"/>
  <c r="N50" i="4"/>
  <c r="S50" i="4"/>
  <c r="V50" i="4" s="1"/>
  <c r="T52" i="4"/>
  <c r="U52" i="4" s="1"/>
  <c r="R52" i="4"/>
  <c r="F51" i="4"/>
  <c r="E52" i="4"/>
  <c r="P51" i="4"/>
  <c r="C53" i="4"/>
  <c r="O52" i="4"/>
  <c r="I52" i="4"/>
  <c r="P50" i="4"/>
  <c r="AF46" i="12" l="1"/>
  <c r="AE46" i="12"/>
  <c r="AC47" i="12"/>
  <c r="AD46" i="12"/>
  <c r="T53" i="4"/>
  <c r="U53" i="4" s="1"/>
  <c r="R53" i="4"/>
  <c r="N51" i="4"/>
  <c r="S51" i="4"/>
  <c r="V51" i="4" s="1"/>
  <c r="O53" i="4"/>
  <c r="I53" i="4"/>
  <c r="I54" i="4" s="1"/>
  <c r="F52" i="4"/>
  <c r="E53" i="4"/>
  <c r="AF47" i="12" l="1"/>
  <c r="AE47" i="12"/>
  <c r="AC48" i="12"/>
  <c r="AD47" i="12"/>
  <c r="N52" i="4"/>
  <c r="S52" i="4"/>
  <c r="V52" i="4" s="1"/>
  <c r="I55" i="4"/>
  <c r="F53" i="4"/>
  <c r="I56" i="4"/>
  <c r="P53" i="4"/>
  <c r="P52" i="4"/>
  <c r="AF48" i="12" l="1"/>
  <c r="AE48" i="12"/>
  <c r="AC49" i="12"/>
  <c r="AD48" i="12"/>
  <c r="I57" i="4"/>
  <c r="I58" i="4" s="1"/>
  <c r="N53" i="4"/>
  <c r="S53" i="4"/>
  <c r="V53" i="4" s="1"/>
  <c r="P55" i="4"/>
  <c r="P54" i="4"/>
  <c r="AF49" i="12" l="1"/>
  <c r="AE49" i="12"/>
  <c r="AC50" i="12"/>
  <c r="AD49" i="12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32" i="4"/>
  <c r="K32" i="4" s="1"/>
  <c r="V55" i="4"/>
  <c r="V54" i="4"/>
  <c r="K55" i="4"/>
  <c r="K54" i="4"/>
  <c r="AF50" i="12" l="1"/>
  <c r="AE50" i="12"/>
  <c r="AC51" i="12"/>
  <c r="AD50" i="12"/>
  <c r="AF51" i="12" l="1"/>
  <c r="AE51" i="12"/>
  <c r="AC52" i="12"/>
  <c r="AD51" i="12"/>
  <c r="AF52" i="12" l="1"/>
  <c r="AE52" i="12"/>
  <c r="AC53" i="12"/>
  <c r="AD52" i="12"/>
  <c r="AF53" i="12" l="1"/>
  <c r="AE53" i="12"/>
  <c r="AC54" i="12"/>
  <c r="AD53" i="12"/>
  <c r="AF54" i="12" l="1"/>
  <c r="AE54" i="12"/>
  <c r="AC55" i="12"/>
  <c r="AD54" i="12"/>
  <c r="AF55" i="12" l="1"/>
  <c r="AE55" i="12"/>
  <c r="AC56" i="12"/>
  <c r="AD55" i="12"/>
  <c r="AF56" i="12" l="1"/>
  <c r="AE56" i="12"/>
  <c r="AC57" i="12"/>
  <c r="AD56" i="12"/>
  <c r="AF57" i="12" l="1"/>
  <c r="AE57" i="12"/>
  <c r="AC58" i="12"/>
  <c r="AD57" i="12"/>
  <c r="AF58" i="12" l="1"/>
  <c r="AE58" i="12"/>
  <c r="AC59" i="12"/>
  <c r="AD58" i="12"/>
  <c r="AF59" i="12" l="1"/>
  <c r="AE59" i="12"/>
  <c r="AC60" i="12"/>
  <c r="AD59" i="12"/>
  <c r="AF60" i="12" l="1"/>
  <c r="AE60" i="12"/>
  <c r="AC61" i="12"/>
  <c r="AD60" i="12"/>
  <c r="AF61" i="12" l="1"/>
  <c r="AE61" i="12"/>
  <c r="AC62" i="12"/>
  <c r="AD61" i="12"/>
  <c r="AF62" i="12" l="1"/>
  <c r="AE62" i="12"/>
  <c r="AC63" i="12"/>
  <c r="AD62" i="12"/>
  <c r="AF63" i="12" l="1"/>
  <c r="AE63" i="12"/>
  <c r="AC64" i="12"/>
  <c r="AD63" i="12"/>
  <c r="AF64" i="12" l="1"/>
  <c r="AE64" i="12"/>
  <c r="AC65" i="12"/>
  <c r="AD64" i="12"/>
  <c r="AF65" i="12" l="1"/>
  <c r="AE65" i="12"/>
  <c r="AC66" i="12"/>
  <c r="AD65" i="12"/>
  <c r="AF66" i="12" l="1"/>
  <c r="AE66" i="12"/>
  <c r="AC67" i="12"/>
  <c r="AD66" i="12"/>
  <c r="AF67" i="12" l="1"/>
  <c r="AE67" i="12"/>
  <c r="AC68" i="12"/>
  <c r="AD67" i="12"/>
  <c r="AF68" i="12" l="1"/>
  <c r="AE68" i="12"/>
  <c r="AC69" i="12"/>
  <c r="AD68" i="12"/>
  <c r="AF69" i="12" l="1"/>
  <c r="AE69" i="12"/>
  <c r="AC70" i="12"/>
  <c r="AD69" i="12"/>
  <c r="AF70" i="12" l="1"/>
  <c r="AE70" i="12"/>
  <c r="AC71" i="12"/>
  <c r="AD70" i="12"/>
  <c r="AF71" i="12" l="1"/>
  <c r="AE71" i="12"/>
  <c r="AC72" i="12"/>
  <c r="AD71" i="12"/>
  <c r="AF72" i="12" l="1"/>
  <c r="AE72" i="12"/>
  <c r="AC73" i="12"/>
  <c r="AD72" i="12"/>
  <c r="AF73" i="12" l="1"/>
  <c r="AE73" i="12"/>
  <c r="AC74" i="12"/>
  <c r="AD73" i="12"/>
  <c r="AF74" i="12" l="1"/>
  <c r="AE74" i="12"/>
  <c r="AC75" i="12"/>
  <c r="AD74" i="12"/>
  <c r="AF75" i="12" l="1"/>
  <c r="AE75" i="12"/>
  <c r="AC76" i="12"/>
  <c r="AD75" i="12"/>
  <c r="AF76" i="12" l="1"/>
  <c r="AE76" i="12"/>
  <c r="AC77" i="12"/>
  <c r="AD76" i="12"/>
  <c r="AF77" i="12" l="1"/>
  <c r="AE77" i="12"/>
  <c r="AC78" i="12"/>
  <c r="AD77" i="12"/>
  <c r="AF78" i="12" l="1"/>
  <c r="AE78" i="12"/>
  <c r="AC79" i="12"/>
  <c r="AD78" i="12"/>
  <c r="AF79" i="12" l="1"/>
  <c r="AE79" i="12"/>
  <c r="AC80" i="12"/>
  <c r="AD79" i="12"/>
  <c r="AF80" i="12" l="1"/>
  <c r="AE80" i="12"/>
  <c r="AC81" i="12"/>
  <c r="AD80" i="12"/>
  <c r="AF81" i="12" l="1"/>
  <c r="AE81" i="12"/>
  <c r="AC82" i="12"/>
  <c r="AD81" i="12"/>
  <c r="AF82" i="12" l="1"/>
  <c r="AE82" i="12"/>
  <c r="AC83" i="12"/>
  <c r="AD82" i="12"/>
  <c r="AF83" i="12" l="1"/>
  <c r="AE83" i="12"/>
  <c r="AC84" i="12"/>
  <c r="AD83" i="12"/>
  <c r="AF84" i="12" l="1"/>
  <c r="AE84" i="12"/>
  <c r="AD84" i="12"/>
</calcChain>
</file>

<file path=xl/sharedStrings.xml><?xml version="1.0" encoding="utf-8"?>
<sst xmlns="http://schemas.openxmlformats.org/spreadsheetml/2006/main" count="531" uniqueCount="229">
  <si>
    <t>Opening time</t>
  </si>
  <si>
    <t>No production time (h)</t>
  </si>
  <si>
    <t>Failure time (h)</t>
  </si>
  <si>
    <t>Net Production C31</t>
  </si>
  <si>
    <t>Net Production C41</t>
  </si>
  <si>
    <t>Rejected Production C31</t>
  </si>
  <si>
    <t>Rejected Production C41</t>
  </si>
  <si>
    <t>System</t>
  </si>
  <si>
    <t>Cumulative failures</t>
  </si>
  <si>
    <t>S1</t>
  </si>
  <si>
    <t>S2</t>
  </si>
  <si>
    <t>S3</t>
  </si>
  <si>
    <t>S4</t>
  </si>
  <si>
    <t>S5</t>
  </si>
  <si>
    <t>Systems</t>
  </si>
  <si>
    <t>Machine 1</t>
  </si>
  <si>
    <t>Machine 2</t>
  </si>
  <si>
    <t>Machine 3</t>
  </si>
  <si>
    <t>Machine 4</t>
  </si>
  <si>
    <t>Machine 5</t>
  </si>
  <si>
    <t>Machine 6</t>
  </si>
  <si>
    <t>Machine 7</t>
  </si>
  <si>
    <t>Machine 8</t>
  </si>
  <si>
    <t>Cumulative Down Time</t>
  </si>
  <si>
    <t>Exercise 2</t>
  </si>
  <si>
    <t>Exercise 3</t>
  </si>
  <si>
    <t>Exercise 4</t>
  </si>
  <si>
    <t>Failures</t>
  </si>
  <si>
    <t>Down time</t>
  </si>
  <si>
    <t>Functionality</t>
  </si>
  <si>
    <t>Down Time (h)</t>
  </si>
  <si>
    <t>Conveying</t>
  </si>
  <si>
    <t>Filling</t>
  </si>
  <si>
    <t>Capping</t>
  </si>
  <si>
    <t>Exercise 1</t>
  </si>
  <si>
    <t>Hours</t>
  </si>
  <si>
    <t>Failure #</t>
  </si>
  <si>
    <t>Up Time (days)</t>
  </si>
  <si>
    <t>Exercise 5</t>
  </si>
  <si>
    <t>t (years)</t>
  </si>
  <si>
    <t>Exercise 6</t>
  </si>
  <si>
    <t>Parts/h</t>
  </si>
  <si>
    <t>parts/h</t>
  </si>
  <si>
    <t>T(P)</t>
  </si>
  <si>
    <t>P</t>
  </si>
  <si>
    <t>Tg(Pg)</t>
  </si>
  <si>
    <t>Pg</t>
  </si>
  <si>
    <t>τ(Avail)</t>
  </si>
  <si>
    <t>Gross production: Pg = ¨Parts/h * Tg(Pg)</t>
  </si>
  <si>
    <t>Production: P = Parts/h * T(P)</t>
  </si>
  <si>
    <t>Operating production time: T(P) = Opening time - No production time</t>
  </si>
  <si>
    <t>Pn</t>
  </si>
  <si>
    <t>Machine C31</t>
  </si>
  <si>
    <t>Machine C41</t>
  </si>
  <si>
    <t>Net production: Pn = Net production C31 + Net production C41</t>
  </si>
  <si>
    <t>τ(Perf)</t>
  </si>
  <si>
    <t xml:space="preserve">Performance rate: τ(Perf) = Pn / Pg </t>
  </si>
  <si>
    <t>Availability rate: τ(Avail) = Pg / P</t>
  </si>
  <si>
    <t>Pu</t>
  </si>
  <si>
    <t>Useful production: Pu = Pn - Rejected production C31 - Rejected production C41</t>
  </si>
  <si>
    <t>τ(Qual)</t>
  </si>
  <si>
    <t>Quality rate: τ(Qual) = Pu / Pn</t>
  </si>
  <si>
    <t>OEE</t>
  </si>
  <si>
    <t>Overall equipment  effecttiveness: OEE = τ(Avail) * τ(Perf) * τ(Qual)</t>
  </si>
  <si>
    <t>Production rate: Parts/h = C31 parts/h + C41 parts/h</t>
  </si>
  <si>
    <t>Gross production time: Tg(Pg) = T(P) - Failure time (= Repairing time)</t>
  </si>
  <si>
    <t>Total=</t>
  </si>
  <si>
    <t>Frequency</t>
  </si>
  <si>
    <t>Cumulative frequency</t>
  </si>
  <si>
    <t>Points (weighted)</t>
  </si>
  <si>
    <t>Points (limited)</t>
  </si>
  <si>
    <t>Mean downtime</t>
  </si>
  <si>
    <t xml:space="preserve"> 80/20</t>
  </si>
  <si>
    <t>Weighted combination = 2 * Cumulative failure + Mean downtime + 3 * Cumulative downtime</t>
  </si>
  <si>
    <t xml:space="preserve"> 70/30</t>
  </si>
  <si>
    <t>Mean Down Time</t>
  </si>
  <si>
    <t>Weighted combination = 2 * Cumulative failiure + 3 * Mean downtime</t>
  </si>
  <si>
    <t>2 most critical systems =&gt; S5 and S3</t>
  </si>
  <si>
    <r>
      <t>C</t>
    </r>
    <r>
      <rPr>
        <b/>
        <vertAlign val="subscript"/>
        <sz val="12"/>
        <color theme="1"/>
        <rFont val="Arial"/>
        <family val="2"/>
      </rPr>
      <t>1</t>
    </r>
  </si>
  <si>
    <r>
      <t>C</t>
    </r>
    <r>
      <rPr>
        <b/>
        <vertAlign val="subscript"/>
        <sz val="12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</si>
  <si>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2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</si>
  <si>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2"/>
        <color theme="1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</si>
  <si>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2"/>
        <color theme="1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</si>
  <si>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t>80/20</t>
  </si>
  <si>
    <t>Mean down time</t>
  </si>
  <si>
    <t xml:space="preserve"> </t>
  </si>
  <si>
    <t xml:space="preserve">Weighted combination = 2 * Failures + 3 * Mean down time + Down time </t>
  </si>
  <si>
    <t>1 most critical system =&gt; C2</t>
  </si>
  <si>
    <r>
      <t>December 1</t>
    </r>
    <r>
      <rPr>
        <b/>
        <vertAlign val="superscript"/>
        <sz val="12"/>
        <color theme="1"/>
        <rFont val="Arial"/>
        <family val="2"/>
      </rPr>
      <t>st</t>
    </r>
  </si>
  <si>
    <r>
      <t>December 2</t>
    </r>
    <r>
      <rPr>
        <b/>
        <vertAlign val="superscript"/>
        <sz val="12"/>
        <color theme="1"/>
        <rFont val="Arial"/>
        <family val="2"/>
      </rPr>
      <t>nd</t>
    </r>
  </si>
  <si>
    <r>
      <t>December 3</t>
    </r>
    <r>
      <rPr>
        <b/>
        <vertAlign val="superscript"/>
        <sz val="12"/>
        <color theme="1"/>
        <rFont val="Arial"/>
        <family val="2"/>
      </rPr>
      <t>rd</t>
    </r>
  </si>
  <si>
    <r>
      <t>December 4</t>
    </r>
    <r>
      <rPr>
        <b/>
        <vertAlign val="superscript"/>
        <sz val="12"/>
        <color theme="1"/>
        <rFont val="Arial"/>
        <family val="2"/>
      </rPr>
      <t>th</t>
    </r>
  </si>
  <si>
    <r>
      <t>December 5</t>
    </r>
    <r>
      <rPr>
        <b/>
        <vertAlign val="superscript"/>
        <sz val="12"/>
        <color theme="1"/>
        <rFont val="Arial"/>
        <family val="2"/>
      </rPr>
      <t>th</t>
    </r>
  </si>
  <si>
    <r>
      <t>December 6</t>
    </r>
    <r>
      <rPr>
        <b/>
        <vertAlign val="superscript"/>
        <sz val="12"/>
        <color theme="1"/>
        <rFont val="Arial"/>
        <family val="2"/>
      </rPr>
      <t>th</t>
    </r>
  </si>
  <si>
    <r>
      <t>December 7</t>
    </r>
    <r>
      <rPr>
        <b/>
        <vertAlign val="superscript"/>
        <sz val="12"/>
        <color theme="1"/>
        <rFont val="Arial"/>
        <family val="2"/>
      </rPr>
      <t>th</t>
    </r>
  </si>
  <si>
    <r>
      <t>Cycles (10</t>
    </r>
    <r>
      <rPr>
        <b/>
        <vertAlign val="superscript"/>
        <sz val="12"/>
        <color theme="1"/>
        <rFont val="Arial"/>
        <family val="2"/>
      </rPr>
      <t>5</t>
    </r>
    <r>
      <rPr>
        <b/>
        <sz val="12"/>
        <color theme="1"/>
        <rFont val="Arial"/>
        <family val="2"/>
      </rPr>
      <t>)</t>
    </r>
  </si>
  <si>
    <r>
      <t>N</t>
    </r>
    <r>
      <rPr>
        <b/>
        <vertAlign val="subscript"/>
        <sz val="12"/>
        <color theme="1"/>
        <rFont val="Arial"/>
        <family val="2"/>
      </rPr>
      <t>failures</t>
    </r>
    <r>
      <rPr>
        <b/>
        <sz val="12"/>
        <color theme="1"/>
        <rFont val="Arial"/>
        <family val="2"/>
      </rPr>
      <t xml:space="preserve"> / 1000 h</t>
    </r>
  </si>
  <si>
    <r>
      <t>N</t>
    </r>
    <r>
      <rPr>
        <b/>
        <vertAlign val="subscript"/>
        <sz val="12"/>
        <color theme="1"/>
        <rFont val="Arial"/>
        <family val="2"/>
      </rPr>
      <t>déf.</t>
    </r>
  </si>
  <si>
    <r>
      <rPr>
        <b/>
        <i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(years)</t>
    </r>
  </si>
  <si>
    <r>
      <rPr>
        <b/>
        <i/>
        <sz val="12"/>
        <color theme="1"/>
        <rFont val="Arial"/>
        <family val="2"/>
      </rPr>
      <t>N</t>
    </r>
    <r>
      <rPr>
        <b/>
        <i/>
        <vertAlign val="subscript"/>
        <sz val="12"/>
        <color theme="1"/>
        <rFont val="Arial"/>
        <family val="2"/>
      </rPr>
      <t xml:space="preserve">Failures </t>
    </r>
    <r>
      <rPr>
        <b/>
        <vertAlign val="subscript"/>
        <sz val="12"/>
        <color theme="1"/>
        <rFont val="Arial"/>
        <family val="2"/>
      </rPr>
      <t xml:space="preserve"> </t>
    </r>
  </si>
  <si>
    <t>days</t>
  </si>
  <si>
    <t>hours/day</t>
  </si>
  <si>
    <t>Operating time</t>
  </si>
  <si>
    <t>MUT = MTBF</t>
  </si>
  <si>
    <t>MDT = MTTR</t>
  </si>
  <si>
    <t>Availability</t>
  </si>
  <si>
    <t>MUT = MTBF = (Operating time - Down time) / Failures</t>
  </si>
  <si>
    <t>MDT = MTTR = Down time / Failure</t>
  </si>
  <si>
    <t>Availability = MTBF / (MTBF + MTTR)</t>
  </si>
  <si>
    <t>MTBF</t>
  </si>
  <si>
    <t>MTTR</t>
  </si>
  <si>
    <t>Most productive =&gt; highest availability</t>
  </si>
  <si>
    <t>Most reliable =&gt; highest MTBF</t>
  </si>
  <si>
    <t>Most maintanable =&gt; lowest MTTR</t>
  </si>
  <si>
    <t>CF</t>
  </si>
  <si>
    <t>FREX</t>
  </si>
  <si>
    <t>Time slot=</t>
  </si>
  <si>
    <t>Failure rate (/1000h)</t>
  </si>
  <si>
    <t>Cumulative failure rate</t>
  </si>
  <si>
    <t>Cumulative failure</t>
  </si>
  <si>
    <t>Optimal moments for a commercial withdrawal =&gt; End of the maturity stage</t>
  </si>
  <si>
    <t>Between 10000 and 13000 hours</t>
  </si>
  <si>
    <t>&gt;&gt; Look at the instantaneaous failure rate.</t>
  </si>
  <si>
    <t>&gt;&gt; The Cumulative failure rate is flattened out.</t>
  </si>
  <si>
    <t>Failure rate = Failures / 1000h</t>
  </si>
  <si>
    <t>Cumulative failure rate = Cumulative failure / Hours</t>
  </si>
  <si>
    <t>MTBF=</t>
  </si>
  <si>
    <t>Time (h)</t>
  </si>
  <si>
    <t>Parts</t>
  </si>
  <si>
    <t>Failure rate (/h)</t>
  </si>
  <si>
    <t>Failures &gt;1000h</t>
  </si>
  <si>
    <t>Failures &gt;3000h</t>
  </si>
  <si>
    <t>Failure rate = Failures / Total time</t>
  </si>
  <si>
    <t>Systems=</t>
  </si>
  <si>
    <t>Exponential lifetime from Uptime</t>
  </si>
  <si>
    <t>Uptime</t>
  </si>
  <si>
    <t>Fexp1</t>
  </si>
  <si>
    <t>T = Fexp1/Frex</t>
  </si>
  <si>
    <t>Cumulative up time =</t>
  </si>
  <si>
    <t>Residual up time =</t>
  </si>
  <si>
    <t>Total up time =</t>
  </si>
  <si>
    <t>MTBF =</t>
  </si>
  <si>
    <t>λ=</t>
  </si>
  <si>
    <t>Exponential lifetime from Frex</t>
  </si>
  <si>
    <t>Rrex</t>
  </si>
  <si>
    <t>Fexp2</t>
  </si>
  <si>
    <t>T=</t>
  </si>
  <si>
    <t>T = Fexp2/Frex</t>
  </si>
  <si>
    <t>Std=</t>
  </si>
  <si>
    <t>Weibull lifetime</t>
  </si>
  <si>
    <t>ln(t)</t>
  </si>
  <si>
    <t>Yrex = ln(-ln(1-Frex))</t>
  </si>
  <si>
    <t>α=</t>
  </si>
  <si>
    <t>β=</t>
  </si>
  <si>
    <t>A=</t>
  </si>
  <si>
    <t>Fw</t>
  </si>
  <si>
    <t>Yw</t>
  </si>
  <si>
    <t>T</t>
  </si>
  <si>
    <t>FREX = CF / Systems</t>
  </si>
  <si>
    <t>Uptime = t * Failures</t>
  </si>
  <si>
    <t>Cumulative uptime = Total failures</t>
  </si>
  <si>
    <t>Residual uptime = (Systems - CF(tn))*(tn+1)</t>
  </si>
  <si>
    <t>Total uptime = Cumulative uptime + Residual uptime</t>
  </si>
  <si>
    <t>MTBF = Total uptime / Systems</t>
  </si>
  <si>
    <t>λ = 1/MTBF</t>
  </si>
  <si>
    <t>Fexp1 = 1-exp(-λ*t)</t>
  </si>
  <si>
    <t>T = Moy(T)</t>
  </si>
  <si>
    <t>Std = Std(T)</t>
  </si>
  <si>
    <t>Rrex = 1 - Frex</t>
  </si>
  <si>
    <t>λ = exponential regression from Rrex</t>
  </si>
  <si>
    <t>MTBF = 1/λ</t>
  </si>
  <si>
    <t>Fexp2 = 1-exp(-λ*t)</t>
  </si>
  <si>
    <t>x = ln(t)</t>
  </si>
  <si>
    <t>ax - b = linear regression from f(x) = Yrex</t>
  </si>
  <si>
    <t>β = a</t>
  </si>
  <si>
    <t>α = exp(b/β)</t>
  </si>
  <si>
    <t>A = table</t>
  </si>
  <si>
    <t>Fw = 1-exp(-(t/α)^β)</t>
  </si>
  <si>
    <t>Yw = ln(-ln(1-Fw))</t>
  </si>
  <si>
    <t>T = abs(Yrex/Yw)</t>
  </si>
  <si>
    <t>L(R(t)) = α*((ln(1/R(t)))^(1/β))</t>
  </si>
  <si>
    <t>MTBF = α*A</t>
  </si>
  <si>
    <t>Exponential lifetime with uptime</t>
  </si>
  <si>
    <t>Cumulative uptime =</t>
  </si>
  <si>
    <t>Residual uptime =</t>
  </si>
  <si>
    <t>Total uptime =</t>
  </si>
  <si>
    <t>λ =</t>
  </si>
  <si>
    <t>Exponential lifetime with Rrex</t>
  </si>
  <si>
    <t>Yrex</t>
  </si>
  <si>
    <t>α =</t>
  </si>
  <si>
    <t>β =</t>
  </si>
  <si>
    <t>A =</t>
  </si>
  <si>
    <t>T =</t>
  </si>
  <si>
    <t>Std =</t>
  </si>
  <si>
    <t>&gt;&gt; DO NOT INCLUDE IN T</t>
  </si>
  <si>
    <t>Weibull mixture</t>
  </si>
  <si>
    <t>t &lt; 5</t>
  </si>
  <si>
    <t>t &gt;= 5</t>
  </si>
  <si>
    <t>t</t>
  </si>
  <si>
    <t>MTBF=cste</t>
  </si>
  <si>
    <t>Weibull</t>
  </si>
  <si>
    <t>R(t)</t>
  </si>
  <si>
    <t>MTBF = cste =&gt; R(t) = exp(-λ*t)</t>
  </si>
  <si>
    <t>Weibull =&gt; R(t) = exp(-((t/α)^β))</t>
  </si>
  <si>
    <t>Serie system</t>
  </si>
  <si>
    <t>Parallel system</t>
  </si>
  <si>
    <t>MooN</t>
  </si>
  <si>
    <t>R = 1 – (1 - (R1R2))*(1 – R3)</t>
  </si>
  <si>
    <t>R = R1*(1 – (1 – R2)*(1 – R3))</t>
  </si>
  <si>
    <t>R = (1-(1-(1-(1-RA1)*(1-RA2))*RA3)*(1-RB1))*(6*RC^2*(1- RC)^2+4*RC^3*(1-RC)+RC^4)</t>
  </si>
  <si>
    <t>2oo4 = 3*RC^4 - 8RC^3 + 6RC^2</t>
  </si>
  <si>
    <t>R = 1-((1-((1-(1-RC^2)*(1-RC)^2)*RC))*(1-RC))</t>
  </si>
  <si>
    <t>R = (1-(1-((1-(1-RC)^2)*RC))*(1-RC^2))*(3*R^2*(1-R)+R^3)</t>
  </si>
  <si>
    <t>2oo3 = 3*R^2 - 2*R^3</t>
  </si>
  <si>
    <t>Operational cumulative function: FREX = CF / Systems</t>
  </si>
  <si>
    <t>Reliability = N%</t>
  </si>
  <si>
    <t>&lt;1</t>
  </si>
  <si>
    <t>&gt;&gt; KO</t>
  </si>
  <si>
    <t>&gt;&gt; OK</t>
  </si>
  <si>
    <t>&gt;&gt; L(0,37) = α = t63%</t>
  </si>
  <si>
    <t>L(R(t)=0,37)=</t>
  </si>
  <si>
    <t>Exp UT</t>
  </si>
  <si>
    <t>Exp reg</t>
  </si>
  <si>
    <t>&gt;&gt; β=1</t>
  </si>
  <si>
    <t>Maturity stage</t>
  </si>
  <si>
    <t>&gt;&gt; β&gt;1</t>
  </si>
  <si>
    <t>Ageing stage</t>
  </si>
  <si>
    <t>&gt;&gt; β&gt;1 = λ(t) increasing = ageing stage</t>
  </si>
  <si>
    <t>&gt;&gt; Yrex ≃ 0 =&gt; t63%=α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</si>
</sst>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LM Roman 12"/>
      <family val="3"/>
    </font>
    <font>
      <sz val="12"/>
      <color theme="1"/>
      <name val="LM Roman 12"/>
      <family val="3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3"/>
      <color theme="1"/>
      <name val="Arial"/>
      <family val="2"/>
    </font>
    <font>
      <b/>
      <i/>
      <sz val="12"/>
      <color theme="1"/>
      <name val="Arial"/>
      <family val="2"/>
    </font>
    <font>
      <b/>
      <i/>
      <vertAlign val="subscript"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/>
    <xf numFmtId="0" fontId="4" fillId="0" borderId="21" xfId="0" applyFont="1" applyFill="1" applyBorder="1" applyAlignment="1">
      <alignment horizontal="center" vertical="center" wrapText="1" readingOrder="1"/>
    </xf>
    <xf numFmtId="0" fontId="4" fillId="0" borderId="21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 readingOrder="1"/>
    </xf>
    <xf numFmtId="10" fontId="5" fillId="2" borderId="21" xfId="1" applyNumberFormat="1" applyFont="1" applyFill="1" applyBorder="1" applyAlignment="1">
      <alignment horizontal="center" vertical="center" wrapText="1" readingOrder="1"/>
    </xf>
    <xf numFmtId="10" fontId="6" fillId="2" borderId="21" xfId="0" applyNumberFormat="1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2" fontId="6" fillId="2" borderId="21" xfId="1" applyNumberFormat="1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 readingOrder="1"/>
    </xf>
    <xf numFmtId="10" fontId="5" fillId="0" borderId="21" xfId="1" applyNumberFormat="1" applyFont="1" applyFill="1" applyBorder="1" applyAlignment="1">
      <alignment horizontal="center" vertical="center" wrapText="1" readingOrder="1"/>
    </xf>
    <xf numFmtId="10" fontId="6" fillId="0" borderId="21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 readingOrder="1"/>
    </xf>
    <xf numFmtId="0" fontId="4" fillId="0" borderId="10" xfId="0" applyFont="1" applyFill="1" applyBorder="1" applyAlignment="1">
      <alignment horizontal="center" vertical="center" wrapText="1" readingOrder="1"/>
    </xf>
    <xf numFmtId="0" fontId="5" fillId="0" borderId="17" xfId="0" applyFont="1" applyFill="1" applyBorder="1" applyAlignment="1">
      <alignment horizontal="center" vertical="center" wrapText="1" readingOrder="1"/>
    </xf>
    <xf numFmtId="0" fontId="5" fillId="0" borderId="18" xfId="0" applyFont="1" applyFill="1" applyBorder="1" applyAlignment="1">
      <alignment horizontal="center" vertical="center" wrapText="1" readingOrder="1"/>
    </xf>
    <xf numFmtId="0" fontId="5" fillId="0" borderId="20" xfId="0" applyFont="1" applyFill="1" applyBorder="1" applyAlignment="1">
      <alignment horizontal="center" vertical="center" wrapText="1" readingOrder="1"/>
    </xf>
    <xf numFmtId="0" fontId="5" fillId="0" borderId="15" xfId="0" applyFont="1" applyFill="1" applyBorder="1" applyAlignment="1">
      <alignment horizontal="center" vertical="center" wrapText="1" readingOrder="1"/>
    </xf>
    <xf numFmtId="0" fontId="5" fillId="0" borderId="12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0" fontId="5" fillId="0" borderId="16" xfId="0" applyFont="1" applyFill="1" applyBorder="1" applyAlignment="1">
      <alignment horizontal="center" vertical="center" wrapText="1" readingOrder="1"/>
    </xf>
    <xf numFmtId="0" fontId="5" fillId="0" borderId="13" xfId="0" applyFont="1" applyFill="1" applyBorder="1" applyAlignment="1">
      <alignment horizontal="center" vertical="center" wrapText="1" readingOrder="1"/>
    </xf>
    <xf numFmtId="0" fontId="5" fillId="0" borderId="7" xfId="0" applyFont="1" applyFill="1" applyBorder="1" applyAlignment="1">
      <alignment horizontal="center" vertical="center" wrapText="1" readingOrder="1"/>
    </xf>
    <xf numFmtId="0" fontId="6" fillId="0" borderId="2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6" fillId="0" borderId="21" xfId="1" applyNumberFormat="1" applyFont="1" applyBorder="1" applyAlignment="1">
      <alignment horizontal="center" vertical="center" wrapText="1"/>
    </xf>
    <xf numFmtId="2" fontId="6" fillId="2" borderId="21" xfId="0" applyNumberFormat="1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 readingOrder="1"/>
    </xf>
    <xf numFmtId="10" fontId="6" fillId="2" borderId="21" xfId="1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 readingOrder="1"/>
    </xf>
    <xf numFmtId="0" fontId="6" fillId="0" borderId="21" xfId="0" applyNumberFormat="1" applyFont="1" applyBorder="1" applyAlignment="1">
      <alignment horizontal="center" vertical="center" wrapText="1"/>
    </xf>
    <xf numFmtId="2" fontId="6" fillId="0" borderId="21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 readingOrder="1"/>
    </xf>
    <xf numFmtId="0" fontId="4" fillId="3" borderId="21" xfId="0" applyFont="1" applyFill="1" applyBorder="1" applyAlignment="1">
      <alignment horizontal="center" vertical="center" wrapText="1" readingOrder="1"/>
    </xf>
    <xf numFmtId="0" fontId="5" fillId="3" borderId="17" xfId="0" applyFont="1" applyFill="1" applyBorder="1" applyAlignment="1">
      <alignment horizontal="center" vertical="center" wrapText="1" readingOrder="1"/>
    </xf>
    <xf numFmtId="0" fontId="5" fillId="3" borderId="15" xfId="0" applyFont="1" applyFill="1" applyBorder="1" applyAlignment="1">
      <alignment horizontal="center" vertical="center" wrapText="1" readingOrder="1"/>
    </xf>
    <xf numFmtId="0" fontId="5" fillId="3" borderId="16" xfId="0" applyFont="1" applyFill="1" applyBorder="1" applyAlignment="1">
      <alignment horizontal="center" vertical="center" wrapText="1" readingOrder="1"/>
    </xf>
    <xf numFmtId="0" fontId="6" fillId="0" borderId="21" xfId="0" applyFont="1" applyBorder="1"/>
    <xf numFmtId="0" fontId="10" fillId="0" borderId="0" xfId="0" applyFont="1"/>
    <xf numFmtId="0" fontId="6" fillId="0" borderId="0" xfId="0" applyFont="1"/>
    <xf numFmtId="10" fontId="6" fillId="0" borderId="21" xfId="1" applyNumberFormat="1" applyFont="1" applyBorder="1"/>
    <xf numFmtId="10" fontId="6" fillId="0" borderId="21" xfId="0" applyNumberFormat="1" applyFont="1" applyBorder="1"/>
    <xf numFmtId="0" fontId="6" fillId="2" borderId="21" xfId="0" applyFont="1" applyFill="1" applyBorder="1"/>
    <xf numFmtId="10" fontId="6" fillId="2" borderId="21" xfId="1" applyNumberFormat="1" applyFont="1" applyFill="1" applyBorder="1"/>
    <xf numFmtId="10" fontId="6" fillId="2" borderId="21" xfId="0" applyNumberFormat="1" applyFont="1" applyFill="1" applyBorder="1"/>
    <xf numFmtId="10" fontId="6" fillId="3" borderId="21" xfId="1" applyNumberFormat="1" applyFont="1" applyFill="1" applyBorder="1"/>
    <xf numFmtId="10" fontId="6" fillId="3" borderId="21" xfId="0" applyNumberFormat="1" applyFont="1" applyFill="1" applyBorder="1"/>
    <xf numFmtId="2" fontId="6" fillId="3" borderId="21" xfId="0" applyNumberFormat="1" applyFont="1" applyFill="1" applyBorder="1"/>
    <xf numFmtId="2" fontId="6" fillId="0" borderId="0" xfId="0" applyNumberFormat="1" applyFont="1" applyAlignment="1">
      <alignment horizontal="center" vertical="center" wrapText="1"/>
    </xf>
    <xf numFmtId="2" fontId="6" fillId="2" borderId="21" xfId="0" applyNumberFormat="1" applyFont="1" applyFill="1" applyBorder="1"/>
    <xf numFmtId="0" fontId="4" fillId="0" borderId="2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10" fontId="6" fillId="3" borderId="21" xfId="0" applyNumberFormat="1" applyFont="1" applyFill="1" applyBorder="1" applyAlignment="1">
      <alignment horizontal="center" vertical="center" wrapText="1"/>
    </xf>
    <xf numFmtId="0" fontId="6" fillId="3" borderId="21" xfId="0" applyNumberFormat="1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10" fontId="6" fillId="3" borderId="21" xfId="1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0" fontId="6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13" fillId="0" borderId="0" xfId="0" applyFont="1"/>
    <xf numFmtId="0" fontId="6" fillId="0" borderId="23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0" xfId="0" applyFont="1" applyBorder="1"/>
    <xf numFmtId="0" fontId="6" fillId="0" borderId="27" xfId="0" applyFont="1" applyBorder="1"/>
    <xf numFmtId="0" fontId="4" fillId="0" borderId="2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4" fillId="0" borderId="8" xfId="0" applyFont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0" xfId="0"/>
    <xf numFmtId="0" fontId="6" fillId="0" borderId="0" xfId="0" applyFont="1"/>
    <xf numFmtId="0" fontId="16" fillId="0" borderId="21" xfId="0" applyFont="1" applyBorder="1"/>
    <xf numFmtId="2" fontId="6" fillId="0" borderId="21" xfId="0" applyNumberFormat="1" applyFont="1" applyBorder="1"/>
    <xf numFmtId="10" fontId="6" fillId="5" borderId="21" xfId="1" applyNumberFormat="1" applyFont="1" applyFill="1" applyBorder="1"/>
    <xf numFmtId="0" fontId="6" fillId="4" borderId="21" xfId="0" applyFont="1" applyFill="1" applyBorder="1"/>
    <xf numFmtId="2" fontId="6" fillId="6" borderId="21" xfId="0" applyNumberFormat="1" applyFont="1" applyFill="1" applyBorder="1"/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6" fillId="0" borderId="5" xfId="0" applyFont="1" applyBorder="1"/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164" fontId="6" fillId="0" borderId="3" xfId="0" applyNumberFormat="1" applyFont="1" applyBorder="1"/>
    <xf numFmtId="0" fontId="6" fillId="2" borderId="3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0" borderId="0" xfId="0" applyFont="1" applyAlignment="1"/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5" fontId="6" fillId="0" borderId="1" xfId="0" applyNumberFormat="1" applyFont="1" applyBorder="1"/>
    <xf numFmtId="0" fontId="4" fillId="0" borderId="36" xfId="0" applyFont="1" applyBorder="1" applyAlignment="1">
      <alignment horizontal="center" vertical="center"/>
    </xf>
    <xf numFmtId="165" fontId="6" fillId="0" borderId="2" xfId="0" applyNumberFormat="1" applyFont="1" applyBorder="1"/>
    <xf numFmtId="164" fontId="6" fillId="0" borderId="5" xfId="0" applyNumberFormat="1" applyFont="1" applyBorder="1"/>
    <xf numFmtId="165" fontId="6" fillId="0" borderId="6" xfId="0" applyNumberFormat="1" applyFont="1" applyBorder="1"/>
    <xf numFmtId="164" fontId="6" fillId="0" borderId="7" xfId="0" applyNumberFormat="1" applyFont="1" applyBorder="1"/>
    <xf numFmtId="0" fontId="6" fillId="0" borderId="0" xfId="0" applyFont="1" applyAlignment="1">
      <alignment horizontal="left"/>
    </xf>
    <xf numFmtId="0" fontId="6" fillId="0" borderId="38" xfId="0" applyFont="1" applyBorder="1"/>
    <xf numFmtId="0" fontId="6" fillId="0" borderId="36" xfId="0" applyFont="1" applyBorder="1"/>
    <xf numFmtId="0" fontId="6" fillId="0" borderId="37" xfId="0" applyFont="1" applyBorder="1"/>
    <xf numFmtId="0" fontId="6" fillId="0" borderId="0" xfId="0" applyFont="1"/>
    <xf numFmtId="0" fontId="4" fillId="0" borderId="38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43" xfId="0" applyFont="1" applyBorder="1"/>
    <xf numFmtId="0" fontId="6" fillId="0" borderId="24" xfId="0" applyFont="1" applyBorder="1"/>
    <xf numFmtId="0" fontId="6" fillId="0" borderId="0" xfId="0" applyFont="1" applyBorder="1" applyAlignment="1"/>
    <xf numFmtId="0" fontId="6" fillId="0" borderId="33" xfId="0" applyFont="1" applyBorder="1"/>
    <xf numFmtId="0" fontId="6" fillId="0" borderId="4" xfId="0" applyFont="1" applyBorder="1"/>
    <xf numFmtId="0" fontId="6" fillId="0" borderId="4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" borderId="51" xfId="0" applyFont="1" applyFill="1" applyBorder="1"/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2" fontId="6" fillId="0" borderId="16" xfId="0" applyNumberFormat="1" applyFont="1" applyBorder="1"/>
    <xf numFmtId="0" fontId="6" fillId="0" borderId="52" xfId="0" applyFont="1" applyBorder="1"/>
    <xf numFmtId="0" fontId="6" fillId="2" borderId="52" xfId="0" applyFont="1" applyFill="1" applyBorder="1"/>
    <xf numFmtId="2" fontId="6" fillId="0" borderId="17" xfId="0" applyNumberFormat="1" applyFont="1" applyBorder="1"/>
    <xf numFmtId="0" fontId="6" fillId="0" borderId="50" xfId="0" applyFont="1" applyBorder="1"/>
    <xf numFmtId="0" fontId="17" fillId="0" borderId="21" xfId="0" applyFont="1" applyBorder="1" applyAlignment="1">
      <alignment horizontal="right"/>
    </xf>
    <xf numFmtId="0" fontId="17" fillId="2" borderId="21" xfId="0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/>
    <xf numFmtId="0" fontId="17" fillId="2" borderId="17" xfId="0" applyFont="1" applyFill="1" applyBorder="1"/>
    <xf numFmtId="0" fontId="17" fillId="2" borderId="16" xfId="0" applyFont="1" applyFill="1" applyBorder="1"/>
    <xf numFmtId="0" fontId="6" fillId="7" borderId="32" xfId="0" applyFont="1" applyFill="1" applyBorder="1"/>
    <xf numFmtId="0" fontId="6" fillId="7" borderId="2" xfId="0" applyFont="1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6" fillId="7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2" borderId="16" xfId="0" applyFont="1" applyFill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6" fillId="0" borderId="8" xfId="0" applyFont="1" applyBorder="1"/>
    <xf numFmtId="0" fontId="6" fillId="0" borderId="10" xfId="0" applyFont="1" applyBorder="1"/>
    <xf numFmtId="0" fontId="0" fillId="0" borderId="0" xfId="0" applyAlignment="1"/>
    <xf numFmtId="0" fontId="1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right" vertical="center"/>
    </xf>
    <xf numFmtId="0" fontId="6" fillId="0" borderId="26" xfId="0" applyFont="1" applyBorder="1" applyAlignment="1"/>
    <xf numFmtId="0" fontId="0" fillId="0" borderId="0" xfId="0"/>
    <xf numFmtId="0" fontId="6" fillId="0" borderId="39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20" xfId="0" applyFont="1" applyBorder="1"/>
    <xf numFmtId="0" fontId="6" fillId="0" borderId="45" xfId="0" applyFont="1" applyBorder="1"/>
    <xf numFmtId="0" fontId="6" fillId="0" borderId="44" xfId="0" applyFont="1" applyBorder="1"/>
    <xf numFmtId="0" fontId="4" fillId="0" borderId="45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right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6" fillId="0" borderId="28" xfId="0" applyFont="1" applyBorder="1" applyAlignment="1">
      <alignment horizontal="right" vertical="center"/>
    </xf>
    <xf numFmtId="0" fontId="6" fillId="0" borderId="45" xfId="0" applyFont="1" applyBorder="1" applyAlignment="1">
      <alignment horizontal="right" vertical="center"/>
    </xf>
    <xf numFmtId="0" fontId="6" fillId="2" borderId="45" xfId="0" applyFont="1" applyFill="1" applyBorder="1" applyAlignment="1">
      <alignment horizontal="right" vertical="center"/>
    </xf>
    <xf numFmtId="0" fontId="6" fillId="0" borderId="31" xfId="0" applyFont="1" applyBorder="1" applyAlignment="1">
      <alignment horizontal="right" vertical="center"/>
    </xf>
    <xf numFmtId="0" fontId="6" fillId="0" borderId="38" xfId="0" applyFont="1" applyBorder="1" applyAlignment="1">
      <alignment horizontal="right" vertical="center"/>
    </xf>
    <xf numFmtId="0" fontId="6" fillId="0" borderId="19" xfId="0" applyFont="1" applyBorder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6" fillId="0" borderId="21" xfId="0" applyFont="1" applyBorder="1" applyAlignment="1"/>
    <xf numFmtId="0" fontId="6" fillId="0" borderId="32" xfId="0" applyFont="1" applyBorder="1"/>
    <xf numFmtId="0" fontId="6" fillId="0" borderId="57" xfId="0" applyFont="1" applyBorder="1"/>
    <xf numFmtId="0" fontId="0" fillId="0" borderId="26" xfId="0" applyBorder="1"/>
    <xf numFmtId="0" fontId="6" fillId="0" borderId="55" xfId="0" applyFont="1" applyBorder="1"/>
    <xf numFmtId="0" fontId="6" fillId="0" borderId="54" xfId="0" applyFont="1" applyBorder="1" applyAlignment="1"/>
    <xf numFmtId="0" fontId="6" fillId="0" borderId="0" xfId="0" applyFont="1"/>
    <xf numFmtId="0" fontId="6" fillId="0" borderId="45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10" fontId="6" fillId="0" borderId="21" xfId="1" applyNumberFormat="1" applyFont="1" applyFill="1" applyBorder="1" applyAlignment="1">
      <alignment horizontal="center" vertical="center" wrapText="1"/>
    </xf>
    <xf numFmtId="2" fontId="6" fillId="0" borderId="21" xfId="1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2" fontId="6" fillId="0" borderId="21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9" fontId="6" fillId="2" borderId="3" xfId="1" applyFont="1" applyFill="1" applyBorder="1"/>
    <xf numFmtId="9" fontId="6" fillId="3" borderId="5" xfId="1" applyFont="1" applyFill="1" applyBorder="1"/>
    <xf numFmtId="9" fontId="6" fillId="2" borderId="5" xfId="1" applyFont="1" applyFill="1" applyBorder="1"/>
    <xf numFmtId="9" fontId="6" fillId="3" borderId="7" xfId="1" applyFont="1" applyFill="1" applyBorder="1"/>
    <xf numFmtId="9" fontId="6" fillId="0" borderId="14" xfId="1" applyFont="1" applyFill="1" applyBorder="1"/>
    <xf numFmtId="0" fontId="4" fillId="2" borderId="0" xfId="0" applyFont="1" applyFill="1" applyBorder="1" applyAlignment="1">
      <alignment vertical="center" wrapText="1"/>
    </xf>
    <xf numFmtId="9" fontId="6" fillId="2" borderId="14" xfId="1" applyFont="1" applyFill="1" applyBorder="1"/>
    <xf numFmtId="9" fontId="6" fillId="0" borderId="0" xfId="0" applyNumberFormat="1" applyFont="1" applyBorder="1"/>
    <xf numFmtId="0" fontId="6" fillId="0" borderId="50" xfId="0" applyFont="1" applyBorder="1" applyAlignment="1">
      <alignment horizontal="right"/>
    </xf>
    <xf numFmtId="0" fontId="6" fillId="0" borderId="51" xfId="0" applyFont="1" applyBorder="1"/>
    <xf numFmtId="9" fontId="6" fillId="0" borderId="21" xfId="0" applyNumberFormat="1" applyFont="1" applyBorder="1"/>
    <xf numFmtId="9" fontId="6" fillId="0" borderId="15" xfId="0" applyNumberFormat="1" applyFont="1" applyBorder="1"/>
    <xf numFmtId="0" fontId="4" fillId="0" borderId="45" xfId="0" applyFont="1" applyBorder="1"/>
    <xf numFmtId="0" fontId="16" fillId="0" borderId="0" xfId="0" applyFont="1"/>
    <xf numFmtId="0" fontId="16" fillId="0" borderId="0" xfId="0" applyFont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0" borderId="61" xfId="0" applyFont="1" applyBorder="1"/>
    <xf numFmtId="0" fontId="6" fillId="0" borderId="21" xfId="0" applyFont="1" applyBorder="1" applyAlignment="1">
      <alignment horizontal="right"/>
    </xf>
    <xf numFmtId="0" fontId="6" fillId="0" borderId="12" xfId="0" applyFont="1" applyBorder="1"/>
    <xf numFmtId="0" fontId="6" fillId="0" borderId="13" xfId="0" applyFont="1" applyBorder="1"/>
    <xf numFmtId="0" fontId="6" fillId="0" borderId="31" xfId="0" applyFont="1" applyBorder="1" applyAlignment="1">
      <alignment horizontal="right"/>
    </xf>
    <xf numFmtId="0" fontId="6" fillId="2" borderId="7" xfId="0" applyFont="1" applyFill="1" applyBorder="1"/>
    <xf numFmtId="0" fontId="6" fillId="0" borderId="49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righ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0" fillId="0" borderId="0" xfId="0"/>
    <xf numFmtId="0" fontId="7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6" fillId="0" borderId="52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6" fillId="0" borderId="2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5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55" xfId="0" applyFont="1" applyBorder="1" applyAlignment="1">
      <alignment horizontal="left" vertical="center"/>
    </xf>
    <xf numFmtId="0" fontId="6" fillId="0" borderId="47" xfId="0" applyFont="1" applyBorder="1" applyAlignment="1">
      <alignment horizontal="left"/>
    </xf>
    <xf numFmtId="0" fontId="6" fillId="0" borderId="53" xfId="0" applyFont="1" applyBorder="1" applyAlignment="1">
      <alignment horizontal="left"/>
    </xf>
    <xf numFmtId="0" fontId="6" fillId="0" borderId="49" xfId="0" applyFont="1" applyBorder="1" applyAlignment="1">
      <alignment horizontal="left"/>
    </xf>
    <xf numFmtId="0" fontId="6" fillId="0" borderId="46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55" xfId="0" applyFont="1" applyBorder="1" applyAlignment="1">
      <alignment horizontal="left"/>
    </xf>
    <xf numFmtId="0" fontId="6" fillId="0" borderId="45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45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1.2'!$F$18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1.2'!$C$19:$C$26</c:f>
              <c:strCache>
                <c:ptCount val="8"/>
                <c:pt idx="0">
                  <c:v>Machine 6</c:v>
                </c:pt>
                <c:pt idx="1">
                  <c:v>Machine 3</c:v>
                </c:pt>
                <c:pt idx="2">
                  <c:v>Machine 1</c:v>
                </c:pt>
                <c:pt idx="3">
                  <c:v>Machine 4</c:v>
                </c:pt>
                <c:pt idx="4">
                  <c:v>Machine 5</c:v>
                </c:pt>
                <c:pt idx="5">
                  <c:v>Machine 2</c:v>
                </c:pt>
                <c:pt idx="6">
                  <c:v>Machine 7</c:v>
                </c:pt>
                <c:pt idx="7">
                  <c:v>Machine 8</c:v>
                </c:pt>
              </c:strCache>
            </c:strRef>
          </c:cat>
          <c:val>
            <c:numRef>
              <c:f>'Ex 1.2'!$F$19:$F$26</c:f>
              <c:numCache>
                <c:formatCode>0.00%</c:formatCode>
                <c:ptCount val="8"/>
                <c:pt idx="0">
                  <c:v>0.29378531073446329</c:v>
                </c:pt>
                <c:pt idx="1">
                  <c:v>0.49152542372881358</c:v>
                </c:pt>
                <c:pt idx="2">
                  <c:v>0.6384180790960452</c:v>
                </c:pt>
                <c:pt idx="3">
                  <c:v>0.77401129943502822</c:v>
                </c:pt>
                <c:pt idx="4">
                  <c:v>0.88700564971751406</c:v>
                </c:pt>
                <c:pt idx="5">
                  <c:v>0.96045197740112986</c:v>
                </c:pt>
                <c:pt idx="6">
                  <c:v>0.98870056497175129</c:v>
                </c:pt>
                <c:pt idx="7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8-4CE5-8930-6D5E8511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23608"/>
        <c:axId val="444220000"/>
      </c:barChart>
      <c:catAx>
        <c:axId val="4442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20000"/>
        <c:crosses val="autoZero"/>
        <c:auto val="1"/>
        <c:lblAlgn val="ctr"/>
        <c:lblOffset val="100"/>
        <c:noMultiLvlLbl val="0"/>
      </c:catAx>
      <c:valAx>
        <c:axId val="4442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2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1.4'!$F$14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1.4'!$C$15:$C$19</c:f>
              <c:strCache>
                <c:ptCount val="5"/>
                <c:pt idx="0">
                  <c:v>C1</c:v>
                </c:pt>
                <c:pt idx="1">
                  <c:v>C4</c:v>
                </c:pt>
                <c:pt idx="2">
                  <c:v>C3</c:v>
                </c:pt>
                <c:pt idx="3">
                  <c:v>C5</c:v>
                </c:pt>
                <c:pt idx="4">
                  <c:v>C2</c:v>
                </c:pt>
              </c:strCache>
            </c:strRef>
          </c:cat>
          <c:val>
            <c:numRef>
              <c:f>'Ex 1.4'!$F$15:$F$19</c:f>
              <c:numCache>
                <c:formatCode>0.00%</c:formatCode>
                <c:ptCount val="5"/>
                <c:pt idx="0">
                  <c:v>0.32894736842105265</c:v>
                </c:pt>
                <c:pt idx="1">
                  <c:v>0.6228070175438597</c:v>
                </c:pt>
                <c:pt idx="2">
                  <c:v>0.81798245614035092</c:v>
                </c:pt>
                <c:pt idx="3">
                  <c:v>0.9671052631578948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E-4451-A1B9-3624F6B5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858696"/>
        <c:axId val="654865584"/>
      </c:barChart>
      <c:catAx>
        <c:axId val="65485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865584"/>
        <c:crosses val="autoZero"/>
        <c:auto val="1"/>
        <c:lblAlgn val="ctr"/>
        <c:lblOffset val="100"/>
        <c:noMultiLvlLbl val="0"/>
      </c:catAx>
      <c:valAx>
        <c:axId val="6548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85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1.4'!$F$22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1.4'!$C$23:$C$27</c:f>
              <c:strCache>
                <c:ptCount val="5"/>
                <c:pt idx="0">
                  <c:v>C2</c:v>
                </c:pt>
                <c:pt idx="1">
                  <c:v>C5</c:v>
                </c:pt>
                <c:pt idx="2">
                  <c:v>C4</c:v>
                </c:pt>
                <c:pt idx="3">
                  <c:v>C1</c:v>
                </c:pt>
                <c:pt idx="4">
                  <c:v>C3</c:v>
                </c:pt>
              </c:strCache>
            </c:strRef>
          </c:cat>
          <c:val>
            <c:numRef>
              <c:f>'Ex 1.4'!$F$23:$F$27</c:f>
              <c:numCache>
                <c:formatCode>0.00%</c:formatCode>
                <c:ptCount val="5"/>
                <c:pt idx="0">
                  <c:v>0.70186466670012082</c:v>
                </c:pt>
                <c:pt idx="1">
                  <c:v>0.82446569089228883</c:v>
                </c:pt>
                <c:pt idx="2">
                  <c:v>0.8880371136546189</c:v>
                </c:pt>
                <c:pt idx="3">
                  <c:v>0.9489603918301116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C-41CA-825A-C3873018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75520"/>
        <c:axId val="548978800"/>
      </c:barChart>
      <c:catAx>
        <c:axId val="5489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78800"/>
        <c:crosses val="autoZero"/>
        <c:auto val="1"/>
        <c:lblAlgn val="ctr"/>
        <c:lblOffset val="100"/>
        <c:noMultiLvlLbl val="0"/>
      </c:catAx>
      <c:valAx>
        <c:axId val="548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1.4'!$F$33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1.4'!$C$34:$C$38</c:f>
              <c:strCache>
                <c:ptCount val="5"/>
                <c:pt idx="0">
                  <c:v>C2</c:v>
                </c:pt>
                <c:pt idx="1">
                  <c:v>C1</c:v>
                </c:pt>
                <c:pt idx="2">
                  <c:v>C4</c:v>
                </c:pt>
                <c:pt idx="3">
                  <c:v>C5</c:v>
                </c:pt>
                <c:pt idx="4">
                  <c:v>C3</c:v>
                </c:pt>
              </c:strCache>
            </c:strRef>
          </c:cat>
          <c:val>
            <c:numRef>
              <c:f>'Ex 1.4'!$F$34:$F$38</c:f>
              <c:numCache>
                <c:formatCode>0.00%</c:formatCode>
                <c:ptCount val="5"/>
                <c:pt idx="0">
                  <c:v>0.25637688703800104</c:v>
                </c:pt>
                <c:pt idx="1">
                  <c:v>0.47891723060905778</c:v>
                </c:pt>
                <c:pt idx="2">
                  <c:v>0.6863612701717855</c:v>
                </c:pt>
                <c:pt idx="3">
                  <c:v>0.88938053097345127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E-4D77-89D0-650AF875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867880"/>
        <c:axId val="654838360"/>
      </c:barChart>
      <c:catAx>
        <c:axId val="6548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838360"/>
        <c:crosses val="autoZero"/>
        <c:auto val="1"/>
        <c:lblAlgn val="ctr"/>
        <c:lblOffset val="100"/>
        <c:noMultiLvlLbl val="0"/>
      </c:catAx>
      <c:valAx>
        <c:axId val="6548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86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1.4'!$F$48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1.4'!$C$49:$C$53</c:f>
              <c:strCache>
                <c:ptCount val="5"/>
                <c:pt idx="0">
                  <c:v>C2</c:v>
                </c:pt>
                <c:pt idx="1">
                  <c:v>C1</c:v>
                </c:pt>
                <c:pt idx="2">
                  <c:v>C4</c:v>
                </c:pt>
                <c:pt idx="3">
                  <c:v>C5</c:v>
                </c:pt>
                <c:pt idx="4">
                  <c:v>C3</c:v>
                </c:pt>
              </c:strCache>
            </c:strRef>
          </c:cat>
          <c:val>
            <c:numRef>
              <c:f>'Ex 1.4'!$F$49:$F$53</c:f>
              <c:numCache>
                <c:formatCode>0.00%</c:formatCode>
                <c:ptCount val="5"/>
                <c:pt idx="0">
                  <c:v>0.24444444444444444</c:v>
                </c:pt>
                <c:pt idx="1">
                  <c:v>0.46666666666666667</c:v>
                </c:pt>
                <c:pt idx="2">
                  <c:v>0.68888888888888888</c:v>
                </c:pt>
                <c:pt idx="3">
                  <c:v>0.88888888888888884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7-4C3B-B22C-D7A61EB4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865912"/>
        <c:axId val="654866240"/>
      </c:barChart>
      <c:catAx>
        <c:axId val="65486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866240"/>
        <c:crosses val="autoZero"/>
        <c:auto val="1"/>
        <c:lblAlgn val="ctr"/>
        <c:lblOffset val="100"/>
        <c:noMultiLvlLbl val="0"/>
      </c:catAx>
      <c:valAx>
        <c:axId val="6548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86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1.4'!$F$60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1.4'!$C$61:$C$65</c:f>
              <c:strCache>
                <c:ptCount val="5"/>
                <c:pt idx="0">
                  <c:v>C2</c:v>
                </c:pt>
                <c:pt idx="1">
                  <c:v>C1</c:v>
                </c:pt>
                <c:pt idx="2">
                  <c:v>C4</c:v>
                </c:pt>
                <c:pt idx="3">
                  <c:v>C5</c:v>
                </c:pt>
                <c:pt idx="4">
                  <c:v>C3</c:v>
                </c:pt>
              </c:strCache>
            </c:strRef>
          </c:cat>
          <c:val>
            <c:numRef>
              <c:f>'Ex 1.4'!$F$61:$F$65</c:f>
              <c:numCache>
                <c:formatCode>0.00%</c:formatCode>
                <c:ptCount val="5"/>
                <c:pt idx="0">
                  <c:v>0.47622704579896591</c:v>
                </c:pt>
                <c:pt idx="1">
                  <c:v>0.65291900903022992</c:v>
                </c:pt>
                <c:pt idx="2">
                  <c:v>0.81239184899270267</c:v>
                </c:pt>
                <c:pt idx="3">
                  <c:v>0.92003910222110696</c:v>
                </c:pt>
                <c:pt idx="4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4-416C-9204-1B674EB3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78128"/>
        <c:axId val="554380424"/>
      </c:barChart>
      <c:catAx>
        <c:axId val="5543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380424"/>
        <c:crosses val="autoZero"/>
        <c:auto val="1"/>
        <c:lblAlgn val="ctr"/>
        <c:lblOffset val="100"/>
        <c:noMultiLvlLbl val="0"/>
      </c:catAx>
      <c:valAx>
        <c:axId val="5543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3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FREX, Rrex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 2.2'!$J$4</c:f>
              <c:strCache>
                <c:ptCount val="1"/>
                <c:pt idx="0">
                  <c:v>FREX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2.2'!$G$5:$G$19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'Ex 2.2'!$J$5:$J$19</c:f>
              <c:numCache>
                <c:formatCode>0%</c:formatCode>
                <c:ptCount val="15"/>
                <c:pt idx="0">
                  <c:v>0.26666666666666666</c:v>
                </c:pt>
                <c:pt idx="1">
                  <c:v>0.38</c:v>
                </c:pt>
                <c:pt idx="2">
                  <c:v>0.40666666666666668</c:v>
                </c:pt>
                <c:pt idx="3">
                  <c:v>0.42666666666666669</c:v>
                </c:pt>
                <c:pt idx="4">
                  <c:v>0.44666666666666666</c:v>
                </c:pt>
                <c:pt idx="5">
                  <c:v>0.46</c:v>
                </c:pt>
                <c:pt idx="6">
                  <c:v>0.47333333333333333</c:v>
                </c:pt>
                <c:pt idx="7">
                  <c:v>0.48666666666666669</c:v>
                </c:pt>
                <c:pt idx="8">
                  <c:v>0.5</c:v>
                </c:pt>
                <c:pt idx="9">
                  <c:v>0.52</c:v>
                </c:pt>
                <c:pt idx="10">
                  <c:v>0.55333333333333334</c:v>
                </c:pt>
                <c:pt idx="11">
                  <c:v>0.62</c:v>
                </c:pt>
                <c:pt idx="12">
                  <c:v>0.70666666666666667</c:v>
                </c:pt>
                <c:pt idx="13">
                  <c:v>0.83333333333333337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7-4011-BF33-978383375BA0}"/>
            </c:ext>
          </c:extLst>
        </c:ser>
        <c:ser>
          <c:idx val="1"/>
          <c:order val="1"/>
          <c:tx>
            <c:strRef>
              <c:f>'Ex 2.2'!$L$4</c:f>
              <c:strCache>
                <c:ptCount val="1"/>
                <c:pt idx="0">
                  <c:v>Rrex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2.2'!$G$5:$G$19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'Ex 2.2'!$L$5:$L$19</c:f>
              <c:numCache>
                <c:formatCode>0%</c:formatCode>
                <c:ptCount val="15"/>
                <c:pt idx="0">
                  <c:v>0.73333333333333339</c:v>
                </c:pt>
                <c:pt idx="1">
                  <c:v>0.62</c:v>
                </c:pt>
                <c:pt idx="2">
                  <c:v>0.59333333333333327</c:v>
                </c:pt>
                <c:pt idx="3">
                  <c:v>0.57333333333333325</c:v>
                </c:pt>
                <c:pt idx="4">
                  <c:v>0.55333333333333334</c:v>
                </c:pt>
                <c:pt idx="5">
                  <c:v>0.54</c:v>
                </c:pt>
                <c:pt idx="6">
                  <c:v>0.52666666666666662</c:v>
                </c:pt>
                <c:pt idx="7">
                  <c:v>0.51333333333333331</c:v>
                </c:pt>
                <c:pt idx="8">
                  <c:v>0.5</c:v>
                </c:pt>
                <c:pt idx="9">
                  <c:v>0.48</c:v>
                </c:pt>
                <c:pt idx="10">
                  <c:v>0.44666666666666666</c:v>
                </c:pt>
                <c:pt idx="11">
                  <c:v>0.38</c:v>
                </c:pt>
                <c:pt idx="12">
                  <c:v>0.29333333333333333</c:v>
                </c:pt>
                <c:pt idx="13">
                  <c:v>0.16666666666666663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7-4011-BF33-97838337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62840"/>
        <c:axId val="595758248"/>
      </c:scatterChart>
      <c:valAx>
        <c:axId val="59576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758248"/>
        <c:crosses val="autoZero"/>
        <c:crossBetween val="midCat"/>
      </c:valAx>
      <c:valAx>
        <c:axId val="5957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7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 2.3'!$I$4</c:f>
              <c:strCache>
                <c:ptCount val="1"/>
                <c:pt idx="0">
                  <c:v>Failure rate (/1000h)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2.3'!$G$5:$G$19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'Ex 2.3'!$I$5:$I$19</c:f>
              <c:numCache>
                <c:formatCode>0.000</c:formatCode>
                <c:ptCount val="15"/>
                <c:pt idx="0">
                  <c:v>0.06</c:v>
                </c:pt>
                <c:pt idx="1">
                  <c:v>2.1999999999999999E-2</c:v>
                </c:pt>
                <c:pt idx="2">
                  <c:v>1.0999999999999999E-2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1.0999999999999999E-2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0.02</c:v>
                </c:pt>
                <c:pt idx="12">
                  <c:v>2.5000000000000001E-2</c:v>
                </c:pt>
                <c:pt idx="13">
                  <c:v>6.5000000000000002E-2</c:v>
                </c:pt>
                <c:pt idx="14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5-48CE-9A11-DFDFF20FE782}"/>
            </c:ext>
          </c:extLst>
        </c:ser>
        <c:ser>
          <c:idx val="1"/>
          <c:order val="1"/>
          <c:tx>
            <c:strRef>
              <c:f>'Ex 2.3'!$K$4</c:f>
              <c:strCache>
                <c:ptCount val="1"/>
                <c:pt idx="0">
                  <c:v>Cumulative failure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2.3'!$G$5:$G$19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'Ex 2.3'!$K$5:$K$19</c:f>
              <c:numCache>
                <c:formatCode>0.0000</c:formatCode>
                <c:ptCount val="15"/>
                <c:pt idx="0">
                  <c:v>0.06</c:v>
                </c:pt>
                <c:pt idx="1">
                  <c:v>4.1000000000000002E-2</c:v>
                </c:pt>
                <c:pt idx="2">
                  <c:v>3.1E-2</c:v>
                </c:pt>
                <c:pt idx="3">
                  <c:v>2.5749999999999999E-2</c:v>
                </c:pt>
                <c:pt idx="4">
                  <c:v>2.2200000000000001E-2</c:v>
                </c:pt>
                <c:pt idx="5">
                  <c:v>2.0166666666666666E-2</c:v>
                </c:pt>
                <c:pt idx="6">
                  <c:v>1.9E-2</c:v>
                </c:pt>
                <c:pt idx="7">
                  <c:v>1.7999999999999999E-2</c:v>
                </c:pt>
                <c:pt idx="8">
                  <c:v>1.7111111111111112E-2</c:v>
                </c:pt>
                <c:pt idx="9">
                  <c:v>1.6899999999999998E-2</c:v>
                </c:pt>
                <c:pt idx="10">
                  <c:v>1.6909090909090908E-2</c:v>
                </c:pt>
                <c:pt idx="11">
                  <c:v>1.7166666666666667E-2</c:v>
                </c:pt>
                <c:pt idx="12">
                  <c:v>1.776923076923077E-2</c:v>
                </c:pt>
                <c:pt idx="13">
                  <c:v>2.1142857142857144E-2</c:v>
                </c:pt>
                <c:pt idx="14">
                  <c:v>2.5733333333333334E-2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45-48CE-9A11-DFDFF20F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22320"/>
        <c:axId val="578717400"/>
      </c:scatterChart>
      <c:valAx>
        <c:axId val="5787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17400"/>
        <c:crosses val="autoZero"/>
        <c:crossBetween val="midCat"/>
      </c:valAx>
      <c:valAx>
        <c:axId val="5787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Rrex</a:t>
            </a:r>
            <a:r>
              <a:rPr lang="fr-FR" baseline="0"/>
              <a:t> exponential training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190944881889765"/>
                  <c:y val="0.19211176727909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1,0686e</a:t>
                    </a:r>
                    <a:r>
                      <a:rPr lang="en-US" sz="1200" baseline="30000"/>
                      <a:t>-0,015x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0,8359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'Ex 2.5'!$N$36:$N$53</c:f>
              <c:numCache>
                <c:formatCode>General</c:formatCode>
                <c:ptCount val="18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0.99299999999999999</c:v>
                </c:pt>
                <c:pt idx="4">
                  <c:v>0.99099999999999999</c:v>
                </c:pt>
                <c:pt idx="5">
                  <c:v>0.99</c:v>
                </c:pt>
                <c:pt idx="6">
                  <c:v>0.97699999999999998</c:v>
                </c:pt>
                <c:pt idx="7">
                  <c:v>0.97499999999999998</c:v>
                </c:pt>
                <c:pt idx="8">
                  <c:v>0.96499999999999997</c:v>
                </c:pt>
                <c:pt idx="9">
                  <c:v>0.95399999999999996</c:v>
                </c:pt>
                <c:pt idx="10">
                  <c:v>0.93900000000000006</c:v>
                </c:pt>
                <c:pt idx="11">
                  <c:v>0.91400000000000003</c:v>
                </c:pt>
                <c:pt idx="12">
                  <c:v>0.90200000000000002</c:v>
                </c:pt>
                <c:pt idx="13">
                  <c:v>0.88600000000000001</c:v>
                </c:pt>
                <c:pt idx="14">
                  <c:v>0.85099999999999998</c:v>
                </c:pt>
                <c:pt idx="15">
                  <c:v>0.82099999999999995</c:v>
                </c:pt>
                <c:pt idx="16">
                  <c:v>0.78200000000000003</c:v>
                </c:pt>
                <c:pt idx="17">
                  <c:v>0.749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3-49AE-AEF5-31896E78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65120"/>
        <c:axId val="413563480"/>
      </c:scatterChart>
      <c:valAx>
        <c:axId val="4135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63480"/>
        <c:crosses val="autoZero"/>
        <c:crossBetween val="midCat"/>
      </c:valAx>
      <c:valAx>
        <c:axId val="4135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Weibull lifetime</a:t>
            </a:r>
            <a:r>
              <a:rPr lang="fr-FR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52034120734907"/>
                  <c:y val="0.172572543015456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3,8373x - 13,137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 2.5'!$R$36:$R$53</c:f>
              <c:numCache>
                <c:formatCode>General</c:formatCode>
                <c:ptCount val="18"/>
                <c:pt idx="0">
                  <c:v>1.6094379124341003</c:v>
                </c:pt>
                <c:pt idx="1">
                  <c:v>1.791759469228055</c:v>
                </c:pt>
                <c:pt idx="2">
                  <c:v>1.9459101490553132</c:v>
                </c:pt>
                <c:pt idx="3">
                  <c:v>2.0794415416798357</c:v>
                </c:pt>
                <c:pt idx="4">
                  <c:v>2.1972245773362196</c:v>
                </c:pt>
                <c:pt idx="5">
                  <c:v>2.3025850929940459</c:v>
                </c:pt>
                <c:pt idx="6">
                  <c:v>2.3978952727983707</c:v>
                </c:pt>
                <c:pt idx="7">
                  <c:v>2.4849066497880004</c:v>
                </c:pt>
                <c:pt idx="8">
                  <c:v>2.5649493574615367</c:v>
                </c:pt>
                <c:pt idx="9">
                  <c:v>2.6390573296152584</c:v>
                </c:pt>
                <c:pt idx="10">
                  <c:v>2.7080502011022101</c:v>
                </c:pt>
                <c:pt idx="11">
                  <c:v>2.7725887222397811</c:v>
                </c:pt>
                <c:pt idx="12">
                  <c:v>2.8332133440562162</c:v>
                </c:pt>
                <c:pt idx="13">
                  <c:v>2.8903717578961645</c:v>
                </c:pt>
                <c:pt idx="14">
                  <c:v>2.9444389791664403</c:v>
                </c:pt>
                <c:pt idx="15">
                  <c:v>2.9957322735539909</c:v>
                </c:pt>
                <c:pt idx="16">
                  <c:v>3.044522437723423</c:v>
                </c:pt>
                <c:pt idx="17">
                  <c:v>3.0910424533583161</c:v>
                </c:pt>
              </c:numCache>
            </c:numRef>
          </c:xVal>
          <c:yVal>
            <c:numRef>
              <c:f>'Ex 2.5'!$S$36:$S$53</c:f>
              <c:numCache>
                <c:formatCode>General</c:formatCode>
                <c:ptCount val="18"/>
                <c:pt idx="0">
                  <c:v>-6.9072550705237159</c:v>
                </c:pt>
                <c:pt idx="1">
                  <c:v>-6.2136072640874609</c:v>
                </c:pt>
                <c:pt idx="2">
                  <c:v>-5.8076411119319511</c:v>
                </c:pt>
                <c:pt idx="3">
                  <c:v>-4.9583348785081203</c:v>
                </c:pt>
                <c:pt idx="4">
                  <c:v>-4.7060137349451834</c:v>
                </c:pt>
                <c:pt idx="5">
                  <c:v>-4.6001492267765789</c:v>
                </c:pt>
                <c:pt idx="6">
                  <c:v>-3.7606493090231754</c:v>
                </c:pt>
                <c:pt idx="7">
                  <c:v>-3.6762472579541758</c:v>
                </c:pt>
                <c:pt idx="8">
                  <c:v>-3.3346465154361948</c:v>
                </c:pt>
                <c:pt idx="9">
                  <c:v>-3.0556604778310992</c:v>
                </c:pt>
                <c:pt idx="10">
                  <c:v>-2.7655765685731466</c:v>
                </c:pt>
                <c:pt idx="11">
                  <c:v>-2.4087825418051043</c:v>
                </c:pt>
                <c:pt idx="12">
                  <c:v>-2.2716606322371478</c:v>
                </c:pt>
                <c:pt idx="13">
                  <c:v>-2.1116480200975998</c:v>
                </c:pt>
                <c:pt idx="14">
                  <c:v>-1.8242218131437868</c:v>
                </c:pt>
                <c:pt idx="15">
                  <c:v>-1.6233737186287005</c:v>
                </c:pt>
                <c:pt idx="16">
                  <c:v>-1.4028281401046976</c:v>
                </c:pt>
                <c:pt idx="17">
                  <c:v>-1.2412722067675619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8-4910-8451-7867F115D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46752"/>
        <c:axId val="413545768"/>
      </c:scatterChart>
      <c:valAx>
        <c:axId val="4135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45768"/>
        <c:crosses val="autoZero"/>
        <c:crossBetween val="midCat"/>
      </c:valAx>
      <c:valAx>
        <c:axId val="4135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R(t) over 14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 2.5'!$X$61</c:f>
              <c:strCache>
                <c:ptCount val="1"/>
                <c:pt idx="0">
                  <c:v>Exp 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2.5'!$W$62:$W$76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 2.5'!$X$62:$X$76</c:f>
              <c:numCache>
                <c:formatCode>General</c:formatCode>
                <c:ptCount val="15"/>
                <c:pt idx="0">
                  <c:v>1</c:v>
                </c:pt>
                <c:pt idx="1">
                  <c:v>0.95492824307748825</c:v>
                </c:pt>
                <c:pt idx="2">
                  <c:v>0.91188794942705853</c:v>
                </c:pt>
                <c:pt idx="3">
                  <c:v>0.87078755742991443</c:v>
                </c:pt>
                <c:pt idx="4">
                  <c:v>0.8315396323102856</c:v>
                </c:pt>
                <c:pt idx="5">
                  <c:v>0.79406068013136166</c:v>
                </c:pt>
                <c:pt idx="6">
                  <c:v>0.75827097017475653</c:v>
                </c:pt>
                <c:pt idx="7">
                  <c:v>0.72409436532564275</c:v>
                </c:pt>
                <c:pt idx="8">
                  <c:v>0.69145816010272498</c:v>
                </c:pt>
                <c:pt idx="9">
                  <c:v>0.66029292598848777</c:v>
                </c:pt>
                <c:pt idx="10">
                  <c:v>0.63053236373068056</c:v>
                </c:pt>
                <c:pt idx="11">
                  <c:v>0.60211316230083456</c:v>
                </c:pt>
                <c:pt idx="12">
                  <c:v>0.57497486420976651</c:v>
                </c:pt>
                <c:pt idx="13">
                  <c:v>0.5490597368935497</c:v>
                </c:pt>
                <c:pt idx="14">
                  <c:v>0.52431264989634541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B-4F5B-B8C2-BB5E2FC6C65D}"/>
            </c:ext>
          </c:extLst>
        </c:ser>
        <c:ser>
          <c:idx val="1"/>
          <c:order val="1"/>
          <c:tx>
            <c:strRef>
              <c:f>'Ex 2.5'!$Y$61</c:f>
              <c:strCache>
                <c:ptCount val="1"/>
                <c:pt idx="0">
                  <c:v>Exp reg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2.5'!$W$62:$W$76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 2.5'!$Y$62:$Y$76</c:f>
              <c:numCache>
                <c:formatCode>General</c:formatCode>
                <c:ptCount val="15"/>
                <c:pt idx="0">
                  <c:v>1</c:v>
                </c:pt>
                <c:pt idx="1">
                  <c:v>0.98511193960306265</c:v>
                </c:pt>
                <c:pt idx="2">
                  <c:v>0.97044553354850815</c:v>
                </c:pt>
                <c:pt idx="3">
                  <c:v>0.95599748183309996</c:v>
                </c:pt>
                <c:pt idx="4">
                  <c:v>0.94176453358424872</c:v>
                </c:pt>
                <c:pt idx="5">
                  <c:v>0.92774348632855286</c:v>
                </c:pt>
                <c:pt idx="6">
                  <c:v>0.91393118527122819</c:v>
                </c:pt>
                <c:pt idx="7">
                  <c:v>0.90032452258626561</c:v>
                </c:pt>
                <c:pt idx="8">
                  <c:v>0.88692043671715748</c:v>
                </c:pt>
                <c:pt idx="9">
                  <c:v>0.87371591168803442</c:v>
                </c:pt>
                <c:pt idx="10">
                  <c:v>0.86070797642505781</c:v>
                </c:pt>
                <c:pt idx="11">
                  <c:v>0.84789370408791587</c:v>
                </c:pt>
                <c:pt idx="12">
                  <c:v>0.835270211411272</c:v>
                </c:pt>
                <c:pt idx="13">
                  <c:v>0.82283465805601841</c:v>
                </c:pt>
                <c:pt idx="14">
                  <c:v>0.81058424597018708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B-4F5B-B8C2-BB5E2FC6C65D}"/>
            </c:ext>
          </c:extLst>
        </c:ser>
        <c:ser>
          <c:idx val="2"/>
          <c:order val="2"/>
          <c:tx>
            <c:strRef>
              <c:f>'Ex 2.5'!$Z$61</c:f>
              <c:strCache>
                <c:ptCount val="1"/>
                <c:pt idx="0">
                  <c:v>Weibull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 2.5'!$W$62:$W$76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 2.5'!$Z$62:$Z$76</c:f>
              <c:numCache>
                <c:formatCode>General</c:formatCode>
                <c:ptCount val="15"/>
                <c:pt idx="0">
                  <c:v>1</c:v>
                </c:pt>
                <c:pt idx="1">
                  <c:v>0.99999802906199819</c:v>
                </c:pt>
                <c:pt idx="2">
                  <c:v>0.9999718285191731</c:v>
                </c:pt>
                <c:pt idx="3">
                  <c:v>0.99986649369083291</c:v>
                </c:pt>
                <c:pt idx="4">
                  <c:v>0.99959740279230136</c:v>
                </c:pt>
                <c:pt idx="5">
                  <c:v>0.99905239981067917</c:v>
                </c:pt>
                <c:pt idx="6">
                  <c:v>0.99809340327433771</c:v>
                </c:pt>
                <c:pt idx="7">
                  <c:v>0.99655793085578737</c:v>
                </c:pt>
                <c:pt idx="8">
                  <c:v>0.99426080003903361</c:v>
                </c:pt>
                <c:pt idx="9">
                  <c:v>0.99099620396102295</c:v>
                </c:pt>
                <c:pt idx="10">
                  <c:v>0.98654033849474221</c:v>
                </c:pt>
                <c:pt idx="11">
                  <c:v>0.98065474254344431</c:v>
                </c:pt>
                <c:pt idx="12">
                  <c:v>0.97309049758044475</c:v>
                </c:pt>
                <c:pt idx="13">
                  <c:v>0.96359340897908696</c:v>
                </c:pt>
                <c:pt idx="14">
                  <c:v>0.9519102567510288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FB-4F5B-B8C2-BB5E2FC6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86032"/>
        <c:axId val="557282096"/>
      </c:scatterChart>
      <c:valAx>
        <c:axId val="5572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282096"/>
        <c:crosses val="autoZero"/>
        <c:crossBetween val="midCat"/>
      </c:valAx>
      <c:valAx>
        <c:axId val="5572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2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1.2'!$F$29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1.2'!$C$30:$C$37</c:f>
              <c:strCache>
                <c:ptCount val="8"/>
                <c:pt idx="0">
                  <c:v>Machine 7</c:v>
                </c:pt>
                <c:pt idx="1">
                  <c:v>Machine 5</c:v>
                </c:pt>
                <c:pt idx="2">
                  <c:v>Machine 2</c:v>
                </c:pt>
                <c:pt idx="3">
                  <c:v>Machine 4</c:v>
                </c:pt>
                <c:pt idx="4">
                  <c:v>Machine 8</c:v>
                </c:pt>
                <c:pt idx="5">
                  <c:v>Machine 6</c:v>
                </c:pt>
                <c:pt idx="6">
                  <c:v>Machine 1</c:v>
                </c:pt>
                <c:pt idx="7">
                  <c:v>Machine 3</c:v>
                </c:pt>
              </c:strCache>
            </c:strRef>
          </c:cat>
          <c:val>
            <c:numRef>
              <c:f>'Ex 1.2'!$F$30:$F$37</c:f>
              <c:numCache>
                <c:formatCode>0.00%</c:formatCode>
                <c:ptCount val="8"/>
                <c:pt idx="0">
                  <c:v>0.24655380261019968</c:v>
                </c:pt>
                <c:pt idx="1">
                  <c:v>0.46669112636930654</c:v>
                </c:pt>
                <c:pt idx="2">
                  <c:v>0.62315796264116408</c:v>
                </c:pt>
                <c:pt idx="3">
                  <c:v>0.77468582049534929</c:v>
                </c:pt>
                <c:pt idx="4">
                  <c:v>0.88475448237490273</c:v>
                </c:pt>
                <c:pt idx="5">
                  <c:v>0.92996730194696542</c:v>
                </c:pt>
                <c:pt idx="6">
                  <c:v>0.97484144871324485</c:v>
                </c:pt>
                <c:pt idx="7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7-40D1-A377-FC7B27DF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29840"/>
        <c:axId val="449150344"/>
      </c:barChart>
      <c:catAx>
        <c:axId val="4442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150344"/>
        <c:crosses val="autoZero"/>
        <c:auto val="1"/>
        <c:lblAlgn val="ctr"/>
        <c:lblOffset val="100"/>
        <c:noMultiLvlLbl val="0"/>
      </c:catAx>
      <c:valAx>
        <c:axId val="4491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Rrex</a:t>
            </a:r>
            <a:r>
              <a:rPr lang="fr-FR" baseline="0"/>
              <a:t> exponential training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314391951006124"/>
                  <c:y val="-0.340285797608632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3,1998e</a:t>
                    </a:r>
                    <a:r>
                      <a:rPr lang="en-US" sz="1200" baseline="30000"/>
                      <a:t>-0,291x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0,7257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'Ex 2.6'!$N$24:$N$37</c:f>
              <c:numCache>
                <c:formatCode>General</c:formatCode>
                <c:ptCount val="14"/>
                <c:pt idx="0">
                  <c:v>0.98599999999999999</c:v>
                </c:pt>
                <c:pt idx="1">
                  <c:v>0.97399999999999998</c:v>
                </c:pt>
                <c:pt idx="2">
                  <c:v>0.96</c:v>
                </c:pt>
                <c:pt idx="3">
                  <c:v>0.94599999999999995</c:v>
                </c:pt>
                <c:pt idx="4">
                  <c:v>0.92</c:v>
                </c:pt>
                <c:pt idx="5">
                  <c:v>0.89</c:v>
                </c:pt>
                <c:pt idx="6">
                  <c:v>0.83</c:v>
                </c:pt>
                <c:pt idx="7">
                  <c:v>0.7</c:v>
                </c:pt>
                <c:pt idx="8">
                  <c:v>0.52</c:v>
                </c:pt>
                <c:pt idx="9">
                  <c:v>0.37</c:v>
                </c:pt>
                <c:pt idx="10">
                  <c:v>0.19999999999999996</c:v>
                </c:pt>
                <c:pt idx="11">
                  <c:v>9.9999999999999978E-2</c:v>
                </c:pt>
                <c:pt idx="12">
                  <c:v>4.0000000000000036E-2</c:v>
                </c:pt>
                <c:pt idx="13">
                  <c:v>1.0000000000000009E-2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B-47AE-B78D-CBAD7B25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61424"/>
        <c:axId val="406362080"/>
      </c:scatterChart>
      <c:valAx>
        <c:axId val="4063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62080"/>
        <c:crosses val="autoZero"/>
        <c:crossBetween val="midCat"/>
      </c:valAx>
      <c:valAx>
        <c:axId val="4063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Yrex weibull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2.6'!$S$23</c:f>
              <c:strCache>
                <c:ptCount val="1"/>
                <c:pt idx="0">
                  <c:v>Yrex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108923884514436E-2"/>
                  <c:y val="0.496632035578885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1,8483x - 3,8692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0,9099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 2.6'!$R$24:$R$37</c:f>
              <c:numCache>
                <c:formatCode>General</c:formatCode>
                <c:ptCount val="14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1.6094379124341003</c:v>
                </c:pt>
                <c:pt idx="7">
                  <c:v>1.791759469228055</c:v>
                </c:pt>
                <c:pt idx="8">
                  <c:v>1.9459101490553132</c:v>
                </c:pt>
                <c:pt idx="9">
                  <c:v>2.0794415416798357</c:v>
                </c:pt>
                <c:pt idx="10">
                  <c:v>2.1972245773362196</c:v>
                </c:pt>
                <c:pt idx="11">
                  <c:v>2.3025850929940459</c:v>
                </c:pt>
                <c:pt idx="12">
                  <c:v>2.3978952727983707</c:v>
                </c:pt>
                <c:pt idx="13">
                  <c:v>2.4849066497880004</c:v>
                </c:pt>
              </c:numCache>
            </c:numRef>
          </c:xVal>
          <c:yVal>
            <c:numRef>
              <c:f>'Ex 2.6'!$S$24:$S$37</c:f>
              <c:numCache>
                <c:formatCode>General</c:formatCode>
                <c:ptCount val="14"/>
                <c:pt idx="0">
                  <c:v>-4.2616567696496013</c:v>
                </c:pt>
                <c:pt idx="1">
                  <c:v>-3.6365156700001466</c:v>
                </c:pt>
                <c:pt idx="2">
                  <c:v>-3.1985342614453849</c:v>
                </c:pt>
                <c:pt idx="3">
                  <c:v>-2.8911432766956096</c:v>
                </c:pt>
                <c:pt idx="4">
                  <c:v>-2.4843275102530673</c:v>
                </c:pt>
                <c:pt idx="5">
                  <c:v>-2.1495737798046424</c:v>
                </c:pt>
                <c:pt idx="6">
                  <c:v>-1.6802382475166791</c:v>
                </c:pt>
                <c:pt idx="7">
                  <c:v>-1.0309304331587228</c:v>
                </c:pt>
                <c:pt idx="8">
                  <c:v>-0.42476036900425079</c:v>
                </c:pt>
                <c:pt idx="9">
                  <c:v>-5.764308405759813E-3</c:v>
                </c:pt>
                <c:pt idx="10">
                  <c:v>0.4758849953271107</c:v>
                </c:pt>
                <c:pt idx="11">
                  <c:v>0.83403244524795594</c:v>
                </c:pt>
                <c:pt idx="12">
                  <c:v>1.1690321758870557</c:v>
                </c:pt>
                <c:pt idx="13">
                  <c:v>1.5271796258079011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D-4CC8-B29B-0FDB6CAA1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25720"/>
        <c:axId val="520158552"/>
      </c:scatterChart>
      <c:valAx>
        <c:axId val="39692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158552"/>
        <c:crosses val="autoZero"/>
        <c:crossBetween val="midCat"/>
      </c:valAx>
      <c:valAx>
        <c:axId val="52015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9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Mixture of weibull,</a:t>
            </a:r>
            <a:r>
              <a:rPr lang="fr-FR" baseline="0"/>
              <a:t> t &lt;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67869641294839"/>
                  <c:y val="-0.102911198600174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1,0184x - 3,5942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0,9984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 2.6'!$R$24:$R$29</c:f>
              <c:numCache>
                <c:formatCode>General</c:formatCode>
                <c:ptCount val="6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</c:numCache>
            </c:numRef>
          </c:xVal>
          <c:yVal>
            <c:numRef>
              <c:f>'Ex 2.6'!$S$24:$S$29</c:f>
              <c:numCache>
                <c:formatCode>General</c:formatCode>
                <c:ptCount val="6"/>
                <c:pt idx="0">
                  <c:v>-4.2616567696496013</c:v>
                </c:pt>
                <c:pt idx="1">
                  <c:v>-3.6365156700001466</c:v>
                </c:pt>
                <c:pt idx="2">
                  <c:v>-3.1985342614453849</c:v>
                </c:pt>
                <c:pt idx="3">
                  <c:v>-2.8911432766956096</c:v>
                </c:pt>
                <c:pt idx="4">
                  <c:v>-2.4843275102530673</c:v>
                </c:pt>
                <c:pt idx="5">
                  <c:v>-2.1495737798046424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3-478B-BBBF-45B0BC5E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79000"/>
        <c:axId val="414080312"/>
      </c:scatterChart>
      <c:valAx>
        <c:axId val="41407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080312"/>
        <c:crosses val="autoZero"/>
        <c:crossBetween val="midCat"/>
      </c:valAx>
      <c:valAx>
        <c:axId val="4140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07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Mixture of weibull,</a:t>
            </a:r>
            <a:r>
              <a:rPr lang="fr-FR" baseline="0"/>
              <a:t> t &gt;= 5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34142607174102"/>
                  <c:y val="0.101435185185185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3,6432x - 7,5469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 2.6'!$R$30:$R$37</c:f>
              <c:numCache>
                <c:formatCode>General</c:formatCode>
                <c:ptCount val="8"/>
                <c:pt idx="0">
                  <c:v>1.6094379124341003</c:v>
                </c:pt>
                <c:pt idx="1">
                  <c:v>1.791759469228055</c:v>
                </c:pt>
                <c:pt idx="2">
                  <c:v>1.9459101490553132</c:v>
                </c:pt>
                <c:pt idx="3">
                  <c:v>2.0794415416798357</c:v>
                </c:pt>
                <c:pt idx="4">
                  <c:v>2.1972245773362196</c:v>
                </c:pt>
                <c:pt idx="5">
                  <c:v>2.3025850929940459</c:v>
                </c:pt>
                <c:pt idx="6">
                  <c:v>2.3978952727983707</c:v>
                </c:pt>
                <c:pt idx="7">
                  <c:v>2.4849066497880004</c:v>
                </c:pt>
              </c:numCache>
            </c:numRef>
          </c:xVal>
          <c:yVal>
            <c:numRef>
              <c:f>'Ex 2.6'!$S$30:$S$37</c:f>
              <c:numCache>
                <c:formatCode>General</c:formatCode>
                <c:ptCount val="8"/>
                <c:pt idx="0">
                  <c:v>-1.6802382475166791</c:v>
                </c:pt>
                <c:pt idx="1">
                  <c:v>-1.0309304331587228</c:v>
                </c:pt>
                <c:pt idx="2">
                  <c:v>-0.42476036900425079</c:v>
                </c:pt>
                <c:pt idx="3">
                  <c:v>-5.764308405759813E-3</c:v>
                </c:pt>
                <c:pt idx="4">
                  <c:v>0.4758849953271107</c:v>
                </c:pt>
                <c:pt idx="5">
                  <c:v>0.83403244524795594</c:v>
                </c:pt>
                <c:pt idx="6">
                  <c:v>1.1690321758870557</c:v>
                </c:pt>
                <c:pt idx="7">
                  <c:v>1.5271796258079011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7-4551-B7A0-B7AD5D89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49400"/>
        <c:axId val="409951040"/>
      </c:scatterChart>
      <c:valAx>
        <c:axId val="40994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951040"/>
        <c:crosses val="autoZero"/>
        <c:crossBetween val="midCat"/>
      </c:valAx>
      <c:valAx>
        <c:axId val="4099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94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R(t) over</a:t>
            </a:r>
            <a:r>
              <a:rPr lang="fr-FR" baseline="0"/>
              <a:t> 15 years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 2.6'!$AD$23</c:f>
              <c:strCache>
                <c:ptCount val="1"/>
                <c:pt idx="0">
                  <c:v>MTBF=cste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2.6'!$AC$24:$AC$84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</c:numCache>
            </c:numRef>
          </c:xVal>
          <c:yVal>
            <c:numRef>
              <c:f>'Ex 2.6'!$AD$24:$AD$84</c:f>
              <c:numCache>
                <c:formatCode>General</c:formatCode>
                <c:ptCount val="61"/>
                <c:pt idx="0">
                  <c:v>1</c:v>
                </c:pt>
                <c:pt idx="1">
                  <c:v>0.96715580747572161</c:v>
                </c:pt>
                <c:pt idx="2">
                  <c:v>0.93539035593401509</c:v>
                </c:pt>
                <c:pt idx="3">
                  <c:v>0.90466821499836514</c:v>
                </c:pt>
                <c:pt idx="4">
                  <c:v>0.87495511797436354</c:v>
                </c:pt>
                <c:pt idx="5">
                  <c:v>0.84621792362951087</c:v>
                </c:pt>
                <c:pt idx="6">
                  <c:v>0.81842457922832812</c:v>
                </c:pt>
                <c:pt idx="7">
                  <c:v>0.79154408478155136</c:v>
                </c:pt>
                <c:pt idx="8">
                  <c:v>0.7655464584695324</c:v>
                </c:pt>
                <c:pt idx="9">
                  <c:v>0.74040270320127965</c:v>
                </c:pt>
                <c:pt idx="10">
                  <c:v>0.7160847742718407</c:v>
                </c:pt>
                <c:pt idx="11">
                  <c:v>0.69256554808195192</c:v>
                </c:pt>
                <c:pt idx="12">
                  <c:v>0.66981879188506588</c:v>
                </c:pt>
                <c:pt idx="13">
                  <c:v>0.64781913452801332</c:v>
                </c:pt>
                <c:pt idx="14">
                  <c:v>0.62654203815266385</c:v>
                </c:pt>
                <c:pt idx="15">
                  <c:v>0.60596377082702402</c:v>
                </c:pt>
                <c:pt idx="16">
                  <c:v>0.58606138007524355</c:v>
                </c:pt>
                <c:pt idx="17">
                  <c:v>0.56681266727700796</c:v>
                </c:pt>
                <c:pt idx="18">
                  <c:v>0.54819616290776219</c:v>
                </c:pt>
                <c:pt idx="19">
                  <c:v>0.53019110259214897</c:v>
                </c:pt>
                <c:pt idx="20">
                  <c:v>0.51277740394395299</c:v>
                </c:pt>
                <c:pt idx="21">
                  <c:v>0.49593564416671815</c:v>
                </c:pt>
                <c:pt idx="22">
                  <c:v>0.47964703839005446</c:v>
                </c:pt>
                <c:pt idx="23">
                  <c:v>0.46389341871747158</c:v>
                </c:pt>
                <c:pt idx="24">
                  <c:v>0.44865721396236924</c:v>
                </c:pt>
                <c:pt idx="25">
                  <c:v>0.43392143004958283</c:v>
                </c:pt>
                <c:pt idx="26">
                  <c:v>0.41966963106062416</c:v>
                </c:pt>
                <c:pt idx="27">
                  <c:v>0.40588592090147618</c:v>
                </c:pt>
                <c:pt idx="28">
                  <c:v>0.39255492557249405</c:v>
                </c:pt>
                <c:pt idx="29">
                  <c:v>0.37966177602063728</c:v>
                </c:pt>
                <c:pt idx="30">
                  <c:v>0.36719209155490606</c:v>
                </c:pt>
                <c:pt idx="31">
                  <c:v>0.35513196380648426</c:v>
                </c:pt>
                <c:pt idx="32">
                  <c:v>0.34346794121569907</c:v>
                </c:pt>
                <c:pt idx="33">
                  <c:v>0.33218701402849315</c:v>
                </c:pt>
                <c:pt idx="34">
                  <c:v>0.32127659978567608</c:v>
                </c:pt>
                <c:pt idx="35">
                  <c:v>0.31072452928876987</c:v>
                </c:pt>
                <c:pt idx="36">
                  <c:v>0.30051903302679367</c:v>
                </c:pt>
                <c:pt idx="37">
                  <c:v>0.29064872804885172</c:v>
                </c:pt>
                <c:pt idx="38">
                  <c:v>0.28110260526787861</c:v>
                </c:pt>
                <c:pt idx="39">
                  <c:v>0.27187001718138415</c:v>
                </c:pt>
                <c:pt idx="40">
                  <c:v>0.26294066599549992</c:v>
                </c:pt>
                <c:pt idx="41">
                  <c:v>0.2543045921390818</c:v>
                </c:pt>
                <c:pt idx="42">
                  <c:v>0.24595216315505766</c:v>
                </c:pt>
                <c:pt idx="43">
                  <c:v>0.23787406295663024</c:v>
                </c:pt>
                <c:pt idx="44">
                  <c:v>0.23006128143635041</c:v>
                </c:pt>
                <c:pt idx="45">
                  <c:v>0.2225051044164727</c:v>
                </c:pt>
                <c:pt idx="46">
                  <c:v>0.21519710392938343</c:v>
                </c:pt>
                <c:pt idx="47">
                  <c:v>0.20812912881725959</c:v>
                </c:pt>
                <c:pt idx="48">
                  <c:v>0.20129329564047518</c:v>
                </c:pt>
                <c:pt idx="49">
                  <c:v>0.19468197988461297</c:v>
                </c:pt>
                <c:pt idx="50">
                  <c:v>0.18828780745627502</c:v>
                </c:pt>
                <c:pt idx="51">
                  <c:v>0.1821036464582069</c:v>
                </c:pt>
                <c:pt idx="52">
                  <c:v>0.17612259923456039</c:v>
                </c:pt>
                <c:pt idx="53">
                  <c:v>0.17033799467742419</c:v>
                </c:pt>
                <c:pt idx="54">
                  <c:v>0.16474338078603937</c:v>
                </c:pt>
                <c:pt idx="55">
                  <c:v>0.15933251747040217</c:v>
                </c:pt>
                <c:pt idx="56">
                  <c:v>0.15409936959122636</c:v>
                </c:pt>
                <c:pt idx="57">
                  <c:v>0.1490381002285022</c:v>
                </c:pt>
                <c:pt idx="58">
                  <c:v>0.14414306417114456</c:v>
                </c:pt>
                <c:pt idx="59">
                  <c:v>0.13940880162046809</c:v>
                </c:pt>
                <c:pt idx="60">
                  <c:v>0.13483003210046651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E-426B-9DA6-692FB937B3C0}"/>
            </c:ext>
          </c:extLst>
        </c:ser>
        <c:ser>
          <c:idx val="1"/>
          <c:order val="1"/>
          <c:tx>
            <c:strRef>
              <c:f>'Ex 2.6'!$AE$23</c:f>
              <c:strCache>
                <c:ptCount val="1"/>
                <c:pt idx="0">
                  <c:v>Weibull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2.6'!$AC$24:$AC$84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</c:numCache>
            </c:numRef>
          </c:xVal>
          <c:yVal>
            <c:numRef>
              <c:f>'Ex 2.6'!$AE$24:$AE$84</c:f>
              <c:numCache>
                <c:formatCode>General</c:formatCode>
                <c:ptCount val="61"/>
                <c:pt idx="0">
                  <c:v>1</c:v>
                </c:pt>
                <c:pt idx="1">
                  <c:v>0.99839124193587114</c:v>
                </c:pt>
                <c:pt idx="2">
                  <c:v>0.9942193620975579</c:v>
                </c:pt>
                <c:pt idx="3">
                  <c:v>0.98780890502092733</c:v>
                </c:pt>
                <c:pt idx="4">
                  <c:v>0.97934131309059036</c:v>
                </c:pt>
                <c:pt idx="5">
                  <c:v>0.96896029749303891</c:v>
                </c:pt>
                <c:pt idx="6">
                  <c:v>0.95679422144004223</c:v>
                </c:pt>
                <c:pt idx="7">
                  <c:v>0.94296452026553013</c:v>
                </c:pt>
                <c:pt idx="8">
                  <c:v>0.92758947892730148</c:v>
                </c:pt>
                <c:pt idx="9">
                  <c:v>0.91078601827937944</c:v>
                </c:pt>
                <c:pt idx="10">
                  <c:v>0.89267049158913048</c:v>
                </c:pt>
                <c:pt idx="11">
                  <c:v>0.87335894052753682</c:v>
                </c:pt>
                <c:pt idx="12">
                  <c:v>0.85296703795313034</c:v>
                </c:pt>
                <c:pt idx="13">
                  <c:v>0.83160984359328716</c:v>
                </c:pt>
                <c:pt idx="14">
                  <c:v>0.80940144794375457</c:v>
                </c:pt>
                <c:pt idx="15">
                  <c:v>0.78645455221091687</c:v>
                </c:pt>
                <c:pt idx="16">
                  <c:v>0.76288001624379853</c:v>
                </c:pt>
                <c:pt idx="17">
                  <c:v>0.73878639669552737</c:v>
                </c:pt>
                <c:pt idx="18">
                  <c:v>0.71427949139718161</c:v>
                </c:pt>
                <c:pt idx="19">
                  <c:v>0.68946190168698185</c:v>
                </c:pt>
                <c:pt idx="20">
                  <c:v>0.66443262142409276</c:v>
                </c:pt>
                <c:pt idx="21">
                  <c:v>0.63928665917631311</c:v>
                </c:pt>
                <c:pt idx="22">
                  <c:v>0.61411469833738974</c:v>
                </c:pt>
                <c:pt idx="23">
                  <c:v>0.58900279854062942</c:v>
                </c:pt>
                <c:pt idx="24">
                  <c:v>0.56403214059066453</c:v>
                </c:pt>
                <c:pt idx="25">
                  <c:v>0.5392788161714881</c:v>
                </c:pt>
                <c:pt idx="26">
                  <c:v>0.51481366276580021</c:v>
                </c:pt>
                <c:pt idx="27">
                  <c:v>0.49070214351204805</c:v>
                </c:pt>
                <c:pt idx="28">
                  <c:v>0.46700427111394588</c:v>
                </c:pt>
                <c:pt idx="29">
                  <c:v>0.44377457439099183</c:v>
                </c:pt>
                <c:pt idx="30">
                  <c:v>0.42106210560931168</c:v>
                </c:pt>
                <c:pt idx="31">
                  <c:v>0.39891048635400167</c:v>
                </c:pt>
                <c:pt idx="32">
                  <c:v>0.37735798939220228</c:v>
                </c:pt>
                <c:pt idx="33">
                  <c:v>0.35643765372635466</c:v>
                </c:pt>
                <c:pt idx="34">
                  <c:v>0.33617742984572568</c:v>
                </c:pt>
                <c:pt idx="35">
                  <c:v>0.31660035204772763</c:v>
                </c:pt>
                <c:pt idx="36">
                  <c:v>0.29772473461516052</c:v>
                </c:pt>
                <c:pt idx="37">
                  <c:v>0.27956438859754867</c:v>
                </c:pt>
                <c:pt idx="38">
                  <c:v>0.26212885595035817</c:v>
                </c:pt>
                <c:pt idx="39">
                  <c:v>0.24542365783109499</c:v>
                </c:pt>
                <c:pt idx="40">
                  <c:v>0.22945055393201602</c:v>
                </c:pt>
                <c:pt idx="41">
                  <c:v>0.21420780984127377</c:v>
                </c:pt>
                <c:pt idx="42">
                  <c:v>0.19969046956359238</c:v>
                </c:pt>
                <c:pt idx="43">
                  <c:v>0.18589063049386323</c:v>
                </c:pt>
                <c:pt idx="44">
                  <c:v>0.17279771831827126</c:v>
                </c:pt>
                <c:pt idx="45">
                  <c:v>0.16039875951371099</c:v>
                </c:pt>
                <c:pt idx="46">
                  <c:v>0.14867864932351116</c:v>
                </c:pt>
                <c:pt idx="47">
                  <c:v>0.13762041330220037</c:v>
                </c:pt>
                <c:pt idx="48">
                  <c:v>0.12720546074079517</c:v>
                </c:pt>
                <c:pt idx="49">
                  <c:v>0.11741382850372693</c:v>
                </c:pt>
                <c:pt idx="50">
                  <c:v>0.1082244140261296</c:v>
                </c:pt>
                <c:pt idx="51">
                  <c:v>9.9615196433215772E-2</c:v>
                </c:pt>
                <c:pt idx="52">
                  <c:v>9.1563444949558662E-2</c:v>
                </c:pt>
                <c:pt idx="53">
                  <c:v>8.4045913963300675E-2</c:v>
                </c:pt>
                <c:pt idx="54">
                  <c:v>7.7039024296942801E-2</c:v>
                </c:pt>
                <c:pt idx="55">
                  <c:v>7.0519030411063499E-2</c:v>
                </c:pt>
                <c:pt idx="56">
                  <c:v>6.4462173428995059E-2</c:v>
                </c:pt>
                <c:pt idx="57">
                  <c:v>5.884482001835592E-2</c:v>
                </c:pt>
                <c:pt idx="58">
                  <c:v>5.3643587298875181E-2</c:v>
                </c:pt>
                <c:pt idx="59">
                  <c:v>4.8835454064869561E-2</c:v>
                </c:pt>
                <c:pt idx="60">
                  <c:v>4.439785871499867E-2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E-426B-9DA6-692FB937B3C0}"/>
            </c:ext>
          </c:extLst>
        </c:ser>
        <c:ser>
          <c:idx val="2"/>
          <c:order val="2"/>
          <c:tx>
            <c:strRef>
              <c:f>'Ex 2.6'!$AF$23</c:f>
              <c:strCache>
                <c:ptCount val="1"/>
                <c:pt idx="0">
                  <c:v>Weibull mixture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 2.6'!$AC$24:$AC$84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</c:numCache>
            </c:numRef>
          </c:xVal>
          <c:yVal>
            <c:numRef>
              <c:f>'Ex 2.6'!$AF$24:$AF$84</c:f>
              <c:numCache>
                <c:formatCode>General</c:formatCode>
                <c:ptCount val="61"/>
                <c:pt idx="0">
                  <c:v>1</c:v>
                </c:pt>
                <c:pt idx="1">
                  <c:v>0.99332475333059922</c:v>
                </c:pt>
                <c:pt idx="2">
                  <c:v>0.98652443202634543</c:v>
                </c:pt>
                <c:pt idx="3">
                  <c:v>0.97970558381134221</c:v>
                </c:pt>
                <c:pt idx="4">
                  <c:v>0.97289155184827902</c:v>
                </c:pt>
                <c:pt idx="5">
                  <c:v>0.96609349387344245</c:v>
                </c:pt>
                <c:pt idx="6">
                  <c:v>0.95931797005943387</c:v>
                </c:pt>
                <c:pt idx="7">
                  <c:v>0.95256927815016157</c:v>
                </c:pt>
                <c:pt idx="8">
                  <c:v>0.94585042727513424</c:v>
                </c:pt>
                <c:pt idx="9">
                  <c:v>0.93916361975653162</c:v>
                </c:pt>
                <c:pt idx="10">
                  <c:v>0.93251051788840167</c:v>
                </c:pt>
                <c:pt idx="11">
                  <c:v>0.92589240404854023</c:v>
                </c:pt>
                <c:pt idx="12">
                  <c:v>0.91931028282076854</c:v>
                </c:pt>
                <c:pt idx="13">
                  <c:v>0.91276494931357177</c:v>
                </c:pt>
                <c:pt idx="14">
                  <c:v>0.90625703665776547</c:v>
                </c:pt>
                <c:pt idx="15">
                  <c:v>0.89978705009340088</c:v>
                </c:pt>
                <c:pt idx="16">
                  <c:v>0.89335539209271631</c:v>
                </c:pt>
                <c:pt idx="17">
                  <c:v>0.88696238130125171</c:v>
                </c:pt>
                <c:pt idx="18">
                  <c:v>0.88060826710029072</c:v>
                </c:pt>
                <c:pt idx="19">
                  <c:v>0.87429324099525163</c:v>
                </c:pt>
                <c:pt idx="20">
                  <c:v>0.83048769938246025</c:v>
                </c:pt>
                <c:pt idx="21">
                  <c:v>0.80101590312267423</c:v>
                </c:pt>
                <c:pt idx="22">
                  <c:v>0.76885519602109975</c:v>
                </c:pt>
                <c:pt idx="23">
                  <c:v>0.73413564112374985</c:v>
                </c:pt>
                <c:pt idx="24">
                  <c:v>0.69705059523126678</c:v>
                </c:pt>
                <c:pt idx="25">
                  <c:v>0.65785707571623897</c:v>
                </c:pt>
                <c:pt idx="26">
                  <c:v>0.6168737067207678</c:v>
                </c:pt>
                <c:pt idx="27">
                  <c:v>0.57447601135902593</c:v>
                </c:pt>
                <c:pt idx="28">
                  <c:v>0.53108894524348804</c:v>
                </c:pt>
                <c:pt idx="29">
                  <c:v>0.48717672667555273</c:v>
                </c:pt>
                <c:pt idx="30">
                  <c:v>0.44323020187723999</c:v>
                </c:pt>
                <c:pt idx="31">
                  <c:v>0.39975217714007494</c:v>
                </c:pt>
                <c:pt idx="32">
                  <c:v>0.35724133747813241</c:v>
                </c:pt>
                <c:pt idx="33">
                  <c:v>0.31617553452455349</c:v>
                </c:pt>
                <c:pt idx="34">
                  <c:v>0.27699534553761812</c:v>
                </c:pt>
                <c:pt idx="35">
                  <c:v>0.24008886265197493</c:v>
                </c:pt>
                <c:pt idx="36">
                  <c:v>0.20577865332017575</c:v>
                </c:pt>
                <c:pt idx="37">
                  <c:v>0.17431173235900121</c:v>
                </c:pt>
                <c:pt idx="38">
                  <c:v>0.14585320494950638</c:v>
                </c:pt>
                <c:pt idx="39">
                  <c:v>0.12048398983159445</c:v>
                </c:pt>
                <c:pt idx="40">
                  <c:v>9.8202733657653155E-2</c:v>
                </c:pt>
                <c:pt idx="41">
                  <c:v>7.8931709502396516E-2</c:v>
                </c:pt>
                <c:pt idx="42">
                  <c:v>6.2526187772245667E-2</c:v>
                </c:pt>
                <c:pt idx="43">
                  <c:v>4.8786509337402487E-2</c:v>
                </c:pt>
                <c:pt idx="44">
                  <c:v>3.7471907318998667E-2</c:v>
                </c:pt>
                <c:pt idx="45">
                  <c:v>2.8315035579372046E-2</c:v>
                </c:pt>
                <c:pt idx="46">
                  <c:v>2.1036176687044515E-2</c:v>
                </c:pt>
                <c:pt idx="47">
                  <c:v>1.5356214810216748E-2</c:v>
                </c:pt>
                <c:pt idx="48">
                  <c:v>1.1007651981126743E-2</c:v>
                </c:pt>
                <c:pt idx="49">
                  <c:v>7.7431921184609471E-3</c:v>
                </c:pt>
                <c:pt idx="50">
                  <c:v>5.3416834315026668E-3</c:v>
                </c:pt>
                <c:pt idx="51">
                  <c:v>3.611463526143323E-3</c:v>
                </c:pt>
                <c:pt idx="52">
                  <c:v>2.3913646310051739E-3</c:v>
                </c:pt>
                <c:pt idx="53">
                  <c:v>1.5497893952804368E-3</c:v>
                </c:pt>
                <c:pt idx="54">
                  <c:v>9.8235184789120778E-4</c:v>
                </c:pt>
                <c:pt idx="55">
                  <c:v>6.0859517631494254E-4</c:v>
                </c:pt>
                <c:pt idx="56">
                  <c:v>3.6825865470970756E-4</c:v>
                </c:pt>
                <c:pt idx="57">
                  <c:v>2.1748675744093091E-4</c:v>
                </c:pt>
                <c:pt idx="58">
                  <c:v>1.252728340762031E-4</c:v>
                </c:pt>
                <c:pt idx="59">
                  <c:v>7.0325124992211868E-5</c:v>
                </c:pt>
                <c:pt idx="60">
                  <c:v>3.8448148981345003E-5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EE-426B-9DA6-692FB937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9568"/>
        <c:axId val="409960224"/>
      </c:scatterChart>
      <c:valAx>
        <c:axId val="409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960224"/>
        <c:crosses val="autoZero"/>
        <c:crossBetween val="midCat"/>
      </c:valAx>
      <c:valAx>
        <c:axId val="4099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1.2'!$F$40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1.2'!$C$41:$C$48</c:f>
              <c:strCache>
                <c:ptCount val="8"/>
                <c:pt idx="0">
                  <c:v>Machine 5</c:v>
                </c:pt>
                <c:pt idx="1">
                  <c:v>Machine 4</c:v>
                </c:pt>
                <c:pt idx="2">
                  <c:v>Machine 6</c:v>
                </c:pt>
                <c:pt idx="3">
                  <c:v>Machine 2</c:v>
                </c:pt>
                <c:pt idx="4">
                  <c:v>Machine 7</c:v>
                </c:pt>
                <c:pt idx="5">
                  <c:v>Machine 1</c:v>
                </c:pt>
                <c:pt idx="6">
                  <c:v>Machine 3</c:v>
                </c:pt>
                <c:pt idx="7">
                  <c:v>Machine 8</c:v>
                </c:pt>
              </c:strCache>
            </c:strRef>
          </c:cat>
          <c:val>
            <c:numRef>
              <c:f>'Ex 1.2'!$F$41:$F$48</c:f>
              <c:numCache>
                <c:formatCode>0.00%</c:formatCode>
                <c:ptCount val="8"/>
                <c:pt idx="0">
                  <c:v>0.27647221454243848</c:v>
                </c:pt>
                <c:pt idx="1">
                  <c:v>0.5048382637544927</c:v>
                </c:pt>
                <c:pt idx="2">
                  <c:v>0.65247442632015484</c:v>
                </c:pt>
                <c:pt idx="3">
                  <c:v>0.78020458943876148</c:v>
                </c:pt>
                <c:pt idx="4">
                  <c:v>0.85761680951064423</c:v>
                </c:pt>
                <c:pt idx="5">
                  <c:v>0.93088194636439048</c:v>
                </c:pt>
                <c:pt idx="6">
                  <c:v>0.98617638927287821</c:v>
                </c:pt>
                <c:pt idx="7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E16-BA1F-0652F2A6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60184"/>
        <c:axId val="449157232"/>
      </c:barChart>
      <c:catAx>
        <c:axId val="44916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157232"/>
        <c:crosses val="autoZero"/>
        <c:auto val="1"/>
        <c:lblAlgn val="ctr"/>
        <c:lblOffset val="100"/>
        <c:noMultiLvlLbl val="0"/>
      </c:catAx>
      <c:valAx>
        <c:axId val="449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16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1.2'!$F$52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1.2'!$C$53:$C$60</c:f>
              <c:strCache>
                <c:ptCount val="8"/>
                <c:pt idx="0">
                  <c:v>Machine 5</c:v>
                </c:pt>
                <c:pt idx="1">
                  <c:v>Machine 6</c:v>
                </c:pt>
                <c:pt idx="2">
                  <c:v>Machine 4</c:v>
                </c:pt>
                <c:pt idx="3">
                  <c:v>Machine 2</c:v>
                </c:pt>
                <c:pt idx="4">
                  <c:v>Machine 7</c:v>
                </c:pt>
                <c:pt idx="5">
                  <c:v>Machine 1</c:v>
                </c:pt>
                <c:pt idx="6">
                  <c:v>Machine 3</c:v>
                </c:pt>
                <c:pt idx="7">
                  <c:v>Machine 8</c:v>
                </c:pt>
              </c:strCache>
            </c:strRef>
          </c:cat>
          <c:val>
            <c:numRef>
              <c:f>'Ex 1.2'!$F$53:$F$60</c:f>
              <c:numCache>
                <c:formatCode>0.00%</c:formatCode>
                <c:ptCount val="8"/>
                <c:pt idx="0">
                  <c:v>0.18055555555555555</c:v>
                </c:pt>
                <c:pt idx="1">
                  <c:v>0.35185185185185186</c:v>
                </c:pt>
                <c:pt idx="2">
                  <c:v>0.51851851851851849</c:v>
                </c:pt>
                <c:pt idx="3">
                  <c:v>0.64351851851851849</c:v>
                </c:pt>
                <c:pt idx="4">
                  <c:v>0.75462962962962954</c:v>
                </c:pt>
                <c:pt idx="5">
                  <c:v>0.86111111111111105</c:v>
                </c:pt>
                <c:pt idx="6">
                  <c:v>0.95833333333333326</c:v>
                </c:pt>
                <c:pt idx="7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F-4A1C-9014-4C4FC979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86672"/>
        <c:axId val="548984376"/>
      </c:barChart>
      <c:catAx>
        <c:axId val="5489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84376"/>
        <c:crosses val="autoZero"/>
        <c:auto val="1"/>
        <c:lblAlgn val="ctr"/>
        <c:lblOffset val="100"/>
        <c:noMultiLvlLbl val="0"/>
      </c:catAx>
      <c:valAx>
        <c:axId val="5489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1.2'!$F$63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1.2'!$C$64:$C$71</c:f>
              <c:strCache>
                <c:ptCount val="8"/>
                <c:pt idx="0">
                  <c:v>Machine 4</c:v>
                </c:pt>
                <c:pt idx="1">
                  <c:v>Machine 5</c:v>
                </c:pt>
                <c:pt idx="2">
                  <c:v>Machine 6</c:v>
                </c:pt>
                <c:pt idx="3">
                  <c:v>Machine 2</c:v>
                </c:pt>
                <c:pt idx="4">
                  <c:v>Machine 3</c:v>
                </c:pt>
                <c:pt idx="5">
                  <c:v>Machine 1</c:v>
                </c:pt>
                <c:pt idx="6">
                  <c:v>Machine 7</c:v>
                </c:pt>
                <c:pt idx="7">
                  <c:v>Machine 8</c:v>
                </c:pt>
              </c:strCache>
            </c:strRef>
          </c:cat>
          <c:val>
            <c:numRef>
              <c:f>'Ex 1.2'!$F$64:$F$71</c:f>
              <c:numCache>
                <c:formatCode>0.00%</c:formatCode>
                <c:ptCount val="8"/>
                <c:pt idx="0">
                  <c:v>0.23734411873797956</c:v>
                </c:pt>
                <c:pt idx="1">
                  <c:v>0.46188398377832929</c:v>
                </c:pt>
                <c:pt idx="2">
                  <c:v>0.68301841415763964</c:v>
                </c:pt>
                <c:pt idx="3">
                  <c:v>0.79853768178260087</c:v>
                </c:pt>
                <c:pt idx="4">
                  <c:v>0.88369583263418239</c:v>
                </c:pt>
                <c:pt idx="5">
                  <c:v>0.94695617326678583</c:v>
                </c:pt>
                <c:pt idx="6">
                  <c:v>1.0000000000000002</c:v>
                </c:pt>
                <c:pt idx="7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3-4843-B1E6-A8A9CB030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78664"/>
        <c:axId val="543275712"/>
      </c:barChart>
      <c:catAx>
        <c:axId val="54327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275712"/>
        <c:crosses val="autoZero"/>
        <c:auto val="1"/>
        <c:lblAlgn val="ctr"/>
        <c:lblOffset val="100"/>
        <c:noMultiLvlLbl val="0"/>
      </c:catAx>
      <c:valAx>
        <c:axId val="5432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27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1.3'!$F$14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1.3'!$C$15:$C$19</c:f>
              <c:strCache>
                <c:ptCount val="5"/>
                <c:pt idx="0">
                  <c:v>S1</c:v>
                </c:pt>
                <c:pt idx="1">
                  <c:v>S4</c:v>
                </c:pt>
                <c:pt idx="2">
                  <c:v>S5</c:v>
                </c:pt>
                <c:pt idx="3">
                  <c:v>S2</c:v>
                </c:pt>
                <c:pt idx="4">
                  <c:v>S3</c:v>
                </c:pt>
              </c:strCache>
            </c:strRef>
          </c:cat>
          <c:val>
            <c:numRef>
              <c:f>'Ex 1.3'!$F$15:$F$19</c:f>
              <c:numCache>
                <c:formatCode>0.00%</c:formatCode>
                <c:ptCount val="5"/>
                <c:pt idx="0">
                  <c:v>0.4</c:v>
                </c:pt>
                <c:pt idx="1">
                  <c:v>0.68</c:v>
                </c:pt>
                <c:pt idx="2">
                  <c:v>0.84000000000000008</c:v>
                </c:pt>
                <c:pt idx="3">
                  <c:v>0.96000000000000008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1-485C-87B8-E72563C7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21312"/>
        <c:axId val="444221640"/>
      </c:barChart>
      <c:catAx>
        <c:axId val="444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21640"/>
        <c:crosses val="autoZero"/>
        <c:auto val="1"/>
        <c:lblAlgn val="ctr"/>
        <c:lblOffset val="100"/>
        <c:noMultiLvlLbl val="0"/>
      </c:catAx>
      <c:valAx>
        <c:axId val="4442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1.3'!$F$25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1.3'!$C$26:$C$30</c:f>
              <c:strCache>
                <c:ptCount val="5"/>
                <c:pt idx="0">
                  <c:v>S3</c:v>
                </c:pt>
                <c:pt idx="1">
                  <c:v>S5</c:v>
                </c:pt>
                <c:pt idx="2">
                  <c:v>S2</c:v>
                </c:pt>
                <c:pt idx="3">
                  <c:v>S1</c:v>
                </c:pt>
                <c:pt idx="4">
                  <c:v>S4</c:v>
                </c:pt>
              </c:strCache>
            </c:strRef>
          </c:cat>
          <c:val>
            <c:numRef>
              <c:f>'Ex 1.3'!$F$26:$F$30</c:f>
              <c:numCache>
                <c:formatCode>0.00%</c:formatCode>
                <c:ptCount val="5"/>
                <c:pt idx="0">
                  <c:v>0.37009063444108758</c:v>
                </c:pt>
                <c:pt idx="1">
                  <c:v>0.69391993957703924</c:v>
                </c:pt>
                <c:pt idx="2">
                  <c:v>0.89218277945619329</c:v>
                </c:pt>
                <c:pt idx="3">
                  <c:v>0.96223564954682772</c:v>
                </c:pt>
                <c:pt idx="4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1-4365-9BC1-78E10FFB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87848"/>
        <c:axId val="543283912"/>
      </c:barChart>
      <c:catAx>
        <c:axId val="54328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283912"/>
        <c:crosses val="autoZero"/>
        <c:auto val="1"/>
        <c:lblAlgn val="ctr"/>
        <c:lblOffset val="100"/>
        <c:noMultiLvlLbl val="0"/>
      </c:catAx>
      <c:valAx>
        <c:axId val="5432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28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1.3'!$F$41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1.3'!$C$42:$C$46</c:f>
              <c:strCache>
                <c:ptCount val="5"/>
                <c:pt idx="0">
                  <c:v>S5</c:v>
                </c:pt>
                <c:pt idx="1">
                  <c:v>S3</c:v>
                </c:pt>
                <c:pt idx="2">
                  <c:v>S1</c:v>
                </c:pt>
                <c:pt idx="3">
                  <c:v>S2</c:v>
                </c:pt>
                <c:pt idx="4">
                  <c:v>S4</c:v>
                </c:pt>
              </c:strCache>
            </c:strRef>
          </c:cat>
          <c:val>
            <c:numRef>
              <c:f>'Ex 1.3'!$F$42:$F$46</c:f>
              <c:numCache>
                <c:formatCode>0.00%</c:formatCode>
                <c:ptCount val="5"/>
                <c:pt idx="0">
                  <c:v>0.24</c:v>
                </c:pt>
                <c:pt idx="1">
                  <c:v>0.46666666666666667</c:v>
                </c:pt>
                <c:pt idx="2">
                  <c:v>0.68</c:v>
                </c:pt>
                <c:pt idx="3">
                  <c:v>0.85333333333333339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5-47D3-8612-F81A67A2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73088"/>
        <c:axId val="543278336"/>
      </c:barChart>
      <c:catAx>
        <c:axId val="5432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278336"/>
        <c:crosses val="autoZero"/>
        <c:auto val="1"/>
        <c:lblAlgn val="ctr"/>
        <c:lblOffset val="100"/>
        <c:noMultiLvlLbl val="0"/>
      </c:catAx>
      <c:valAx>
        <c:axId val="5432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2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1.3'!$F$55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1.3'!$C$56:$C$60</c:f>
              <c:strCache>
                <c:ptCount val="5"/>
                <c:pt idx="0">
                  <c:v>S3</c:v>
                </c:pt>
                <c:pt idx="1">
                  <c:v>S5</c:v>
                </c:pt>
                <c:pt idx="2">
                  <c:v>S1</c:v>
                </c:pt>
                <c:pt idx="3">
                  <c:v>S4</c:v>
                </c:pt>
                <c:pt idx="4">
                  <c:v>S2</c:v>
                </c:pt>
              </c:strCache>
            </c:strRef>
          </c:cat>
          <c:val>
            <c:numRef>
              <c:f>'Ex 1.3'!$F$56:$F$60</c:f>
              <c:numCache>
                <c:formatCode>0.00%</c:formatCode>
                <c:ptCount val="5"/>
                <c:pt idx="0">
                  <c:v>0.32</c:v>
                </c:pt>
                <c:pt idx="1">
                  <c:v>0.6</c:v>
                </c:pt>
                <c:pt idx="2">
                  <c:v>0.83529411764705874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A5D-9052-829F312B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49360"/>
        <c:axId val="449155264"/>
      </c:barChart>
      <c:catAx>
        <c:axId val="4491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155264"/>
        <c:crosses val="autoZero"/>
        <c:auto val="1"/>
        <c:lblAlgn val="ctr"/>
        <c:lblOffset val="100"/>
        <c:noMultiLvlLbl val="0"/>
      </c:catAx>
      <c:valAx>
        <c:axId val="449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1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275422</xdr:colOff>
      <xdr:row>25</xdr:row>
      <xdr:rowOff>68856</xdr:rowOff>
    </xdr:from>
    <xdr:to>
      <xdr:col>7</xdr:col>
      <xdr:colOff>898334</xdr:colOff>
      <xdr:row>38</xdr:row>
      <xdr:rowOff>106657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EE81438-3003-45D7-98D9-FCB3AA3D0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95" y="9421717"/>
          <a:ext cx="7772400" cy="2573976"/>
        </a:xfrm>
        <a:prstGeom prst="rect">
          <a:avLst/>
        </a:prstGeom>
      </xdr:spPr>
    </xdr:pic>
    <xdr:clientData/>
  </xdr:twoCellAnchor>
  <xdr:twoCellAnchor editAs="oneCell">
    <xdr:from>
      <xdr:col>1</xdr:col>
      <xdr:colOff>229519</xdr:colOff>
      <xdr:row>39</xdr:row>
      <xdr:rowOff>183615</xdr:rowOff>
    </xdr:from>
    <xdr:to>
      <xdr:col>5</xdr:col>
      <xdr:colOff>313063</xdr:colOff>
      <xdr:row>46</xdr:row>
      <xdr:rowOff>271980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09BA586-22CA-4DFA-ADD5-7217898B2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892" y="12267742"/>
          <a:ext cx="4914900" cy="276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16</xdr:row>
      <xdr:rowOff>195262</xdr:rowOff>
    </xdr:from>
    <xdr:to>
      <xdr:col>9</xdr:col>
      <xdr:colOff>1066800</xdr:colOff>
      <xdr:row>26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82AF4C-CF21-4105-A6E1-30C5AFEFA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27</xdr:row>
      <xdr:rowOff>109538</xdr:rowOff>
    </xdr:from>
    <xdr:to>
      <xdr:col>9</xdr:col>
      <xdr:colOff>1047750</xdr:colOff>
      <xdr:row>37</xdr:row>
      <xdr:rowOff>76201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CE4150-ECC2-46A0-8CDD-2841F136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38</xdr:row>
      <xdr:rowOff>52388</xdr:rowOff>
    </xdr:from>
    <xdr:to>
      <xdr:col>9</xdr:col>
      <xdr:colOff>1028700</xdr:colOff>
      <xdr:row>48</xdr:row>
      <xdr:rowOff>76201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EF40927-6B4E-4C9D-A25F-BBF582170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51</xdr:row>
      <xdr:rowOff>42862</xdr:rowOff>
    </xdr:from>
    <xdr:to>
      <xdr:col>9</xdr:col>
      <xdr:colOff>1000125</xdr:colOff>
      <xdr:row>60</xdr:row>
      <xdr:rowOff>57150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F7EC98-F82B-46C0-9961-C58E8FDB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123825</xdr:colOff>
      <xdr:row>61</xdr:row>
      <xdr:rowOff>157162</xdr:rowOff>
    </xdr:from>
    <xdr:to>
      <xdr:col>9</xdr:col>
      <xdr:colOff>962025</xdr:colOff>
      <xdr:row>71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5774AE-AEB2-4AB6-8675-193F2A31B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10</xdr:row>
      <xdr:rowOff>4762</xdr:rowOff>
    </xdr:from>
    <xdr:to>
      <xdr:col>10</xdr:col>
      <xdr:colOff>266700</xdr:colOff>
      <xdr:row>22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91A98A-9469-44CA-A4FA-D67839B6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22</xdr:row>
      <xdr:rowOff>176212</xdr:rowOff>
    </xdr:from>
    <xdr:to>
      <xdr:col>10</xdr:col>
      <xdr:colOff>238125</xdr:colOff>
      <xdr:row>35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81FD88B-D995-4BD7-94F6-35F51EFA1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39</xdr:row>
      <xdr:rowOff>109537</xdr:rowOff>
    </xdr:from>
    <xdr:to>
      <xdr:col>10</xdr:col>
      <xdr:colOff>295275</xdr:colOff>
      <xdr:row>51</xdr:row>
      <xdr:rowOff>185737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90C67A8-D5D0-427F-A35B-2AD712DB7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53</xdr:row>
      <xdr:rowOff>14287</xdr:rowOff>
    </xdr:from>
    <xdr:to>
      <xdr:col>10</xdr:col>
      <xdr:colOff>266700</xdr:colOff>
      <xdr:row>65</xdr:row>
      <xdr:rowOff>90487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913BA62-22AB-40F5-8F25-29E2EAF8A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7</xdr:row>
      <xdr:rowOff>233362</xdr:rowOff>
    </xdr:from>
    <xdr:to>
      <xdr:col>10</xdr:col>
      <xdr:colOff>161925</xdr:colOff>
      <xdr:row>18</xdr:row>
      <xdr:rowOff>242887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6D28C3-2560-4C7F-8507-96A0246B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19</xdr:row>
      <xdr:rowOff>61912</xdr:rowOff>
    </xdr:from>
    <xdr:to>
      <xdr:col>10</xdr:col>
      <xdr:colOff>171450</xdr:colOff>
      <xdr:row>30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80CF23D-7744-4A3E-80AB-8606E686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31</xdr:row>
      <xdr:rowOff>42862</xdr:rowOff>
    </xdr:from>
    <xdr:to>
      <xdr:col>10</xdr:col>
      <xdr:colOff>190500</xdr:colOff>
      <xdr:row>42</xdr:row>
      <xdr:rowOff>128587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D53A23-EEF1-4E45-8466-B9CC69028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45</xdr:row>
      <xdr:rowOff>538162</xdr:rowOff>
    </xdr:from>
    <xdr:to>
      <xdr:col>10</xdr:col>
      <xdr:colOff>304800</xdr:colOff>
      <xdr:row>57</xdr:row>
      <xdr:rowOff>52387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55650D5-DC17-4F7A-B4CC-D2E807576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57</xdr:row>
      <xdr:rowOff>157162</xdr:rowOff>
    </xdr:from>
    <xdr:to>
      <xdr:col>10</xdr:col>
      <xdr:colOff>304800</xdr:colOff>
      <xdr:row>69</xdr:row>
      <xdr:rowOff>42862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C47FC99-3B98-426C-AB1C-6C70768B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21</xdr:row>
      <xdr:rowOff>147637</xdr:rowOff>
    </xdr:from>
    <xdr:to>
      <xdr:col>9</xdr:col>
      <xdr:colOff>1109662</xdr:colOff>
      <xdr:row>35</xdr:row>
      <xdr:rowOff>61912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D718E20-D735-4550-AC6D-C6FA0C189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20</xdr:row>
      <xdr:rowOff>23812</xdr:rowOff>
    </xdr:from>
    <xdr:to>
      <xdr:col>10</xdr:col>
      <xdr:colOff>514350</xdr:colOff>
      <xdr:row>34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D789E8-DFE3-4B15-90D1-CF8045994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56</xdr:row>
      <xdr:rowOff>109537</xdr:rowOff>
    </xdr:from>
    <xdr:to>
      <xdr:col>15</xdr:col>
      <xdr:colOff>1128712</xdr:colOff>
      <xdr:row>70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F78E723-3185-4E73-A97E-023974D6B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166687</xdr:colOff>
      <xdr:row>57</xdr:row>
      <xdr:rowOff>71437</xdr:rowOff>
    </xdr:from>
    <xdr:to>
      <xdr:col>20</xdr:col>
      <xdr:colOff>1023937</xdr:colOff>
      <xdr:row>71</xdr:row>
      <xdr:rowOff>138112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0500AE7-D0C1-40C1-AC48-614C6E09F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314325</xdr:colOff>
      <xdr:row>26</xdr:row>
      <xdr:rowOff>152400</xdr:rowOff>
    </xdr:from>
    <xdr:to>
      <xdr:col>28</xdr:col>
      <xdr:colOff>1114425</xdr:colOff>
      <xdr:row>54</xdr:row>
      <xdr:rowOff>134859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C56B139-1166-4533-8007-8FB4D987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45775" y="5200650"/>
          <a:ext cx="7772400" cy="5649834"/>
        </a:xfrm>
        <a:prstGeom prst="rect">
          <a:avLst/>
        </a:prstGeom>
      </xdr:spPr>
    </xdr:pic>
    <xdr:clientData/>
  </xdr:twoCellAnchor>
  <xdr:twoCellAnchor>
    <xdr:from>
      <xdr:col>26</xdr:col>
      <xdr:colOff>119062</xdr:colOff>
      <xdr:row>59</xdr:row>
      <xdr:rowOff>42862</xdr:rowOff>
    </xdr:from>
    <xdr:to>
      <xdr:col>30</xdr:col>
      <xdr:colOff>42862</xdr:colOff>
      <xdr:row>73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51F0AB-7714-46AC-B646-BADB88156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40</xdr:row>
      <xdr:rowOff>71437</xdr:rowOff>
    </xdr:from>
    <xdr:to>
      <xdr:col>16</xdr:col>
      <xdr:colOff>28575</xdr:colOff>
      <xdr:row>53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250FE4-535C-4959-BA7E-F720FBBF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1033462</xdr:colOff>
      <xdr:row>41</xdr:row>
      <xdr:rowOff>109537</xdr:rowOff>
    </xdr:from>
    <xdr:to>
      <xdr:col>21</xdr:col>
      <xdr:colOff>957262</xdr:colOff>
      <xdr:row>55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5FE03B-ECC3-41A5-A8B0-1637A0EC8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733425</xdr:colOff>
      <xdr:row>22</xdr:row>
      <xdr:rowOff>119062</xdr:rowOff>
    </xdr:from>
    <xdr:to>
      <xdr:col>27</xdr:col>
      <xdr:colOff>657225</xdr:colOff>
      <xdr:row>35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5CE55AE-D50C-4DB3-A093-884C6980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747712</xdr:colOff>
      <xdr:row>35</xdr:row>
      <xdr:rowOff>204787</xdr:rowOff>
    </xdr:from>
    <xdr:to>
      <xdr:col>27</xdr:col>
      <xdr:colOff>671512</xdr:colOff>
      <xdr:row>49</xdr:row>
      <xdr:rowOff>176212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F818010-45A2-4AA0-9202-BBAEB44E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280987</xdr:colOff>
      <xdr:row>22</xdr:row>
      <xdr:rowOff>80962</xdr:rowOff>
    </xdr:from>
    <xdr:to>
      <xdr:col>36</xdr:col>
      <xdr:colOff>204787</xdr:colOff>
      <xdr:row>35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972669-39DB-4E60-839A-49FDDA346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13</xdr:row>
      <xdr:rowOff>28575</xdr:rowOff>
    </xdr:from>
    <xdr:to>
      <xdr:col>6</xdr:col>
      <xdr:colOff>609600</xdr:colOff>
      <xdr:row>21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4B7C305-5133-4FA6-812D-10D9956EA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2505075"/>
          <a:ext cx="3886200" cy="1666875"/>
        </a:xfrm>
        <a:prstGeom prst="rect">
          <a:avLst/>
        </a:prstGeom>
      </xdr:spPr>
    </xdr:pic>
    <xdr:clientData/>
  </xdr:twoCellAnchor>
  <xdr:twoCellAnchor editAs="oneCell">
    <xdr:from>
      <xdr:col>7</xdr:col>
      <xdr:colOff>445275</xdr:colOff>
      <xdr:row>12</xdr:row>
      <xdr:rowOff>169050</xdr:rowOff>
    </xdr:from>
    <xdr:to>
      <xdr:col>11</xdr:col>
      <xdr:colOff>540525</xdr:colOff>
      <xdr:row>22</xdr:row>
      <xdr:rowOff>7125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561004D-DD53-4080-836A-723000204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9275" y="2455050"/>
          <a:ext cx="3143250" cy="1743075"/>
        </a:xfrm>
        <a:prstGeom prst="rect">
          <a:avLst/>
        </a:prstGeom>
      </xdr:spPr>
    </xdr:pic>
    <xdr:clientData/>
  </xdr:twoCellAnchor>
  <xdr:twoCellAnchor editAs="oneCell">
    <xdr:from>
      <xdr:col>1</xdr:col>
      <xdr:colOff>738150</xdr:colOff>
      <xdr:row>25</xdr:row>
      <xdr:rowOff>52350</xdr:rowOff>
    </xdr:from>
    <xdr:to>
      <xdr:col>8</xdr:col>
      <xdr:colOff>223800</xdr:colOff>
      <xdr:row>40</xdr:row>
      <xdr:rowOff>128550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DE59C6E-EBDA-497C-AF1D-4F0F2319B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50" y="4814850"/>
          <a:ext cx="4819650" cy="2933700"/>
        </a:xfrm>
        <a:prstGeom prst="rect">
          <a:avLst/>
        </a:prstGeom>
      </xdr:spPr>
    </xdr:pic>
    <xdr:clientData/>
  </xdr:twoCellAnchor>
  <xdr:twoCellAnchor editAs="oneCell">
    <xdr:from>
      <xdr:col>13</xdr:col>
      <xdr:colOff>30900</xdr:colOff>
      <xdr:row>25</xdr:row>
      <xdr:rowOff>11850</xdr:rowOff>
    </xdr:from>
    <xdr:to>
      <xdr:col>16</xdr:col>
      <xdr:colOff>650025</xdr:colOff>
      <xdr:row>33</xdr:row>
      <xdr:rowOff>173775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C09DC07F-D145-4A94-8B98-F1696ACD1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6900" y="4774350"/>
          <a:ext cx="2905125" cy="168592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28500</xdr:colOff>
      <xdr:row>13</xdr:row>
      <xdr:rowOff>28500</xdr:rowOff>
    </xdr:from>
    <xdr:to>
      <xdr:col>16</xdr:col>
      <xdr:colOff>476175</xdr:colOff>
      <xdr:row>22</xdr:row>
      <xdr:rowOff>152325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5D5E39EE-B23D-4800-900A-7A074D5A5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4500" y="2505000"/>
          <a:ext cx="2733675" cy="1838325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2</xdr:row>
      <xdr:rowOff>19050</xdr:rowOff>
    </xdr:from>
    <xdr:to>
      <xdr:col>7</xdr:col>
      <xdr:colOff>161925</xdr:colOff>
      <xdr:row>5</xdr:row>
      <xdr:rowOff>133350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41988AAC-02B1-4AEC-A32B-CECDD5AB2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400050"/>
          <a:ext cx="2505075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2</xdr:row>
      <xdr:rowOff>7125</xdr:rowOff>
    </xdr:from>
    <xdr:to>
      <xdr:col>3</xdr:col>
      <xdr:colOff>426225</xdr:colOff>
      <xdr:row>5</xdr:row>
      <xdr:rowOff>140475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6760D9D7-2C7A-44E4-8289-8EC6E1B8C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25" y="388125"/>
          <a:ext cx="1943100" cy="704850"/>
        </a:xfrm>
        <a:prstGeom prst="rect">
          <a:avLst/>
        </a:prstGeom>
      </xdr:spPr>
    </xdr:pic>
    <xdr:clientData/>
  </xdr:twoCellAnchor>
  <xdr:twoCellAnchor editAs="oneCell">
    <xdr:from>
      <xdr:col>8</xdr:col>
      <xdr:colOff>42825</xdr:colOff>
      <xdr:row>2</xdr:row>
      <xdr:rowOff>33300</xdr:rowOff>
    </xdr:from>
    <xdr:to>
      <xdr:col>11</xdr:col>
      <xdr:colOff>642900</xdr:colOff>
      <xdr:row>11</xdr:row>
      <xdr:rowOff>4725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3A6E7FFD-7582-41DF-8153-A25D556DB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825" y="414300"/>
          <a:ext cx="2886075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9"/>
  <sheetViews>
    <sheetView zoomScale="83" workbookViewId="0">
      <selection activeCell="J9" sqref="J9"/>
    </sheetView>
  </sheetViews>
  <sheetFormatPr baseColWidth="10" defaultColWidth="11.5703125" defaultRowHeight="15"/>
  <cols>
    <col min="1" max="1" width="4.42578125" style="1" customWidth="1"/>
    <col min="2" max="2" width="20.28515625" style="1" customWidth="1"/>
    <col min="3" max="9" width="17.42578125" style="1" customWidth="1"/>
    <col min="10" max="10" width="99.28515625" style="3" customWidth="1"/>
    <col min="11" max="16384" width="11.5703125" style="1"/>
  </cols>
  <sheetData>
    <row r="1" spans="1:10">
      <c r="A1" s="85"/>
      <c r="B1" s="85" t="s">
        <v>52</v>
      </c>
      <c r="C1" s="85">
        <f>15.7</f>
        <v>15.7</v>
      </c>
      <c r="D1" s="85" t="s">
        <v>42</v>
      </c>
      <c r="E1" s="85"/>
      <c r="F1" s="85"/>
      <c r="G1" s="85"/>
      <c r="H1" s="85"/>
      <c r="I1" s="85"/>
      <c r="J1" s="103"/>
    </row>
    <row r="2" spans="1:10">
      <c r="A2" s="85"/>
      <c r="B2" s="85" t="s">
        <v>53</v>
      </c>
      <c r="C2" s="85">
        <f>14.4</f>
        <v>14.4</v>
      </c>
      <c r="D2" s="85" t="s">
        <v>42</v>
      </c>
      <c r="E2" s="85"/>
      <c r="F2" s="85"/>
      <c r="G2" s="85"/>
      <c r="H2" s="85"/>
      <c r="I2" s="85"/>
      <c r="J2" s="103"/>
    </row>
    <row r="3" spans="1:10" ht="15.75" thickBot="1">
      <c r="A3" s="85"/>
      <c r="B3" s="85"/>
      <c r="C3" s="85"/>
      <c r="D3" s="85"/>
      <c r="E3" s="85"/>
      <c r="F3" s="85"/>
      <c r="G3" s="85"/>
      <c r="H3" s="85"/>
      <c r="I3" s="85"/>
      <c r="J3" s="103"/>
    </row>
    <row r="4" spans="1:10" ht="26.45" customHeight="1" thickBot="1">
      <c r="A4" s="85"/>
      <c r="B4" s="85"/>
      <c r="C4" s="86" t="s">
        <v>88</v>
      </c>
      <c r="D4" s="87" t="s">
        <v>89</v>
      </c>
      <c r="E4" s="87" t="s">
        <v>90</v>
      </c>
      <c r="F4" s="87" t="s">
        <v>91</v>
      </c>
      <c r="G4" s="87" t="s">
        <v>92</v>
      </c>
      <c r="H4" s="87" t="s">
        <v>93</v>
      </c>
      <c r="I4" s="88" t="s">
        <v>94</v>
      </c>
      <c r="J4" s="103"/>
    </row>
    <row r="5" spans="1:10" ht="34.9" customHeight="1">
      <c r="A5" s="85"/>
      <c r="B5" s="89" t="s">
        <v>0</v>
      </c>
      <c r="C5" s="90">
        <v>8.5</v>
      </c>
      <c r="D5" s="91">
        <v>8.5</v>
      </c>
      <c r="E5" s="91">
        <v>8.5</v>
      </c>
      <c r="F5" s="91">
        <v>8.5</v>
      </c>
      <c r="G5" s="91">
        <v>8.5</v>
      </c>
      <c r="H5" s="91">
        <v>8.5</v>
      </c>
      <c r="I5" s="92">
        <v>8.5</v>
      </c>
      <c r="J5" s="103"/>
    </row>
    <row r="6" spans="1:10" ht="34.9" customHeight="1">
      <c r="A6" s="85"/>
      <c r="B6" s="65" t="s">
        <v>1</v>
      </c>
      <c r="C6" s="93">
        <v>3</v>
      </c>
      <c r="D6" s="94">
        <v>0.5</v>
      </c>
      <c r="E6" s="94">
        <v>0.5</v>
      </c>
      <c r="F6" s="94">
        <v>5</v>
      </c>
      <c r="G6" s="94">
        <v>0</v>
      </c>
      <c r="H6" s="94">
        <v>1.5</v>
      </c>
      <c r="I6" s="95">
        <v>0.5</v>
      </c>
      <c r="J6" s="103"/>
    </row>
    <row r="7" spans="1:10" ht="34.9" customHeight="1">
      <c r="A7" s="85"/>
      <c r="B7" s="65" t="s">
        <v>2</v>
      </c>
      <c r="C7" s="93">
        <v>0</v>
      </c>
      <c r="D7" s="94">
        <v>0.5</v>
      </c>
      <c r="E7" s="94">
        <v>1.5</v>
      </c>
      <c r="F7" s="94">
        <v>0</v>
      </c>
      <c r="G7" s="94">
        <v>2</v>
      </c>
      <c r="H7" s="94">
        <v>0.5</v>
      </c>
      <c r="I7" s="95">
        <v>0.25</v>
      </c>
      <c r="J7" s="103"/>
    </row>
    <row r="8" spans="1:10" ht="34.9" customHeight="1">
      <c r="A8" s="85"/>
      <c r="B8" s="65" t="s">
        <v>3</v>
      </c>
      <c r="C8" s="96">
        <v>73</v>
      </c>
      <c r="D8" s="94">
        <v>113</v>
      </c>
      <c r="E8" s="94">
        <v>100</v>
      </c>
      <c r="F8" s="94">
        <v>45</v>
      </c>
      <c r="G8" s="94">
        <v>98</v>
      </c>
      <c r="H8" s="94">
        <v>100</v>
      </c>
      <c r="I8" s="95">
        <v>115</v>
      </c>
      <c r="J8" s="103"/>
    </row>
    <row r="9" spans="1:10" ht="34.9" customHeight="1">
      <c r="A9" s="85"/>
      <c r="B9" s="65" t="s">
        <v>4</v>
      </c>
      <c r="C9" s="96">
        <v>70</v>
      </c>
      <c r="D9" s="94">
        <v>105</v>
      </c>
      <c r="E9" s="94">
        <v>90</v>
      </c>
      <c r="F9" s="94">
        <v>42</v>
      </c>
      <c r="G9" s="94">
        <v>91</v>
      </c>
      <c r="H9" s="94">
        <v>90</v>
      </c>
      <c r="I9" s="95">
        <v>105</v>
      </c>
      <c r="J9" s="103"/>
    </row>
    <row r="10" spans="1:10" ht="34.9" customHeight="1">
      <c r="A10" s="85"/>
      <c r="B10" s="62" t="s">
        <v>5</v>
      </c>
      <c r="C10" s="97">
        <v>2</v>
      </c>
      <c r="D10" s="98">
        <v>5</v>
      </c>
      <c r="E10" s="98">
        <v>0</v>
      </c>
      <c r="F10" s="98">
        <v>0</v>
      </c>
      <c r="G10" s="98">
        <v>5</v>
      </c>
      <c r="H10" s="98">
        <v>0</v>
      </c>
      <c r="I10" s="99">
        <v>1</v>
      </c>
      <c r="J10" s="103"/>
    </row>
    <row r="11" spans="1:10" ht="34.9" customHeight="1" thickBot="1">
      <c r="A11" s="85"/>
      <c r="B11" s="68" t="s">
        <v>6</v>
      </c>
      <c r="C11" s="100">
        <v>1</v>
      </c>
      <c r="D11" s="101">
        <v>4</v>
      </c>
      <c r="E11" s="101">
        <v>1</v>
      </c>
      <c r="F11" s="101">
        <v>2</v>
      </c>
      <c r="G11" s="101">
        <v>2</v>
      </c>
      <c r="H11" s="101">
        <v>0</v>
      </c>
      <c r="I11" s="102">
        <v>5</v>
      </c>
      <c r="J11" s="103"/>
    </row>
    <row r="12" spans="1:10" ht="34.9" customHeight="1">
      <c r="A12" s="85"/>
      <c r="B12" s="85" t="s">
        <v>41</v>
      </c>
      <c r="C12" s="85">
        <f>$C$1+$C$2</f>
        <v>30.1</v>
      </c>
      <c r="D12" s="85">
        <f t="shared" ref="D12:I12" si="0">$C$1+$C$2</f>
        <v>30.1</v>
      </c>
      <c r="E12" s="85">
        <f t="shared" si="0"/>
        <v>30.1</v>
      </c>
      <c r="F12" s="85">
        <f t="shared" si="0"/>
        <v>30.1</v>
      </c>
      <c r="G12" s="85">
        <f t="shared" si="0"/>
        <v>30.1</v>
      </c>
      <c r="H12" s="85">
        <f t="shared" si="0"/>
        <v>30.1</v>
      </c>
      <c r="I12" s="85">
        <f t="shared" si="0"/>
        <v>30.1</v>
      </c>
      <c r="J12" s="103" t="s">
        <v>64</v>
      </c>
    </row>
    <row r="13" spans="1:10" ht="34.9" customHeight="1">
      <c r="A13" s="85"/>
      <c r="B13" s="85" t="s">
        <v>43</v>
      </c>
      <c r="C13" s="85">
        <f>C5-C6</f>
        <v>5.5</v>
      </c>
      <c r="D13" s="85">
        <f t="shared" ref="D13:I13" si="1">D5-D6</f>
        <v>8</v>
      </c>
      <c r="E13" s="85">
        <f t="shared" si="1"/>
        <v>8</v>
      </c>
      <c r="F13" s="85">
        <f t="shared" si="1"/>
        <v>3.5</v>
      </c>
      <c r="G13" s="85">
        <f t="shared" si="1"/>
        <v>8.5</v>
      </c>
      <c r="H13" s="85">
        <f t="shared" si="1"/>
        <v>7</v>
      </c>
      <c r="I13" s="85">
        <f t="shared" si="1"/>
        <v>8</v>
      </c>
      <c r="J13" s="103" t="s">
        <v>50</v>
      </c>
    </row>
    <row r="14" spans="1:10" ht="34.9" customHeight="1">
      <c r="A14" s="85"/>
      <c r="B14" s="85" t="s">
        <v>44</v>
      </c>
      <c r="C14" s="85">
        <f>C13*C12</f>
        <v>165.55</v>
      </c>
      <c r="D14" s="85">
        <f t="shared" ref="D14:I14" si="2">D13*D12</f>
        <v>240.8</v>
      </c>
      <c r="E14" s="85">
        <f t="shared" si="2"/>
        <v>240.8</v>
      </c>
      <c r="F14" s="85">
        <f t="shared" si="2"/>
        <v>105.35000000000001</v>
      </c>
      <c r="G14" s="85">
        <f t="shared" si="2"/>
        <v>255.85000000000002</v>
      </c>
      <c r="H14" s="85">
        <f t="shared" si="2"/>
        <v>210.70000000000002</v>
      </c>
      <c r="I14" s="85">
        <f t="shared" si="2"/>
        <v>240.8</v>
      </c>
      <c r="J14" s="103" t="s">
        <v>49</v>
      </c>
    </row>
    <row r="15" spans="1:10" ht="34.9" customHeight="1">
      <c r="A15" s="85"/>
      <c r="B15" s="85" t="s">
        <v>45</v>
      </c>
      <c r="C15" s="85">
        <f>C13-C7</f>
        <v>5.5</v>
      </c>
      <c r="D15" s="85">
        <f t="shared" ref="D15:I15" si="3">D13-D7</f>
        <v>7.5</v>
      </c>
      <c r="E15" s="85">
        <f t="shared" si="3"/>
        <v>6.5</v>
      </c>
      <c r="F15" s="85">
        <f t="shared" si="3"/>
        <v>3.5</v>
      </c>
      <c r="G15" s="85">
        <f t="shared" si="3"/>
        <v>6.5</v>
      </c>
      <c r="H15" s="85">
        <f t="shared" si="3"/>
        <v>6.5</v>
      </c>
      <c r="I15" s="85">
        <f t="shared" si="3"/>
        <v>7.75</v>
      </c>
      <c r="J15" s="103" t="s">
        <v>65</v>
      </c>
    </row>
    <row r="16" spans="1:10" ht="34.9" customHeight="1">
      <c r="A16" s="85"/>
      <c r="B16" s="85" t="s">
        <v>46</v>
      </c>
      <c r="C16" s="85">
        <f>C15*C12</f>
        <v>165.55</v>
      </c>
      <c r="D16" s="85">
        <f t="shared" ref="D16:I16" si="4">D15*D12</f>
        <v>225.75</v>
      </c>
      <c r="E16" s="85">
        <f t="shared" si="4"/>
        <v>195.65</v>
      </c>
      <c r="F16" s="85">
        <f t="shared" si="4"/>
        <v>105.35000000000001</v>
      </c>
      <c r="G16" s="85">
        <f t="shared" si="4"/>
        <v>195.65</v>
      </c>
      <c r="H16" s="85">
        <f t="shared" si="4"/>
        <v>195.65</v>
      </c>
      <c r="I16" s="85">
        <f t="shared" si="4"/>
        <v>233.27500000000001</v>
      </c>
      <c r="J16" s="103" t="s">
        <v>48</v>
      </c>
    </row>
    <row r="17" spans="1:10" ht="34.9" customHeight="1">
      <c r="A17" s="85"/>
      <c r="B17" s="85" t="s">
        <v>47</v>
      </c>
      <c r="C17" s="104">
        <f>C16/C14</f>
        <v>1</v>
      </c>
      <c r="D17" s="104">
        <f t="shared" ref="D17:I17" si="5">D16/D14</f>
        <v>0.9375</v>
      </c>
      <c r="E17" s="104">
        <f t="shared" si="5"/>
        <v>0.8125</v>
      </c>
      <c r="F17" s="104">
        <f t="shared" si="5"/>
        <v>1</v>
      </c>
      <c r="G17" s="104">
        <f t="shared" si="5"/>
        <v>0.76470588235294112</v>
      </c>
      <c r="H17" s="104">
        <f t="shared" si="5"/>
        <v>0.92857142857142849</v>
      </c>
      <c r="I17" s="104">
        <f t="shared" si="5"/>
        <v>0.96875</v>
      </c>
      <c r="J17" s="103" t="s">
        <v>57</v>
      </c>
    </row>
    <row r="18" spans="1:10" ht="34.9" customHeight="1">
      <c r="A18" s="85"/>
      <c r="B18" s="85" t="s">
        <v>51</v>
      </c>
      <c r="C18" s="85">
        <f>C8+C9</f>
        <v>143</v>
      </c>
      <c r="D18" s="85">
        <f t="shared" ref="D18:I18" si="6">D8+D9</f>
        <v>218</v>
      </c>
      <c r="E18" s="85">
        <f t="shared" si="6"/>
        <v>190</v>
      </c>
      <c r="F18" s="85">
        <f t="shared" si="6"/>
        <v>87</v>
      </c>
      <c r="G18" s="85">
        <f t="shared" si="6"/>
        <v>189</v>
      </c>
      <c r="H18" s="85">
        <f t="shared" si="6"/>
        <v>190</v>
      </c>
      <c r="I18" s="85">
        <f t="shared" si="6"/>
        <v>220</v>
      </c>
      <c r="J18" s="103" t="s">
        <v>54</v>
      </c>
    </row>
    <row r="19" spans="1:10" ht="34.9" customHeight="1">
      <c r="A19" s="85"/>
      <c r="B19" s="85" t="s">
        <v>55</v>
      </c>
      <c r="C19" s="104">
        <f>C18/C16</f>
        <v>0.86378737541528239</v>
      </c>
      <c r="D19" s="104">
        <f t="shared" ref="D19:I19" si="7">D18/D16</f>
        <v>0.96566998892580291</v>
      </c>
      <c r="E19" s="104">
        <f t="shared" si="7"/>
        <v>0.97112190135445942</v>
      </c>
      <c r="F19" s="104">
        <f t="shared" si="7"/>
        <v>0.82581869957285237</v>
      </c>
      <c r="G19" s="104">
        <f t="shared" si="7"/>
        <v>0.96601073345259392</v>
      </c>
      <c r="H19" s="104">
        <f t="shared" si="7"/>
        <v>0.97112190135445942</v>
      </c>
      <c r="I19" s="104">
        <f t="shared" si="7"/>
        <v>0.94309291608616441</v>
      </c>
      <c r="J19" s="103" t="s">
        <v>56</v>
      </c>
    </row>
    <row r="20" spans="1:10" ht="34.9" customHeight="1">
      <c r="A20" s="85"/>
      <c r="B20" s="85" t="s">
        <v>58</v>
      </c>
      <c r="C20" s="85">
        <f>C18-C10-C11</f>
        <v>140</v>
      </c>
      <c r="D20" s="85">
        <f t="shared" ref="D20:I20" si="8">D18-D10-D11</f>
        <v>209</v>
      </c>
      <c r="E20" s="85">
        <f t="shared" si="8"/>
        <v>189</v>
      </c>
      <c r="F20" s="85">
        <f t="shared" si="8"/>
        <v>85</v>
      </c>
      <c r="G20" s="85">
        <f t="shared" si="8"/>
        <v>182</v>
      </c>
      <c r="H20" s="85">
        <f t="shared" si="8"/>
        <v>190</v>
      </c>
      <c r="I20" s="85">
        <f t="shared" si="8"/>
        <v>214</v>
      </c>
      <c r="J20" s="103" t="s">
        <v>59</v>
      </c>
    </row>
    <row r="21" spans="1:10" ht="34.9" customHeight="1">
      <c r="A21" s="85"/>
      <c r="B21" s="85" t="s">
        <v>60</v>
      </c>
      <c r="C21" s="104">
        <f>C20/C18</f>
        <v>0.97902097902097907</v>
      </c>
      <c r="D21" s="104">
        <f t="shared" ref="D21:I21" si="9">D20/D18</f>
        <v>0.95871559633027525</v>
      </c>
      <c r="E21" s="104">
        <f t="shared" si="9"/>
        <v>0.99473684210526314</v>
      </c>
      <c r="F21" s="104">
        <f t="shared" si="9"/>
        <v>0.97701149425287359</v>
      </c>
      <c r="G21" s="104">
        <f t="shared" si="9"/>
        <v>0.96296296296296291</v>
      </c>
      <c r="H21" s="104">
        <f t="shared" si="9"/>
        <v>1</v>
      </c>
      <c r="I21" s="104">
        <f t="shared" si="9"/>
        <v>0.97272727272727277</v>
      </c>
      <c r="J21" s="103" t="s">
        <v>61</v>
      </c>
    </row>
    <row r="22" spans="1:10" ht="34.9" customHeight="1">
      <c r="A22" s="85"/>
      <c r="B22" s="105" t="s">
        <v>62</v>
      </c>
      <c r="C22" s="106">
        <f>C17*C19*C21</f>
        <v>0.84566596194503174</v>
      </c>
      <c r="D22" s="106">
        <f t="shared" ref="D22:I22" si="10">D17*D19*D21</f>
        <v>0.86794019933554822</v>
      </c>
      <c r="E22" s="106">
        <f t="shared" si="10"/>
        <v>0.7848837209302324</v>
      </c>
      <c r="F22" s="106">
        <f t="shared" si="10"/>
        <v>0.80683436165163736</v>
      </c>
      <c r="G22" s="106">
        <f t="shared" si="10"/>
        <v>0.71135430916552655</v>
      </c>
      <c r="H22" s="106">
        <f t="shared" si="10"/>
        <v>0.90175605125771219</v>
      </c>
      <c r="I22" s="106">
        <f t="shared" si="10"/>
        <v>0.88870431893687707</v>
      </c>
      <c r="J22" s="103" t="s">
        <v>63</v>
      </c>
    </row>
    <row r="23" spans="1:10">
      <c r="A23" s="85"/>
      <c r="B23" s="85"/>
      <c r="C23" s="85"/>
      <c r="D23" s="85"/>
      <c r="E23" s="85"/>
      <c r="F23" s="85"/>
      <c r="G23" s="85"/>
      <c r="H23" s="85"/>
      <c r="I23" s="85"/>
      <c r="J23" s="103"/>
    </row>
    <row r="24" spans="1:10">
      <c r="A24" s="85"/>
      <c r="B24" s="85"/>
      <c r="C24" s="85"/>
      <c r="D24" s="85"/>
      <c r="E24" s="85"/>
      <c r="F24" s="85"/>
      <c r="G24" s="85"/>
      <c r="H24" s="85"/>
      <c r="I24" s="85"/>
      <c r="J24" s="103"/>
    </row>
    <row r="25" spans="1:10">
      <c r="A25" s="85"/>
      <c r="B25" s="85"/>
      <c r="C25" s="85"/>
      <c r="D25" s="85"/>
      <c r="E25" s="85"/>
      <c r="F25" s="85"/>
      <c r="G25" s="85"/>
      <c r="H25" s="85"/>
      <c r="I25" s="85"/>
      <c r="J25" s="103"/>
    </row>
    <row r="26" spans="1:10">
      <c r="A26" s="85"/>
      <c r="B26" s="85"/>
      <c r="C26" s="85"/>
      <c r="D26" s="85"/>
      <c r="E26" s="85"/>
      <c r="F26" s="85"/>
      <c r="G26" s="85"/>
      <c r="H26" s="85"/>
      <c r="I26" s="85"/>
      <c r="J26" s="103"/>
    </row>
    <row r="27" spans="1:10">
      <c r="A27" s="85"/>
      <c r="B27" s="85"/>
      <c r="C27" s="85"/>
      <c r="D27" s="85"/>
      <c r="E27" s="85"/>
      <c r="F27" s="85"/>
      <c r="G27" s="85"/>
      <c r="H27" s="85"/>
      <c r="I27" s="85"/>
      <c r="J27" s="103"/>
    </row>
    <row r="41" spans="2:2" ht="32.25" customHeight="1">
      <c r="B41" s="3"/>
    </row>
    <row r="42" spans="2:2" ht="32.25" customHeight="1">
      <c r="B42" s="278"/>
    </row>
    <row r="43" spans="2:2" ht="32.25" customHeight="1">
      <c r="B43" s="278"/>
    </row>
    <row r="44" spans="2:2" ht="32.25" customHeight="1">
      <c r="B44" s="278"/>
    </row>
    <row r="45" spans="2:2" ht="32.25" customHeight="1">
      <c r="B45" s="278"/>
    </row>
    <row r="46" spans="2:2" ht="32.25" customHeight="1">
      <c r="B46" s="278"/>
    </row>
    <row r="47" spans="2:2" ht="32.25" customHeight="1"/>
    <row r="48" spans="2:2" ht="32.25" customHeight="1"/>
    <row r="49" ht="32.25" customHeight="1"/>
  </sheetData>
  <pageMargins left="0.7" right="0.7" top="0.75" bottom="0.75" header="0.3" footer="0.3"/>
  <pageSetup paperSize="9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8D65-22F0-4415-9CD9-D0F558A5342D}">
  <sheetPr>
    <pageSetUpPr fitToPage="1"/>
  </sheetPr>
  <dimension ref="B1:AF84"/>
  <sheetViews>
    <sheetView workbookViewId="0"/>
  </sheetViews>
  <sheetFormatPr baseColWidth="10" defaultColWidth="11.5703125" defaultRowHeight="15"/>
  <cols>
    <col min="1" max="1" width="11.5703125" style="49"/>
    <col min="2" max="6" width="17.42578125" style="49" customWidth="1"/>
    <col min="7" max="7" width="5.7109375" style="192" customWidth="1"/>
    <col min="8" max="8" width="20.7109375" style="85" customWidth="1"/>
    <col min="9" max="11" width="17.42578125" style="85" customWidth="1"/>
    <col min="12" max="12" width="5.7109375" style="85" customWidth="1"/>
    <col min="13" max="16" width="17.42578125" style="85" customWidth="1"/>
    <col min="17" max="17" width="5.7109375" style="85" customWidth="1"/>
    <col min="18" max="30" width="17.42578125" style="85" customWidth="1"/>
    <col min="31" max="47" width="17.42578125" style="49" customWidth="1"/>
    <col min="48" max="16384" width="11.5703125" style="49"/>
  </cols>
  <sheetData>
    <row r="1" spans="2:30" ht="15.75" thickBot="1"/>
    <row r="2" spans="2:30" ht="15.75">
      <c r="B2" s="108"/>
      <c r="C2" s="336" t="s">
        <v>40</v>
      </c>
      <c r="D2" s="336"/>
      <c r="E2" s="109"/>
    </row>
    <row r="3" spans="2:30" ht="15.75" thickBot="1">
      <c r="B3" s="110"/>
      <c r="C3" s="111"/>
      <c r="D3" s="111"/>
      <c r="E3" s="112"/>
    </row>
    <row r="4" spans="2:30" ht="18.75" thickBot="1">
      <c r="B4" s="110"/>
      <c r="C4" s="114" t="s">
        <v>98</v>
      </c>
      <c r="D4" s="115" t="s">
        <v>99</v>
      </c>
      <c r="E4" s="112"/>
    </row>
    <row r="5" spans="2:30">
      <c r="B5" s="110"/>
      <c r="C5" s="145">
        <v>0.5</v>
      </c>
      <c r="D5" s="146">
        <v>7</v>
      </c>
      <c r="E5" s="112"/>
    </row>
    <row r="6" spans="2:30">
      <c r="B6" s="110"/>
      <c r="C6" s="131">
        <v>1</v>
      </c>
      <c r="D6" s="147">
        <v>6</v>
      </c>
      <c r="E6" s="112"/>
    </row>
    <row r="7" spans="2:30">
      <c r="B7" s="110"/>
      <c r="C7" s="131">
        <v>1.5</v>
      </c>
      <c r="D7" s="147">
        <v>7</v>
      </c>
      <c r="E7" s="112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>
      <c r="B8" s="110"/>
      <c r="C8" s="131">
        <v>2</v>
      </c>
      <c r="D8" s="147">
        <v>7</v>
      </c>
      <c r="E8" s="112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>
      <c r="B9" s="110"/>
      <c r="C9" s="131">
        <v>3</v>
      </c>
      <c r="D9" s="147">
        <v>13</v>
      </c>
      <c r="E9" s="112"/>
      <c r="H9" s="49"/>
      <c r="I9" s="49"/>
      <c r="J9" s="49"/>
      <c r="K9" s="49"/>
      <c r="L9" s="49"/>
      <c r="M9" s="192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>
      <c r="B10" s="110"/>
      <c r="C10" s="131">
        <v>4</v>
      </c>
      <c r="D10" s="147">
        <v>15</v>
      </c>
      <c r="E10" s="112"/>
      <c r="H10" s="49"/>
      <c r="I10" s="49"/>
      <c r="J10" s="49"/>
      <c r="K10" s="49"/>
      <c r="L10" s="49"/>
      <c r="M10" s="192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>
      <c r="B11" s="110"/>
      <c r="C11" s="131">
        <v>5</v>
      </c>
      <c r="D11" s="147">
        <v>30</v>
      </c>
      <c r="E11" s="112"/>
    </row>
    <row r="12" spans="2:30">
      <c r="B12" s="110"/>
      <c r="C12" s="131">
        <v>6</v>
      </c>
      <c r="D12" s="147">
        <v>65</v>
      </c>
      <c r="E12" s="112"/>
    </row>
    <row r="13" spans="2:30">
      <c r="B13" s="110"/>
      <c r="C13" s="131">
        <v>7</v>
      </c>
      <c r="D13" s="147">
        <v>90</v>
      </c>
      <c r="E13" s="112"/>
    </row>
    <row r="14" spans="2:30">
      <c r="B14" s="110"/>
      <c r="C14" s="131">
        <v>8</v>
      </c>
      <c r="D14" s="147">
        <v>75</v>
      </c>
      <c r="E14" s="112"/>
    </row>
    <row r="15" spans="2:30">
      <c r="B15" s="110"/>
      <c r="C15" s="131">
        <v>9</v>
      </c>
      <c r="D15" s="147">
        <v>85</v>
      </c>
      <c r="E15" s="112"/>
    </row>
    <row r="16" spans="2:30">
      <c r="B16" s="110"/>
      <c r="C16" s="148">
        <v>10</v>
      </c>
      <c r="D16" s="149">
        <v>50</v>
      </c>
      <c r="E16" s="112"/>
    </row>
    <row r="17" spans="2:32">
      <c r="B17" s="110"/>
      <c r="C17" s="148">
        <v>11</v>
      </c>
      <c r="D17" s="149">
        <v>30</v>
      </c>
      <c r="E17" s="112"/>
    </row>
    <row r="18" spans="2:32" ht="15.75" thickBot="1">
      <c r="B18" s="110"/>
      <c r="C18" s="150">
        <v>12</v>
      </c>
      <c r="D18" s="151">
        <v>15</v>
      </c>
      <c r="E18" s="112"/>
      <c r="AD18" s="276"/>
      <c r="AE18" s="276"/>
      <c r="AF18" s="276"/>
    </row>
    <row r="19" spans="2:32" ht="15.75" thickBot="1">
      <c r="B19" s="125"/>
      <c r="C19" s="126"/>
      <c r="D19" s="126"/>
      <c r="E19" s="127"/>
      <c r="AD19" s="382" t="s">
        <v>202</v>
      </c>
      <c r="AE19" s="382"/>
      <c r="AF19" s="382"/>
    </row>
    <row r="20" spans="2:32" ht="15.75" thickBot="1">
      <c r="AD20" s="382" t="s">
        <v>203</v>
      </c>
      <c r="AE20" s="382"/>
      <c r="AF20" s="382"/>
    </row>
    <row r="21" spans="2:32" ht="15.75" thickBot="1">
      <c r="C21" s="250" t="s">
        <v>14</v>
      </c>
      <c r="D21" s="251">
        <v>500</v>
      </c>
    </row>
    <row r="22" spans="2:32" ht="15.75" thickBot="1">
      <c r="I22" s="350" t="s">
        <v>182</v>
      </c>
      <c r="J22" s="351"/>
      <c r="K22" s="352"/>
      <c r="N22" s="379" t="s">
        <v>187</v>
      </c>
      <c r="O22" s="380"/>
      <c r="P22" s="381"/>
      <c r="R22" s="379" t="s">
        <v>149</v>
      </c>
      <c r="S22" s="380"/>
      <c r="T22" s="380"/>
      <c r="U22" s="380"/>
      <c r="V22" s="381"/>
      <c r="Y22" s="379" t="s">
        <v>195</v>
      </c>
      <c r="Z22" s="380"/>
      <c r="AA22" s="381"/>
      <c r="AD22" s="379" t="s">
        <v>201</v>
      </c>
      <c r="AE22" s="380"/>
      <c r="AF22" s="381"/>
    </row>
    <row r="23" spans="2:32" ht="18.75" thickBot="1">
      <c r="C23" s="252" t="s">
        <v>98</v>
      </c>
      <c r="D23" s="113" t="s">
        <v>99</v>
      </c>
      <c r="E23" s="47" t="s">
        <v>114</v>
      </c>
      <c r="F23" s="251" t="s">
        <v>115</v>
      </c>
      <c r="G23" s="111"/>
      <c r="I23" s="201" t="s">
        <v>135</v>
      </c>
      <c r="J23" s="201" t="s">
        <v>136</v>
      </c>
      <c r="K23" s="201" t="s">
        <v>137</v>
      </c>
      <c r="N23" s="201" t="s">
        <v>144</v>
      </c>
      <c r="O23" s="201" t="s">
        <v>145</v>
      </c>
      <c r="P23" s="201" t="s">
        <v>147</v>
      </c>
      <c r="R23" s="201" t="s">
        <v>150</v>
      </c>
      <c r="S23" s="253" t="s">
        <v>188</v>
      </c>
      <c r="T23" s="201" t="s">
        <v>155</v>
      </c>
      <c r="U23" s="201" t="s">
        <v>156</v>
      </c>
      <c r="V23" s="201" t="s">
        <v>157</v>
      </c>
      <c r="AC23" s="201" t="s">
        <v>198</v>
      </c>
      <c r="AD23" s="263" t="s">
        <v>199</v>
      </c>
      <c r="AE23" s="47" t="s">
        <v>200</v>
      </c>
      <c r="AF23" s="47" t="s">
        <v>195</v>
      </c>
    </row>
    <row r="24" spans="2:32" ht="15.75" thickBot="1">
      <c r="C24" s="145">
        <v>0.5</v>
      </c>
      <c r="D24" s="244">
        <v>7</v>
      </c>
      <c r="E24" s="248">
        <f>D24</f>
        <v>7</v>
      </c>
      <c r="F24" s="249">
        <f>E24/$D$21</f>
        <v>1.4E-2</v>
      </c>
      <c r="G24" s="111"/>
      <c r="I24" s="256">
        <f>C24*D24</f>
        <v>3.5</v>
      </c>
      <c r="J24" s="98">
        <f>1-EXP(-$I$42*C24)</f>
        <v>6.4609644065984906E-2</v>
      </c>
      <c r="K24" s="99">
        <f>J24/F24</f>
        <v>4.6149745761417789</v>
      </c>
      <c r="N24" s="313">
        <f>1-F24</f>
        <v>0.98599999999999999</v>
      </c>
      <c r="O24" s="275">
        <f>1-EXP(-$N$38*N24)</f>
        <v>0.24943273124004628</v>
      </c>
      <c r="P24" s="275">
        <f>O24/F24</f>
        <v>17.816623660003305</v>
      </c>
      <c r="R24" s="135">
        <f>LN(C24)</f>
        <v>-0.69314718055994529</v>
      </c>
      <c r="S24" s="179">
        <f>LN(-LN(1-F24))</f>
        <v>-4.2616567696496013</v>
      </c>
      <c r="T24" s="91">
        <f>1-EXP(-((C24/$S$39)^$S$38))</f>
        <v>5.7806379024420984E-3</v>
      </c>
      <c r="U24" s="91">
        <f>LN(-LN(1-T24))</f>
        <v>-5.150343933828947</v>
      </c>
      <c r="V24" s="92">
        <f>ABS(S24/U24)</f>
        <v>0.8274509089883898</v>
      </c>
      <c r="AC24" s="256">
        <f>0</f>
        <v>0</v>
      </c>
      <c r="AD24" s="98">
        <f>EXP(-$I$42*AC24)</f>
        <v>1</v>
      </c>
      <c r="AE24" s="275">
        <f>EXP(-((AC24/$S$39)^$S$38))</f>
        <v>1</v>
      </c>
      <c r="AF24" s="249">
        <f t="shared" ref="AF24:AF43" si="0">EXP(-((AC24/$Z$54)^$Z$53))</f>
        <v>1</v>
      </c>
    </row>
    <row r="25" spans="2:32" ht="15.75" thickBot="1">
      <c r="C25" s="131">
        <v>1</v>
      </c>
      <c r="D25" s="245">
        <v>6</v>
      </c>
      <c r="E25" s="199">
        <f>E24+D25</f>
        <v>13</v>
      </c>
      <c r="F25" s="166">
        <f t="shared" ref="F25:F37" si="1">E25/$D$21</f>
        <v>2.5999999999999999E-2</v>
      </c>
      <c r="G25" s="111"/>
      <c r="I25" s="96">
        <f t="shared" ref="I25:I37" si="2">C25*D25</f>
        <v>6</v>
      </c>
      <c r="J25" s="98">
        <f t="shared" ref="J25:J37" si="3">1-EXP(-$I$42*C25)</f>
        <v>0.12504488202563646</v>
      </c>
      <c r="K25" s="95">
        <f t="shared" ref="K25:K37" si="4">J25/F25</f>
        <v>4.8094185394475568</v>
      </c>
      <c r="N25" s="314">
        <f t="shared" ref="N25:N37" si="5">1-F25</f>
        <v>0.97399999999999998</v>
      </c>
      <c r="O25" s="162">
        <f t="shared" ref="O25:O37" si="6">1-EXP(-$N$38*N25)</f>
        <v>0.2468071687734924</v>
      </c>
      <c r="P25" s="162">
        <f t="shared" ref="P25:P37" si="7">O25/F25</f>
        <v>9.4925834143650931</v>
      </c>
      <c r="R25" s="96">
        <f t="shared" ref="R25:R36" si="8">LN(C25)</f>
        <v>0</v>
      </c>
      <c r="S25" s="180">
        <f t="shared" ref="S25:S37" si="9">LN(-LN(1-F25))</f>
        <v>-3.6365156700001466</v>
      </c>
      <c r="T25" s="91">
        <f t="shared" ref="T25:T37" si="10">1-EXP(-((C25/$S$39)^$S$38))</f>
        <v>2.065868690940964E-2</v>
      </c>
      <c r="U25" s="94">
        <f t="shared" ref="U25:U37" si="11">LN(-LN(1-T25))</f>
        <v>-3.8691999999999998</v>
      </c>
      <c r="V25" s="95">
        <f t="shared" ref="V25:V37" si="12">ABS(S25/U25)</f>
        <v>0.93986241858785968</v>
      </c>
      <c r="AC25" s="96">
        <f>AC24+0.25</f>
        <v>0.25</v>
      </c>
      <c r="AD25" s="94">
        <f t="shared" ref="AD25:AD84" si="13">EXP(-$I$42*AC25)</f>
        <v>0.96715580747572161</v>
      </c>
      <c r="AE25" s="162">
        <f t="shared" ref="AE25:AE84" si="14">EXP(-((AC25/$S$39)^$S$38))</f>
        <v>0.99839124193587114</v>
      </c>
      <c r="AF25" s="166">
        <f t="shared" si="0"/>
        <v>0.99332475333059922</v>
      </c>
    </row>
    <row r="26" spans="2:32" ht="15.75" thickBot="1">
      <c r="C26" s="131">
        <v>1.5</v>
      </c>
      <c r="D26" s="245">
        <v>7</v>
      </c>
      <c r="E26" s="199">
        <f t="shared" ref="E26:E37" si="15">E25+D26</f>
        <v>20</v>
      </c>
      <c r="F26" s="166">
        <f t="shared" si="1"/>
        <v>0.04</v>
      </c>
      <c r="G26" s="111"/>
      <c r="I26" s="96">
        <f t="shared" si="2"/>
        <v>10.5</v>
      </c>
      <c r="J26" s="98">
        <f t="shared" si="3"/>
        <v>0.18157542077167188</v>
      </c>
      <c r="K26" s="95">
        <f t="shared" si="4"/>
        <v>4.5393855192917973</v>
      </c>
      <c r="N26" s="314">
        <f t="shared" si="5"/>
        <v>0.96</v>
      </c>
      <c r="O26" s="162">
        <f t="shared" si="6"/>
        <v>0.24373240213220659</v>
      </c>
      <c r="P26" s="162">
        <f t="shared" si="7"/>
        <v>6.0933100533051645</v>
      </c>
      <c r="R26" s="96">
        <f t="shared" si="8"/>
        <v>0.40546510810816438</v>
      </c>
      <c r="S26" s="180">
        <f t="shared" si="9"/>
        <v>-3.1985342614453849</v>
      </c>
      <c r="T26" s="91">
        <f t="shared" si="10"/>
        <v>4.3205778559957775E-2</v>
      </c>
      <c r="U26" s="94">
        <f t="shared" si="11"/>
        <v>-3.1197788406836802</v>
      </c>
      <c r="V26" s="95">
        <f t="shared" si="12"/>
        <v>1.0252439114384293</v>
      </c>
      <c r="AC26" s="96">
        <f t="shared" ref="AC26:AC84" si="16">AC25+0.25</f>
        <v>0.5</v>
      </c>
      <c r="AD26" s="94">
        <f t="shared" si="13"/>
        <v>0.93539035593401509</v>
      </c>
      <c r="AE26" s="162">
        <f t="shared" si="14"/>
        <v>0.9942193620975579</v>
      </c>
      <c r="AF26" s="166">
        <f t="shared" si="0"/>
        <v>0.98652443202634543</v>
      </c>
    </row>
    <row r="27" spans="2:32" ht="15.75" thickBot="1">
      <c r="C27" s="131">
        <v>2</v>
      </c>
      <c r="D27" s="245">
        <v>7</v>
      </c>
      <c r="E27" s="199">
        <f t="shared" si="15"/>
        <v>27</v>
      </c>
      <c r="F27" s="166">
        <f t="shared" si="1"/>
        <v>5.3999999999999999E-2</v>
      </c>
      <c r="G27" s="111"/>
      <c r="I27" s="96">
        <f t="shared" si="2"/>
        <v>14</v>
      </c>
      <c r="J27" s="98">
        <f t="shared" si="3"/>
        <v>0.2344535415304676</v>
      </c>
      <c r="K27" s="95">
        <f t="shared" si="4"/>
        <v>4.3417322505642151</v>
      </c>
      <c r="N27" s="314">
        <f t="shared" si="5"/>
        <v>0.94599999999999995</v>
      </c>
      <c r="O27" s="162">
        <f t="shared" si="6"/>
        <v>0.24064508334025447</v>
      </c>
      <c r="P27" s="162">
        <f t="shared" si="7"/>
        <v>4.456390432226935</v>
      </c>
      <c r="R27" s="96">
        <f t="shared" si="8"/>
        <v>0.69314718055994529</v>
      </c>
      <c r="S27" s="180">
        <f t="shared" si="9"/>
        <v>-2.8911432766956096</v>
      </c>
      <c r="T27" s="91">
        <f t="shared" si="10"/>
        <v>7.2410521072698519E-2</v>
      </c>
      <c r="U27" s="94">
        <f t="shared" si="11"/>
        <v>-2.5880560661710525</v>
      </c>
      <c r="V27" s="95">
        <f t="shared" si="12"/>
        <v>1.1171099863276783</v>
      </c>
      <c r="AC27" s="96">
        <f t="shared" si="16"/>
        <v>0.75</v>
      </c>
      <c r="AD27" s="94">
        <f t="shared" si="13"/>
        <v>0.90466821499836514</v>
      </c>
      <c r="AE27" s="162">
        <f t="shared" si="14"/>
        <v>0.98780890502092733</v>
      </c>
      <c r="AF27" s="166">
        <f t="shared" si="0"/>
        <v>0.97970558381134221</v>
      </c>
    </row>
    <row r="28" spans="2:32" ht="15.75" thickBot="1">
      <c r="C28" s="131">
        <v>3</v>
      </c>
      <c r="D28" s="245">
        <v>13</v>
      </c>
      <c r="E28" s="199">
        <f t="shared" si="15"/>
        <v>40</v>
      </c>
      <c r="F28" s="166">
        <f t="shared" si="1"/>
        <v>0.08</v>
      </c>
      <c r="G28" s="111"/>
      <c r="I28" s="96">
        <f t="shared" si="2"/>
        <v>39</v>
      </c>
      <c r="J28" s="98">
        <f t="shared" si="3"/>
        <v>0.33018120811493412</v>
      </c>
      <c r="K28" s="95">
        <f t="shared" si="4"/>
        <v>4.1272651014366764</v>
      </c>
      <c r="N28" s="314">
        <f t="shared" si="5"/>
        <v>0.92</v>
      </c>
      <c r="O28" s="162">
        <f t="shared" si="6"/>
        <v>0.23487801473124348</v>
      </c>
      <c r="P28" s="162">
        <f t="shared" si="7"/>
        <v>2.9359751841405433</v>
      </c>
      <c r="R28" s="96">
        <f t="shared" si="8"/>
        <v>1.0986122886681098</v>
      </c>
      <c r="S28" s="180">
        <f t="shared" si="9"/>
        <v>-2.4843275102530673</v>
      </c>
      <c r="T28" s="91">
        <f t="shared" si="10"/>
        <v>0.14703296204686966</v>
      </c>
      <c r="U28" s="94">
        <f t="shared" si="11"/>
        <v>-1.8386349068547332</v>
      </c>
      <c r="V28" s="95">
        <f t="shared" si="12"/>
        <v>1.3511804333699344</v>
      </c>
      <c r="AC28" s="96">
        <f t="shared" si="16"/>
        <v>1</v>
      </c>
      <c r="AD28" s="94">
        <f t="shared" si="13"/>
        <v>0.87495511797436354</v>
      </c>
      <c r="AE28" s="162">
        <f t="shared" si="14"/>
        <v>0.97934131309059036</v>
      </c>
      <c r="AF28" s="166">
        <f t="shared" si="0"/>
        <v>0.97289155184827902</v>
      </c>
    </row>
    <row r="29" spans="2:32" ht="15.75" thickBot="1">
      <c r="C29" s="131">
        <v>4</v>
      </c>
      <c r="D29" s="245">
        <v>15</v>
      </c>
      <c r="E29" s="199">
        <f t="shared" si="15"/>
        <v>55</v>
      </c>
      <c r="F29" s="166">
        <f t="shared" si="1"/>
        <v>0.11</v>
      </c>
      <c r="G29" s="111"/>
      <c r="I29" s="96">
        <f t="shared" si="2"/>
        <v>60</v>
      </c>
      <c r="J29" s="98">
        <f t="shared" si="3"/>
        <v>0.41393861992475645</v>
      </c>
      <c r="K29" s="95">
        <f t="shared" si="4"/>
        <v>3.7630783629523314</v>
      </c>
      <c r="N29" s="314">
        <f t="shared" si="5"/>
        <v>0.89</v>
      </c>
      <c r="O29" s="162">
        <f t="shared" si="6"/>
        <v>0.22816925868747484</v>
      </c>
      <c r="P29" s="162">
        <f t="shared" si="7"/>
        <v>2.0742659880679533</v>
      </c>
      <c r="R29" s="96">
        <f t="shared" si="8"/>
        <v>1.3862943611198906</v>
      </c>
      <c r="S29" s="180">
        <f t="shared" si="9"/>
        <v>-2.1495737798046424</v>
      </c>
      <c r="T29" s="91">
        <f t="shared" si="10"/>
        <v>0.23711998375620147</v>
      </c>
      <c r="U29" s="94">
        <f t="shared" si="11"/>
        <v>-1.306912132342106</v>
      </c>
      <c r="V29" s="95">
        <f t="shared" si="12"/>
        <v>1.6447729932328423</v>
      </c>
      <c r="AC29" s="96">
        <f t="shared" si="16"/>
        <v>1.25</v>
      </c>
      <c r="AD29" s="94">
        <f t="shared" si="13"/>
        <v>0.84621792362951087</v>
      </c>
      <c r="AE29" s="162">
        <f t="shared" si="14"/>
        <v>0.96896029749303891</v>
      </c>
      <c r="AF29" s="166">
        <f t="shared" si="0"/>
        <v>0.96609349387344245</v>
      </c>
    </row>
    <row r="30" spans="2:32" ht="15.75" thickBot="1">
      <c r="C30" s="131">
        <v>5</v>
      </c>
      <c r="D30" s="245">
        <v>30</v>
      </c>
      <c r="E30" s="199">
        <f t="shared" si="15"/>
        <v>85</v>
      </c>
      <c r="F30" s="166">
        <f t="shared" si="1"/>
        <v>0.17</v>
      </c>
      <c r="G30" s="111"/>
      <c r="I30" s="96">
        <f t="shared" si="2"/>
        <v>150</v>
      </c>
      <c r="J30" s="98">
        <f t="shared" si="3"/>
        <v>0.48722259605604701</v>
      </c>
      <c r="K30" s="95">
        <f t="shared" si="4"/>
        <v>2.8660152709179232</v>
      </c>
      <c r="N30" s="314">
        <f t="shared" si="5"/>
        <v>0.83</v>
      </c>
      <c r="O30" s="162">
        <f t="shared" si="6"/>
        <v>0.21457475932168024</v>
      </c>
      <c r="P30" s="162">
        <f t="shared" si="7"/>
        <v>1.2622044665981189</v>
      </c>
      <c r="R30" s="96">
        <f t="shared" si="8"/>
        <v>1.6094379124341003</v>
      </c>
      <c r="S30" s="180">
        <f t="shared" si="9"/>
        <v>-1.6802382475166791</v>
      </c>
      <c r="T30" s="91">
        <f t="shared" si="10"/>
        <v>0.33556737857590724</v>
      </c>
      <c r="U30" s="94">
        <f t="shared" si="11"/>
        <v>-0.8944759064480523</v>
      </c>
      <c r="V30" s="95">
        <f t="shared" si="12"/>
        <v>1.8784611585446442</v>
      </c>
      <c r="AC30" s="96">
        <f t="shared" si="16"/>
        <v>1.5</v>
      </c>
      <c r="AD30" s="94">
        <f t="shared" si="13"/>
        <v>0.81842457922832812</v>
      </c>
      <c r="AE30" s="162">
        <f t="shared" si="14"/>
        <v>0.95679422144004223</v>
      </c>
      <c r="AF30" s="166">
        <f t="shared" si="0"/>
        <v>0.95931797005943387</v>
      </c>
    </row>
    <row r="31" spans="2:32" ht="15.75" thickBot="1">
      <c r="C31" s="131">
        <v>6</v>
      </c>
      <c r="D31" s="245">
        <v>65</v>
      </c>
      <c r="E31" s="199">
        <f t="shared" si="15"/>
        <v>150</v>
      </c>
      <c r="F31" s="166">
        <f t="shared" si="1"/>
        <v>0.3</v>
      </c>
      <c r="G31" s="111"/>
      <c r="I31" s="96">
        <f t="shared" si="2"/>
        <v>390</v>
      </c>
      <c r="J31" s="98">
        <f t="shared" si="3"/>
        <v>0.55134278603763076</v>
      </c>
      <c r="K31" s="95">
        <f t="shared" si="4"/>
        <v>1.8378092867921025</v>
      </c>
      <c r="N31" s="314">
        <f t="shared" si="5"/>
        <v>0.7</v>
      </c>
      <c r="O31" s="162">
        <f t="shared" si="6"/>
        <v>0.18429295340187457</v>
      </c>
      <c r="P31" s="162">
        <f t="shared" si="7"/>
        <v>0.61430984467291527</v>
      </c>
      <c r="R31" s="96">
        <f t="shared" si="8"/>
        <v>1.791759469228055</v>
      </c>
      <c r="S31" s="180">
        <f t="shared" si="9"/>
        <v>-1.0309304331587228</v>
      </c>
      <c r="T31" s="91">
        <f t="shared" si="10"/>
        <v>0.43596785940933547</v>
      </c>
      <c r="U31" s="94">
        <f t="shared" si="11"/>
        <v>-0.55749097302578554</v>
      </c>
      <c r="V31" s="95">
        <f t="shared" si="12"/>
        <v>1.8492325132429352</v>
      </c>
      <c r="AC31" s="96">
        <f t="shared" si="16"/>
        <v>1.75</v>
      </c>
      <c r="AD31" s="94">
        <f t="shared" si="13"/>
        <v>0.79154408478155136</v>
      </c>
      <c r="AE31" s="162">
        <f t="shared" si="14"/>
        <v>0.94296452026553013</v>
      </c>
      <c r="AF31" s="166">
        <f t="shared" si="0"/>
        <v>0.95256927815016157</v>
      </c>
    </row>
    <row r="32" spans="2:32" ht="15.75" thickBot="1">
      <c r="C32" s="131">
        <v>7</v>
      </c>
      <c r="D32" s="245">
        <v>90</v>
      </c>
      <c r="E32" s="199">
        <f t="shared" si="15"/>
        <v>240</v>
      </c>
      <c r="F32" s="166">
        <f t="shared" si="1"/>
        <v>0.48</v>
      </c>
      <c r="G32" s="111"/>
      <c r="I32" s="96">
        <f t="shared" si="2"/>
        <v>630</v>
      </c>
      <c r="J32" s="98">
        <f t="shared" si="3"/>
        <v>0.60744507442750595</v>
      </c>
      <c r="K32" s="95">
        <f t="shared" si="4"/>
        <v>1.2655105717239707</v>
      </c>
      <c r="N32" s="314">
        <f t="shared" si="5"/>
        <v>0.52</v>
      </c>
      <c r="O32" s="162">
        <f t="shared" si="6"/>
        <v>0.1404274085848588</v>
      </c>
      <c r="P32" s="162">
        <f t="shared" si="7"/>
        <v>0.29255710121845585</v>
      </c>
      <c r="R32" s="96">
        <f t="shared" si="8"/>
        <v>1.9459101490553132</v>
      </c>
      <c r="S32" s="180">
        <f t="shared" si="9"/>
        <v>-0.42476036900425079</v>
      </c>
      <c r="T32" s="91">
        <f t="shared" si="10"/>
        <v>0.53299572888605407</v>
      </c>
      <c r="U32" s="94">
        <f t="shared" si="11"/>
        <v>-0.2725742715010645</v>
      </c>
      <c r="V32" s="95">
        <f t="shared" si="12"/>
        <v>1.5583289158771243</v>
      </c>
      <c r="AC32" s="96">
        <f t="shared" si="16"/>
        <v>2</v>
      </c>
      <c r="AD32" s="94">
        <f t="shared" si="13"/>
        <v>0.7655464584695324</v>
      </c>
      <c r="AE32" s="162">
        <f t="shared" si="14"/>
        <v>0.92758947892730148</v>
      </c>
      <c r="AF32" s="166">
        <f t="shared" si="0"/>
        <v>0.94585042727513424</v>
      </c>
    </row>
    <row r="33" spans="3:32" ht="16.5" thickBot="1">
      <c r="C33" s="131">
        <v>8</v>
      </c>
      <c r="D33" s="245">
        <v>75</v>
      </c>
      <c r="E33" s="199">
        <f t="shared" si="15"/>
        <v>315</v>
      </c>
      <c r="F33" s="166">
        <f t="shared" si="1"/>
        <v>0.63</v>
      </c>
      <c r="G33" s="111"/>
      <c r="I33" s="96">
        <f t="shared" si="2"/>
        <v>600</v>
      </c>
      <c r="J33" s="98">
        <f t="shared" si="3"/>
        <v>0.65653205878430088</v>
      </c>
      <c r="K33" s="95">
        <f t="shared" si="4"/>
        <v>1.0421143790226999</v>
      </c>
      <c r="N33" s="314">
        <f t="shared" si="5"/>
        <v>0.37</v>
      </c>
      <c r="O33" s="162">
        <f t="shared" si="6"/>
        <v>0.10207613758154366</v>
      </c>
      <c r="P33" s="162">
        <f t="shared" si="7"/>
        <v>0.16202561520879946</v>
      </c>
      <c r="R33" s="174">
        <f t="shared" si="8"/>
        <v>2.0794415416798357</v>
      </c>
      <c r="S33" s="266">
        <f t="shared" si="9"/>
        <v>-5.764308405759813E-3</v>
      </c>
      <c r="T33" s="267">
        <f t="shared" si="10"/>
        <v>0.62264201060779767</v>
      </c>
      <c r="U33" s="265">
        <f t="shared" si="11"/>
        <v>-2.5768198513159143E-2</v>
      </c>
      <c r="V33" s="268">
        <f t="shared" si="12"/>
        <v>0.22369854077366455</v>
      </c>
      <c r="W33" s="383" t="s">
        <v>228</v>
      </c>
      <c r="X33" s="384"/>
      <c r="Y33" s="269"/>
      <c r="AC33" s="96">
        <f t="shared" si="16"/>
        <v>2.25</v>
      </c>
      <c r="AD33" s="94">
        <f t="shared" si="13"/>
        <v>0.74040270320127965</v>
      </c>
      <c r="AE33" s="162">
        <f t="shared" si="14"/>
        <v>0.91078601827937944</v>
      </c>
      <c r="AF33" s="166">
        <f t="shared" si="0"/>
        <v>0.93916361975653162</v>
      </c>
    </row>
    <row r="34" spans="3:32" ht="16.5" customHeight="1" thickBot="1">
      <c r="C34" s="131">
        <v>9</v>
      </c>
      <c r="D34" s="245">
        <v>85</v>
      </c>
      <c r="E34" s="199">
        <f t="shared" si="15"/>
        <v>400</v>
      </c>
      <c r="F34" s="166">
        <f t="shared" si="1"/>
        <v>0.8</v>
      </c>
      <c r="G34" s="111"/>
      <c r="I34" s="96">
        <f t="shared" si="2"/>
        <v>765</v>
      </c>
      <c r="J34" s="98">
        <f t="shared" si="3"/>
        <v>0.69948096697320628</v>
      </c>
      <c r="K34" s="95">
        <f t="shared" si="4"/>
        <v>0.87435120871650784</v>
      </c>
      <c r="N34" s="314">
        <f t="shared" si="5"/>
        <v>0.19999999999999996</v>
      </c>
      <c r="O34" s="162">
        <f t="shared" si="6"/>
        <v>5.6538763680948012E-2</v>
      </c>
      <c r="P34" s="162">
        <f t="shared" si="7"/>
        <v>7.0673454601185015E-2</v>
      </c>
      <c r="R34" s="96">
        <f t="shared" si="8"/>
        <v>2.1972245773362196</v>
      </c>
      <c r="S34" s="180">
        <f t="shared" si="9"/>
        <v>0.4758849953271107</v>
      </c>
      <c r="T34" s="91">
        <f t="shared" si="10"/>
        <v>0.70227526538483942</v>
      </c>
      <c r="U34" s="94">
        <f t="shared" si="11"/>
        <v>0.19193018629053427</v>
      </c>
      <c r="V34" s="95">
        <f t="shared" si="12"/>
        <v>2.4794692514221808</v>
      </c>
      <c r="W34" s="383" t="s">
        <v>194</v>
      </c>
      <c r="X34" s="384"/>
      <c r="Y34" s="269"/>
      <c r="AC34" s="96">
        <f t="shared" si="16"/>
        <v>2.5</v>
      </c>
      <c r="AD34" s="94">
        <f t="shared" si="13"/>
        <v>0.7160847742718407</v>
      </c>
      <c r="AE34" s="162">
        <f t="shared" si="14"/>
        <v>0.89267049158913048</v>
      </c>
      <c r="AF34" s="166">
        <f t="shared" si="0"/>
        <v>0.93251051788840167</v>
      </c>
    </row>
    <row r="35" spans="3:32" ht="15.75" thickBot="1">
      <c r="C35" s="148">
        <v>10</v>
      </c>
      <c r="D35" s="246">
        <v>50</v>
      </c>
      <c r="E35" s="199">
        <f t="shared" si="15"/>
        <v>450</v>
      </c>
      <c r="F35" s="166">
        <f t="shared" si="1"/>
        <v>0.9</v>
      </c>
      <c r="G35" s="111"/>
      <c r="I35" s="96">
        <f t="shared" si="2"/>
        <v>500</v>
      </c>
      <c r="J35" s="98">
        <f t="shared" si="3"/>
        <v>0.73705933400450008</v>
      </c>
      <c r="K35" s="95">
        <f t="shared" si="4"/>
        <v>0.8189548155605556</v>
      </c>
      <c r="N35" s="314">
        <f t="shared" si="5"/>
        <v>9.9999999999999978E-2</v>
      </c>
      <c r="O35" s="162">
        <f t="shared" si="6"/>
        <v>2.8680672322921374E-2</v>
      </c>
      <c r="P35" s="162">
        <f t="shared" si="7"/>
        <v>3.1867413692134861E-2</v>
      </c>
      <c r="R35" s="96">
        <f t="shared" si="8"/>
        <v>2.3025850929940459</v>
      </c>
      <c r="S35" s="180">
        <f t="shared" si="9"/>
        <v>0.83403244524795594</v>
      </c>
      <c r="T35" s="91">
        <f t="shared" si="10"/>
        <v>0.77054944606798403</v>
      </c>
      <c r="U35" s="94">
        <f t="shared" si="11"/>
        <v>0.3866680273808949</v>
      </c>
      <c r="V35" s="95">
        <f t="shared" si="12"/>
        <v>2.1569728712696898</v>
      </c>
      <c r="AC35" s="96">
        <f t="shared" si="16"/>
        <v>2.75</v>
      </c>
      <c r="AD35" s="94">
        <f t="shared" si="13"/>
        <v>0.69256554808195192</v>
      </c>
      <c r="AE35" s="162">
        <f t="shared" si="14"/>
        <v>0.87335894052753682</v>
      </c>
      <c r="AF35" s="166">
        <f t="shared" si="0"/>
        <v>0.92589240404854023</v>
      </c>
    </row>
    <row r="36" spans="3:32" ht="15.75" thickBot="1">
      <c r="C36" s="148">
        <v>11</v>
      </c>
      <c r="D36" s="246">
        <v>30</v>
      </c>
      <c r="E36" s="199">
        <f t="shared" si="15"/>
        <v>480</v>
      </c>
      <c r="F36" s="166">
        <f t="shared" si="1"/>
        <v>0.96</v>
      </c>
      <c r="G36" s="111"/>
      <c r="I36" s="96">
        <f t="shared" si="2"/>
        <v>330</v>
      </c>
      <c r="J36" s="98">
        <f t="shared" si="3"/>
        <v>0.76993871856364959</v>
      </c>
      <c r="K36" s="95">
        <f t="shared" si="4"/>
        <v>0.80201949850380172</v>
      </c>
      <c r="N36" s="314">
        <f t="shared" si="5"/>
        <v>4.0000000000000036E-2</v>
      </c>
      <c r="O36" s="162">
        <f t="shared" si="6"/>
        <v>1.1572517286708273E-2</v>
      </c>
      <c r="P36" s="162">
        <f t="shared" si="7"/>
        <v>1.2054705506987784E-2</v>
      </c>
      <c r="R36" s="96">
        <f t="shared" si="8"/>
        <v>2.3978952727983707</v>
      </c>
      <c r="S36" s="180">
        <f t="shared" si="9"/>
        <v>1.1690321758870557</v>
      </c>
      <c r="T36" s="91">
        <f t="shared" si="10"/>
        <v>0.82720228168172871</v>
      </c>
      <c r="U36" s="94">
        <f t="shared" si="11"/>
        <v>0.56282983271322851</v>
      </c>
      <c r="V36" s="95">
        <f t="shared" si="12"/>
        <v>2.0770614987686655</v>
      </c>
      <c r="AC36" s="96">
        <f t="shared" si="16"/>
        <v>3</v>
      </c>
      <c r="AD36" s="94">
        <f t="shared" si="13"/>
        <v>0.66981879188506588</v>
      </c>
      <c r="AE36" s="162">
        <f t="shared" si="14"/>
        <v>0.85296703795313034</v>
      </c>
      <c r="AF36" s="166">
        <f t="shared" si="0"/>
        <v>0.91931028282076854</v>
      </c>
    </row>
    <row r="37" spans="3:32" ht="15.75" thickBot="1">
      <c r="C37" s="150">
        <v>12</v>
      </c>
      <c r="D37" s="247">
        <v>15</v>
      </c>
      <c r="E37" s="198">
        <f t="shared" si="15"/>
        <v>495</v>
      </c>
      <c r="F37" s="169">
        <f t="shared" si="1"/>
        <v>0.99</v>
      </c>
      <c r="G37" s="111"/>
      <c r="I37" s="257">
        <f t="shared" si="2"/>
        <v>180</v>
      </c>
      <c r="J37" s="98">
        <f t="shared" si="3"/>
        <v>0.79870670435952484</v>
      </c>
      <c r="K37" s="262">
        <f t="shared" si="4"/>
        <v>0.80677444884800487</v>
      </c>
      <c r="N37" s="315">
        <f t="shared" si="5"/>
        <v>1.0000000000000009E-2</v>
      </c>
      <c r="O37" s="318">
        <f t="shared" si="6"/>
        <v>2.9057700540423559E-3</v>
      </c>
      <c r="P37" s="318">
        <f t="shared" si="7"/>
        <v>2.9351212667094503E-3</v>
      </c>
      <c r="R37" s="133">
        <f>LN(C37)</f>
        <v>2.4849066497880004</v>
      </c>
      <c r="S37" s="181">
        <f t="shared" si="9"/>
        <v>1.5271796258079011</v>
      </c>
      <c r="T37" s="91">
        <f t="shared" si="10"/>
        <v>0.8727945392592048</v>
      </c>
      <c r="U37" s="101">
        <f t="shared" si="11"/>
        <v>0.72365296080316122</v>
      </c>
      <c r="V37" s="102">
        <f t="shared" si="12"/>
        <v>2.1103757028962185</v>
      </c>
      <c r="AC37" s="96">
        <f t="shared" si="16"/>
        <v>3.25</v>
      </c>
      <c r="AD37" s="94">
        <f t="shared" si="13"/>
        <v>0.64781913452801332</v>
      </c>
      <c r="AE37" s="162">
        <f t="shared" si="14"/>
        <v>0.83160984359328716</v>
      </c>
      <c r="AF37" s="166">
        <f t="shared" si="0"/>
        <v>0.91276494931357177</v>
      </c>
    </row>
    <row r="38" spans="3:32" ht="15.75" thickBot="1">
      <c r="H38" s="241" t="s">
        <v>183</v>
      </c>
      <c r="I38" s="258">
        <f>SUM(I24:I37)</f>
        <v>3678</v>
      </c>
      <c r="J38" s="241" t="s">
        <v>192</v>
      </c>
      <c r="K38" s="203">
        <f>AVERAGE(K24:K37)</f>
        <v>2.6078145592799942</v>
      </c>
      <c r="M38" s="259" t="s">
        <v>186</v>
      </c>
      <c r="N38" s="316">
        <v>0.29099999999999998</v>
      </c>
      <c r="O38" s="319" t="s">
        <v>146</v>
      </c>
      <c r="P38" s="209">
        <f>AVERAGE(P24:P37)</f>
        <v>3.236984032491022</v>
      </c>
      <c r="R38" s="270" t="s">
        <v>190</v>
      </c>
      <c r="S38" s="141">
        <f>1.8483</f>
        <v>1.8483000000000001</v>
      </c>
      <c r="U38" s="273" t="s">
        <v>192</v>
      </c>
      <c r="V38" s="254">
        <f>AVERAGE(V24:V32,V34:V37)</f>
        <v>1.6165786587666608</v>
      </c>
      <c r="AC38" s="96">
        <f t="shared" si="16"/>
        <v>3.5</v>
      </c>
      <c r="AD38" s="94">
        <f t="shared" si="13"/>
        <v>0.62654203815266385</v>
      </c>
      <c r="AE38" s="162">
        <f t="shared" si="14"/>
        <v>0.80940144794375457</v>
      </c>
      <c r="AF38" s="166">
        <f t="shared" si="0"/>
        <v>0.90625703665776547</v>
      </c>
    </row>
    <row r="39" spans="3:32" ht="15.75" thickBot="1">
      <c r="H39" s="241" t="s">
        <v>184</v>
      </c>
      <c r="I39" s="142">
        <f>(D21-E37)*(C37+1)</f>
        <v>65</v>
      </c>
      <c r="J39" s="241" t="s">
        <v>193</v>
      </c>
      <c r="K39" s="204">
        <f>_xlfn.STDEV.S(K24:K37)</f>
        <v>1.6842912498595468</v>
      </c>
      <c r="M39" s="259" t="s">
        <v>141</v>
      </c>
      <c r="N39" s="317">
        <f>1/N38</f>
        <v>3.4364261168384882</v>
      </c>
      <c r="O39" s="319" t="s">
        <v>193</v>
      </c>
      <c r="P39" s="306">
        <f>_xlfn.STDEV.S(P24:P37)</f>
        <v>5.0600031572509394</v>
      </c>
      <c r="R39" s="271" t="s">
        <v>189</v>
      </c>
      <c r="S39" s="142">
        <f>EXP(3.8692/S38)</f>
        <v>8.1123136318324516</v>
      </c>
      <c r="U39" s="273" t="s">
        <v>193</v>
      </c>
      <c r="V39" s="255">
        <f>_xlfn.STDEV.S(V24:V32,V34:V38)</f>
        <v>0.50911942762775586</v>
      </c>
      <c r="AC39" s="96">
        <f t="shared" si="16"/>
        <v>3.75</v>
      </c>
      <c r="AD39" s="94">
        <f t="shared" si="13"/>
        <v>0.60596377082702402</v>
      </c>
      <c r="AE39" s="162">
        <f t="shared" si="14"/>
        <v>0.78645455221091687</v>
      </c>
      <c r="AF39" s="166">
        <f t="shared" si="0"/>
        <v>0.89978705009340088</v>
      </c>
    </row>
    <row r="40" spans="3:32" ht="16.5" thickBot="1">
      <c r="H40" s="241" t="s">
        <v>185</v>
      </c>
      <c r="I40" s="142">
        <f>I38+I39</f>
        <v>3743</v>
      </c>
      <c r="K40" s="311" t="s">
        <v>217</v>
      </c>
      <c r="P40" s="311" t="s">
        <v>217</v>
      </c>
      <c r="R40" s="271" t="s">
        <v>191</v>
      </c>
      <c r="S40" s="142">
        <v>0.88819999999999999</v>
      </c>
      <c r="V40" s="311" t="s">
        <v>218</v>
      </c>
      <c r="AC40" s="96">
        <f t="shared" si="16"/>
        <v>4</v>
      </c>
      <c r="AD40" s="94">
        <f t="shared" si="13"/>
        <v>0.58606138007524355</v>
      </c>
      <c r="AE40" s="162">
        <f t="shared" si="14"/>
        <v>0.76288001624379853</v>
      </c>
      <c r="AF40" s="166">
        <f t="shared" si="0"/>
        <v>0.89335539209271631</v>
      </c>
    </row>
    <row r="41" spans="3:32" ht="15.75" thickBot="1">
      <c r="H41" s="259" t="s">
        <v>141</v>
      </c>
      <c r="I41" s="260">
        <f>I40/D21</f>
        <v>7.4859999999999998</v>
      </c>
      <c r="R41" s="272" t="s">
        <v>141</v>
      </c>
      <c r="S41" s="261">
        <f>S39*S40</f>
        <v>7.2053569677935831</v>
      </c>
      <c r="AC41" s="96">
        <f t="shared" si="16"/>
        <v>4.25</v>
      </c>
      <c r="AD41" s="94">
        <f t="shared" si="13"/>
        <v>0.56681266727700796</v>
      </c>
      <c r="AE41" s="162">
        <f t="shared" si="14"/>
        <v>0.73878639669552737</v>
      </c>
      <c r="AF41" s="166">
        <f t="shared" si="0"/>
        <v>0.88696238130125171</v>
      </c>
    </row>
    <row r="42" spans="3:32" ht="15.75" thickBot="1">
      <c r="H42" s="259" t="s">
        <v>186</v>
      </c>
      <c r="I42" s="261">
        <f>1/I41</f>
        <v>0.1335826876836762</v>
      </c>
      <c r="AC42" s="96">
        <f t="shared" si="16"/>
        <v>4.5</v>
      </c>
      <c r="AD42" s="94">
        <f t="shared" si="13"/>
        <v>0.54819616290776219</v>
      </c>
      <c r="AE42" s="162">
        <f t="shared" si="14"/>
        <v>0.71427949139718161</v>
      </c>
      <c r="AF42" s="166">
        <f t="shared" si="0"/>
        <v>0.88060826710029072</v>
      </c>
    </row>
    <row r="43" spans="3:32">
      <c r="AC43" s="96">
        <f t="shared" si="16"/>
        <v>4.75</v>
      </c>
      <c r="AD43" s="94">
        <f t="shared" si="13"/>
        <v>0.53019110259214897</v>
      </c>
      <c r="AE43" s="162">
        <f t="shared" si="14"/>
        <v>0.68946190168698185</v>
      </c>
      <c r="AF43" s="166">
        <f t="shared" si="0"/>
        <v>0.87429324099525163</v>
      </c>
    </row>
    <row r="44" spans="3:32">
      <c r="AC44" s="96">
        <f t="shared" si="16"/>
        <v>5</v>
      </c>
      <c r="AD44" s="94">
        <f t="shared" si="13"/>
        <v>0.51277740394395299</v>
      </c>
      <c r="AE44" s="162">
        <f t="shared" si="14"/>
        <v>0.66443262142409276</v>
      </c>
      <c r="AF44" s="166">
        <f t="shared" ref="AF44:AF84" si="17">EXP(-((AC44/$AA$54)^$AA$53))</f>
        <v>0.83048769938246025</v>
      </c>
    </row>
    <row r="45" spans="3:32">
      <c r="AC45" s="96">
        <f t="shared" si="16"/>
        <v>5.25</v>
      </c>
      <c r="AD45" s="94">
        <f t="shared" si="13"/>
        <v>0.49593564416671815</v>
      </c>
      <c r="AE45" s="162">
        <f t="shared" si="14"/>
        <v>0.63928665917631311</v>
      </c>
      <c r="AF45" s="166">
        <f t="shared" si="17"/>
        <v>0.80101590312267423</v>
      </c>
    </row>
    <row r="46" spans="3:32">
      <c r="AC46" s="96">
        <f t="shared" si="16"/>
        <v>5.5</v>
      </c>
      <c r="AD46" s="94">
        <f t="shared" si="13"/>
        <v>0.47964703839005446</v>
      </c>
      <c r="AE46" s="162">
        <f t="shared" si="14"/>
        <v>0.61411469833738974</v>
      </c>
      <c r="AF46" s="166">
        <f t="shared" si="17"/>
        <v>0.76885519602109975</v>
      </c>
    </row>
    <row r="47" spans="3:32">
      <c r="AC47" s="96">
        <f t="shared" si="16"/>
        <v>5.75</v>
      </c>
      <c r="AD47" s="94">
        <f t="shared" si="13"/>
        <v>0.46389341871747158</v>
      </c>
      <c r="AE47" s="162">
        <f t="shared" si="14"/>
        <v>0.58900279854062942</v>
      </c>
      <c r="AF47" s="166">
        <f t="shared" si="17"/>
        <v>0.73413564112374985</v>
      </c>
    </row>
    <row r="48" spans="3:32">
      <c r="AC48" s="96">
        <f t="shared" si="16"/>
        <v>6</v>
      </c>
      <c r="AD48" s="94">
        <f t="shared" si="13"/>
        <v>0.44865721396236924</v>
      </c>
      <c r="AE48" s="162">
        <f t="shared" si="14"/>
        <v>0.56403214059066453</v>
      </c>
      <c r="AF48" s="166">
        <f t="shared" si="17"/>
        <v>0.69705059523126678</v>
      </c>
    </row>
    <row r="49" spans="25:32">
      <c r="AC49" s="96">
        <f t="shared" si="16"/>
        <v>6.25</v>
      </c>
      <c r="AD49" s="94">
        <f t="shared" si="13"/>
        <v>0.43392143004958283</v>
      </c>
      <c r="AE49" s="162">
        <f t="shared" si="14"/>
        <v>0.5392788161714881</v>
      </c>
      <c r="AF49" s="166">
        <f t="shared" si="17"/>
        <v>0.65785707571623897</v>
      </c>
    </row>
    <row r="50" spans="25:32">
      <c r="AC50" s="96">
        <f t="shared" si="16"/>
        <v>6.5</v>
      </c>
      <c r="AD50" s="94">
        <f t="shared" si="13"/>
        <v>0.41966963106062416</v>
      </c>
      <c r="AE50" s="162">
        <f t="shared" si="14"/>
        <v>0.51481366276580021</v>
      </c>
      <c r="AF50" s="166">
        <f t="shared" si="17"/>
        <v>0.6168737067207678</v>
      </c>
    </row>
    <row r="51" spans="25:32" ht="15.75" thickBot="1">
      <c r="AC51" s="96">
        <f t="shared" si="16"/>
        <v>6.75</v>
      </c>
      <c r="AD51" s="94">
        <f t="shared" si="13"/>
        <v>0.40588592090147618</v>
      </c>
      <c r="AE51" s="162">
        <f t="shared" si="14"/>
        <v>0.49070214351204805</v>
      </c>
      <c r="AF51" s="166">
        <f t="shared" si="17"/>
        <v>0.57447601135902593</v>
      </c>
    </row>
    <row r="52" spans="25:32" ht="15.75" thickBot="1">
      <c r="Z52" s="264" t="s">
        <v>196</v>
      </c>
      <c r="AA52" s="201" t="s">
        <v>197</v>
      </c>
      <c r="AC52" s="96">
        <f t="shared" si="16"/>
        <v>7</v>
      </c>
      <c r="AD52" s="94">
        <f t="shared" si="13"/>
        <v>0.39255492557249405</v>
      </c>
      <c r="AE52" s="162">
        <f t="shared" si="14"/>
        <v>0.46700427111394588</v>
      </c>
      <c r="AF52" s="166">
        <f t="shared" si="17"/>
        <v>0.53108894524348804</v>
      </c>
    </row>
    <row r="53" spans="25:32" ht="15.75" thickBot="1">
      <c r="Y53" s="274" t="s">
        <v>190</v>
      </c>
      <c r="Z53" s="135">
        <v>1.0184</v>
      </c>
      <c r="AA53" s="92">
        <v>3.6432000000000002</v>
      </c>
      <c r="AC53" s="96">
        <f t="shared" si="16"/>
        <v>7.25</v>
      </c>
      <c r="AD53" s="94">
        <f t="shared" si="13"/>
        <v>0.37966177602063728</v>
      </c>
      <c r="AE53" s="162">
        <f t="shared" si="14"/>
        <v>0.44377457439099183</v>
      </c>
      <c r="AF53" s="166">
        <f t="shared" si="17"/>
        <v>0.48717672667555273</v>
      </c>
    </row>
    <row r="54" spans="25:32" ht="15.75" thickBot="1">
      <c r="Y54" s="274" t="s">
        <v>189</v>
      </c>
      <c r="Z54" s="257">
        <f>EXP(3.5942/Z53)</f>
        <v>34.098779327554105</v>
      </c>
      <c r="AA54" s="262">
        <f>EXP(7.5469/AA53)</f>
        <v>7.9367436716739723</v>
      </c>
      <c r="AC54" s="96">
        <f t="shared" si="16"/>
        <v>7.5</v>
      </c>
      <c r="AD54" s="94">
        <f t="shared" si="13"/>
        <v>0.36719209155490606</v>
      </c>
      <c r="AE54" s="162">
        <f t="shared" si="14"/>
        <v>0.42106210560931168</v>
      </c>
      <c r="AF54" s="166">
        <f t="shared" si="17"/>
        <v>0.44323020187723999</v>
      </c>
    </row>
    <row r="55" spans="25:32" ht="15.75" thickBot="1">
      <c r="Y55" s="274" t="s">
        <v>191</v>
      </c>
      <c r="Z55" s="324">
        <f>1</f>
        <v>1</v>
      </c>
      <c r="AA55" s="262">
        <f>0.9011</f>
        <v>0.90110000000000001</v>
      </c>
      <c r="AC55" s="96">
        <f t="shared" si="16"/>
        <v>7.75</v>
      </c>
      <c r="AD55" s="94">
        <f t="shared" si="13"/>
        <v>0.35513196380648426</v>
      </c>
      <c r="AE55" s="162">
        <f t="shared" si="14"/>
        <v>0.39891048635400167</v>
      </c>
      <c r="AF55" s="166">
        <f t="shared" si="17"/>
        <v>0.39975217714007494</v>
      </c>
    </row>
    <row r="56" spans="25:32" ht="15.75" thickBot="1">
      <c r="Y56" s="325" t="s">
        <v>141</v>
      </c>
      <c r="Z56" s="326">
        <f>Z54*Z55</f>
        <v>34.098779327554105</v>
      </c>
      <c r="AA56" s="327">
        <f>AA54*AA55</f>
        <v>7.1517997225454168</v>
      </c>
      <c r="AC56" s="96">
        <f t="shared" si="16"/>
        <v>8</v>
      </c>
      <c r="AD56" s="94">
        <f t="shared" si="13"/>
        <v>0.34346794121569907</v>
      </c>
      <c r="AE56" s="162">
        <f t="shared" si="14"/>
        <v>0.37735798939220228</v>
      </c>
      <c r="AF56" s="166">
        <f t="shared" si="17"/>
        <v>0.35724133747813241</v>
      </c>
    </row>
    <row r="57" spans="25:32" ht="15.75" thickBot="1">
      <c r="Y57" s="319" t="s">
        <v>192</v>
      </c>
      <c r="Z57" s="320">
        <f>AVERAGE(V24:V29)</f>
        <v>1.150936775324189</v>
      </c>
      <c r="AA57" s="166">
        <f>AVERAGE(V30:V32,V34:V37)</f>
        <v>2.015700273145923</v>
      </c>
      <c r="AC57" s="96">
        <f t="shared" si="16"/>
        <v>8.25</v>
      </c>
      <c r="AD57" s="94">
        <f t="shared" si="13"/>
        <v>0.33218701402849315</v>
      </c>
      <c r="AE57" s="162">
        <f t="shared" si="14"/>
        <v>0.35643765372635466</v>
      </c>
      <c r="AF57" s="166">
        <f t="shared" si="17"/>
        <v>0.31617553452455349</v>
      </c>
    </row>
    <row r="58" spans="25:32" ht="15.75" thickBot="1">
      <c r="Y58" s="322" t="s">
        <v>193</v>
      </c>
      <c r="Z58" s="321">
        <f>_xlfn.STDEV.S(V24:V29)</f>
        <v>0.30003672114664937</v>
      </c>
      <c r="AA58" s="169">
        <f>_xlfn.STDEV.S(V30:V32,V34:V37)</f>
        <v>0.28968456906145706</v>
      </c>
      <c r="AC58" s="96">
        <f t="shared" si="16"/>
        <v>8.5</v>
      </c>
      <c r="AD58" s="94">
        <f t="shared" si="13"/>
        <v>0.32127659978567608</v>
      </c>
      <c r="AE58" s="162">
        <f t="shared" si="14"/>
        <v>0.33617742984572568</v>
      </c>
      <c r="AF58" s="166">
        <f t="shared" si="17"/>
        <v>0.27699534553761812</v>
      </c>
    </row>
    <row r="59" spans="25:32" ht="15.75">
      <c r="Z59" s="240" t="s">
        <v>223</v>
      </c>
      <c r="AA59" s="240" t="s">
        <v>225</v>
      </c>
      <c r="AC59" s="96">
        <f t="shared" si="16"/>
        <v>8.75</v>
      </c>
      <c r="AD59" s="94">
        <f t="shared" si="13"/>
        <v>0.31072452928876987</v>
      </c>
      <c r="AE59" s="162">
        <f t="shared" si="14"/>
        <v>0.31660035204772763</v>
      </c>
      <c r="AF59" s="166">
        <f t="shared" si="17"/>
        <v>0.24008886265197493</v>
      </c>
    </row>
    <row r="60" spans="25:32" ht="15.75">
      <c r="Z60" s="240" t="s">
        <v>224</v>
      </c>
      <c r="AA60" s="240" t="s">
        <v>226</v>
      </c>
      <c r="AC60" s="96">
        <f t="shared" si="16"/>
        <v>9</v>
      </c>
      <c r="AD60" s="94">
        <f t="shared" si="13"/>
        <v>0.30051903302679367</v>
      </c>
      <c r="AE60" s="162">
        <f t="shared" si="14"/>
        <v>0.29772473461516052</v>
      </c>
      <c r="AF60" s="166">
        <f t="shared" si="17"/>
        <v>0.20577865332017575</v>
      </c>
    </row>
    <row r="61" spans="25:32">
      <c r="AC61" s="96">
        <f t="shared" si="16"/>
        <v>9.25</v>
      </c>
      <c r="AD61" s="94">
        <f t="shared" si="13"/>
        <v>0.29064872804885172</v>
      </c>
      <c r="AE61" s="162">
        <f t="shared" si="14"/>
        <v>0.27956438859754867</v>
      </c>
      <c r="AF61" s="166">
        <f t="shared" si="17"/>
        <v>0.17431173235900121</v>
      </c>
    </row>
    <row r="62" spans="25:32">
      <c r="AC62" s="96">
        <f t="shared" si="16"/>
        <v>9.5</v>
      </c>
      <c r="AD62" s="94">
        <f t="shared" si="13"/>
        <v>0.28110260526787861</v>
      </c>
      <c r="AE62" s="162">
        <f t="shared" si="14"/>
        <v>0.26212885595035817</v>
      </c>
      <c r="AF62" s="166">
        <f t="shared" si="17"/>
        <v>0.14585320494950638</v>
      </c>
    </row>
    <row r="63" spans="25:32">
      <c r="AC63" s="96">
        <f t="shared" si="16"/>
        <v>9.75</v>
      </c>
      <c r="AD63" s="94">
        <f t="shared" si="13"/>
        <v>0.27187001718138415</v>
      </c>
      <c r="AE63" s="162">
        <f t="shared" si="14"/>
        <v>0.24542365783109499</v>
      </c>
      <c r="AF63" s="166">
        <f t="shared" si="17"/>
        <v>0.12048398983159445</v>
      </c>
    </row>
    <row r="64" spans="25:32">
      <c r="AC64" s="96">
        <f t="shared" si="16"/>
        <v>10</v>
      </c>
      <c r="AD64" s="94">
        <f t="shared" si="13"/>
        <v>0.26294066599549992</v>
      </c>
      <c r="AE64" s="162">
        <f t="shared" si="14"/>
        <v>0.22945055393201602</v>
      </c>
      <c r="AF64" s="166">
        <f t="shared" si="17"/>
        <v>9.8202733657653155E-2</v>
      </c>
    </row>
    <row r="65" spans="29:32">
      <c r="AC65" s="96">
        <f t="shared" si="16"/>
        <v>10.25</v>
      </c>
      <c r="AD65" s="94">
        <f t="shared" si="13"/>
        <v>0.2543045921390818</v>
      </c>
      <c r="AE65" s="162">
        <f t="shared" si="14"/>
        <v>0.21420780984127377</v>
      </c>
      <c r="AF65" s="166">
        <f t="shared" si="17"/>
        <v>7.8931709502396516E-2</v>
      </c>
    </row>
    <row r="66" spans="29:32">
      <c r="AC66" s="96">
        <f t="shared" si="16"/>
        <v>10.5</v>
      </c>
      <c r="AD66" s="94">
        <f t="shared" si="13"/>
        <v>0.24595216315505766</v>
      </c>
      <c r="AE66" s="162">
        <f t="shared" si="14"/>
        <v>0.19969046956359238</v>
      </c>
      <c r="AF66" s="166">
        <f t="shared" si="17"/>
        <v>6.2526187772245667E-2</v>
      </c>
    </row>
    <row r="67" spans="29:32">
      <c r="AC67" s="96">
        <f t="shared" si="16"/>
        <v>10.75</v>
      </c>
      <c r="AD67" s="94">
        <f t="shared" si="13"/>
        <v>0.23787406295663024</v>
      </c>
      <c r="AE67" s="162">
        <f t="shared" si="14"/>
        <v>0.18589063049386323</v>
      </c>
      <c r="AF67" s="166">
        <f t="shared" si="17"/>
        <v>4.8786509337402487E-2</v>
      </c>
    </row>
    <row r="68" spans="29:32">
      <c r="AC68" s="96">
        <f t="shared" si="16"/>
        <v>11</v>
      </c>
      <c r="AD68" s="94">
        <f t="shared" si="13"/>
        <v>0.23006128143635041</v>
      </c>
      <c r="AE68" s="162">
        <f t="shared" si="14"/>
        <v>0.17279771831827126</v>
      </c>
      <c r="AF68" s="166">
        <f t="shared" si="17"/>
        <v>3.7471907318998667E-2</v>
      </c>
    </row>
    <row r="69" spans="29:32">
      <c r="AC69" s="96">
        <f t="shared" si="16"/>
        <v>11.25</v>
      </c>
      <c r="AD69" s="94">
        <f t="shared" si="13"/>
        <v>0.2225051044164727</v>
      </c>
      <c r="AE69" s="162">
        <f t="shared" si="14"/>
        <v>0.16039875951371099</v>
      </c>
      <c r="AF69" s="166">
        <f t="shared" si="17"/>
        <v>2.8315035579372046E-2</v>
      </c>
    </row>
    <row r="70" spans="29:32">
      <c r="AC70" s="96">
        <f t="shared" si="16"/>
        <v>11.5</v>
      </c>
      <c r="AD70" s="94">
        <f t="shared" si="13"/>
        <v>0.21519710392938343</v>
      </c>
      <c r="AE70" s="162">
        <f t="shared" si="14"/>
        <v>0.14867864932351116</v>
      </c>
      <c r="AF70" s="166">
        <f t="shared" si="17"/>
        <v>2.1036176687044515E-2</v>
      </c>
    </row>
    <row r="71" spans="29:32">
      <c r="AC71" s="96">
        <f t="shared" si="16"/>
        <v>11.75</v>
      </c>
      <c r="AD71" s="94">
        <f t="shared" si="13"/>
        <v>0.20812912881725959</v>
      </c>
      <c r="AE71" s="162">
        <f t="shared" si="14"/>
        <v>0.13762041330220037</v>
      </c>
      <c r="AF71" s="166">
        <f t="shared" si="17"/>
        <v>1.5356214810216748E-2</v>
      </c>
    </row>
    <row r="72" spans="29:32">
      <c r="AC72" s="96">
        <f t="shared" si="16"/>
        <v>12</v>
      </c>
      <c r="AD72" s="94">
        <f t="shared" si="13"/>
        <v>0.20129329564047518</v>
      </c>
      <c r="AE72" s="162">
        <f t="shared" si="14"/>
        <v>0.12720546074079517</v>
      </c>
      <c r="AF72" s="166">
        <f t="shared" si="17"/>
        <v>1.1007651981126743E-2</v>
      </c>
    </row>
    <row r="73" spans="29:32">
      <c r="AC73" s="96">
        <f t="shared" si="16"/>
        <v>12.25</v>
      </c>
      <c r="AD73" s="94">
        <f t="shared" si="13"/>
        <v>0.19468197988461297</v>
      </c>
      <c r="AE73" s="162">
        <f t="shared" si="14"/>
        <v>0.11741382850372693</v>
      </c>
      <c r="AF73" s="166">
        <f t="shared" si="17"/>
        <v>7.7431921184609471E-3</v>
      </c>
    </row>
    <row r="74" spans="29:32">
      <c r="AC74" s="96">
        <f t="shared" si="16"/>
        <v>12.5</v>
      </c>
      <c r="AD74" s="94">
        <f t="shared" si="13"/>
        <v>0.18828780745627502</v>
      </c>
      <c r="AE74" s="162">
        <f t="shared" si="14"/>
        <v>0.1082244140261296</v>
      </c>
      <c r="AF74" s="166">
        <f t="shared" si="17"/>
        <v>5.3416834315026668E-3</v>
      </c>
    </row>
    <row r="75" spans="29:32">
      <c r="AC75" s="96">
        <f t="shared" si="16"/>
        <v>12.75</v>
      </c>
      <c r="AD75" s="94">
        <f t="shared" si="13"/>
        <v>0.1821036464582069</v>
      </c>
      <c r="AE75" s="162">
        <f t="shared" si="14"/>
        <v>9.9615196433215772E-2</v>
      </c>
      <c r="AF75" s="166">
        <f t="shared" si="17"/>
        <v>3.611463526143323E-3</v>
      </c>
    </row>
    <row r="76" spans="29:32">
      <c r="AC76" s="96">
        <f t="shared" si="16"/>
        <v>13</v>
      </c>
      <c r="AD76" s="94">
        <f t="shared" si="13"/>
        <v>0.17612259923456039</v>
      </c>
      <c r="AE76" s="162">
        <f t="shared" si="14"/>
        <v>9.1563444949558662E-2</v>
      </c>
      <c r="AF76" s="166">
        <f t="shared" si="17"/>
        <v>2.3913646310051739E-3</v>
      </c>
    </row>
    <row r="77" spans="29:32">
      <c r="AC77" s="96">
        <f t="shared" si="16"/>
        <v>13.25</v>
      </c>
      <c r="AD77" s="94">
        <f t="shared" si="13"/>
        <v>0.17033799467742419</v>
      </c>
      <c r="AE77" s="162">
        <f t="shared" si="14"/>
        <v>8.4045913963300675E-2</v>
      </c>
      <c r="AF77" s="166">
        <f t="shared" si="17"/>
        <v>1.5497893952804368E-3</v>
      </c>
    </row>
    <row r="78" spans="29:32">
      <c r="AC78" s="96">
        <f t="shared" si="16"/>
        <v>13.5</v>
      </c>
      <c r="AD78" s="94">
        <f t="shared" si="13"/>
        <v>0.16474338078603937</v>
      </c>
      <c r="AE78" s="162">
        <f t="shared" si="14"/>
        <v>7.7039024296942801E-2</v>
      </c>
      <c r="AF78" s="166">
        <f t="shared" si="17"/>
        <v>9.8235184789120778E-4</v>
      </c>
    </row>
    <row r="79" spans="29:32">
      <c r="AC79" s="96">
        <f t="shared" si="16"/>
        <v>13.75</v>
      </c>
      <c r="AD79" s="94">
        <f>EXP(-$I$42*AC79)</f>
        <v>0.15933251747040217</v>
      </c>
      <c r="AE79" s="162">
        <f t="shared" si="14"/>
        <v>7.0519030411063499E-2</v>
      </c>
      <c r="AF79" s="166">
        <f t="shared" si="17"/>
        <v>6.0859517631494254E-4</v>
      </c>
    </row>
    <row r="80" spans="29:32">
      <c r="AC80" s="96">
        <f t="shared" si="16"/>
        <v>14</v>
      </c>
      <c r="AD80" s="94">
        <f t="shared" si="13"/>
        <v>0.15409936959122636</v>
      </c>
      <c r="AE80" s="162">
        <f t="shared" si="14"/>
        <v>6.4462173428995059E-2</v>
      </c>
      <c r="AF80" s="166">
        <f t="shared" si="17"/>
        <v>3.6825865470970756E-4</v>
      </c>
    </row>
    <row r="81" spans="29:32">
      <c r="AC81" s="96">
        <f t="shared" si="16"/>
        <v>14.25</v>
      </c>
      <c r="AD81" s="94">
        <f t="shared" si="13"/>
        <v>0.1490381002285022</v>
      </c>
      <c r="AE81" s="162">
        <f t="shared" si="14"/>
        <v>5.884482001835592E-2</v>
      </c>
      <c r="AF81" s="166">
        <f t="shared" si="17"/>
        <v>2.1748675744093091E-4</v>
      </c>
    </row>
    <row r="82" spans="29:32">
      <c r="AC82" s="96">
        <f t="shared" si="16"/>
        <v>14.5</v>
      </c>
      <c r="AD82" s="94">
        <f t="shared" si="13"/>
        <v>0.14414306417114456</v>
      </c>
      <c r="AE82" s="162">
        <f t="shared" si="14"/>
        <v>5.3643587298875181E-2</v>
      </c>
      <c r="AF82" s="166">
        <f t="shared" si="17"/>
        <v>1.252728340762031E-4</v>
      </c>
    </row>
    <row r="83" spans="29:32">
      <c r="AC83" s="96">
        <f t="shared" si="16"/>
        <v>14.75</v>
      </c>
      <c r="AD83" s="94">
        <f t="shared" si="13"/>
        <v>0.13940880162046809</v>
      </c>
      <c r="AE83" s="162">
        <f t="shared" si="14"/>
        <v>4.8835454064869561E-2</v>
      </c>
      <c r="AF83" s="166">
        <f t="shared" si="17"/>
        <v>7.0325124992211868E-5</v>
      </c>
    </row>
    <row r="84" spans="29:32" ht="15.75" thickBot="1">
      <c r="AC84" s="133">
        <f t="shared" si="16"/>
        <v>15</v>
      </c>
      <c r="AD84" s="101">
        <f t="shared" si="13"/>
        <v>0.13483003210046651</v>
      </c>
      <c r="AE84" s="168">
        <f t="shared" si="14"/>
        <v>4.439785871499867E-2</v>
      </c>
      <c r="AF84" s="323">
        <f t="shared" si="17"/>
        <v>3.8448148981345003E-5</v>
      </c>
    </row>
  </sheetData>
  <mergeCells count="10">
    <mergeCell ref="W34:X34"/>
    <mergeCell ref="C2:D2"/>
    <mergeCell ref="I22:K22"/>
    <mergeCell ref="N22:P22"/>
    <mergeCell ref="R22:V22"/>
    <mergeCell ref="AD22:AF22"/>
    <mergeCell ref="AD19:AF19"/>
    <mergeCell ref="AD20:AF20"/>
    <mergeCell ref="Y22:AA22"/>
    <mergeCell ref="W33:X33"/>
  </mergeCells>
  <pageMargins left="0.7" right="0.7" top="0.75" bottom="0.75" header="0.3" footer="0.3"/>
  <pageSetup paperSize="9" scale="84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B196-D762-471F-AFAA-D78A284B0D87}">
  <dimension ref="B2:S44"/>
  <sheetViews>
    <sheetView tabSelected="1" workbookViewId="0">
      <selection activeCell="R9" sqref="R9"/>
    </sheetView>
  </sheetViews>
  <sheetFormatPr baseColWidth="10" defaultRowHeight="15"/>
  <sheetData>
    <row r="2" spans="2:12">
      <c r="B2" s="385" t="s">
        <v>204</v>
      </c>
      <c r="C2" s="385"/>
      <c r="E2" s="385" t="s">
        <v>205</v>
      </c>
      <c r="F2" s="385"/>
      <c r="G2" s="385"/>
      <c r="I2" s="385" t="s">
        <v>206</v>
      </c>
      <c r="J2" s="385"/>
      <c r="K2" s="385"/>
      <c r="L2" s="385"/>
    </row>
    <row r="3" spans="2:12">
      <c r="E3" s="243"/>
      <c r="F3" s="243"/>
      <c r="G3" s="243"/>
    </row>
    <row r="9" spans="2:12">
      <c r="C9" s="277"/>
    </row>
    <row r="24" spans="3:19">
      <c r="C24" s="385" t="s">
        <v>207</v>
      </c>
      <c r="D24" s="385"/>
      <c r="E24" s="385"/>
      <c r="F24" s="385"/>
      <c r="G24" s="385"/>
      <c r="I24" s="385" t="s">
        <v>208</v>
      </c>
      <c r="J24" s="385"/>
      <c r="K24" s="385"/>
      <c r="L24" s="385"/>
      <c r="N24" s="385" t="s">
        <v>211</v>
      </c>
      <c r="O24" s="385"/>
      <c r="P24" s="385"/>
      <c r="Q24" s="385"/>
      <c r="R24" s="239"/>
      <c r="S24" s="239"/>
    </row>
    <row r="35" spans="3:18">
      <c r="N35" s="385" t="s">
        <v>212</v>
      </c>
      <c r="O35" s="385"/>
      <c r="P35" s="385"/>
      <c r="Q35" s="385"/>
      <c r="R35" s="385"/>
    </row>
    <row r="36" spans="3:18">
      <c r="N36" s="385" t="s">
        <v>213</v>
      </c>
      <c r="O36" s="385"/>
      <c r="P36" s="385"/>
      <c r="Q36" s="385"/>
      <c r="R36" s="385"/>
    </row>
    <row r="43" spans="3:18">
      <c r="C43" s="385" t="s">
        <v>209</v>
      </c>
      <c r="D43" s="385"/>
      <c r="E43" s="385"/>
      <c r="F43" s="385"/>
      <c r="G43" s="385"/>
      <c r="H43" s="385"/>
      <c r="I43" s="385"/>
      <c r="J43" s="239"/>
      <c r="K43" s="239"/>
    </row>
    <row r="44" spans="3:18">
      <c r="C44" s="385" t="s">
        <v>210</v>
      </c>
      <c r="D44" s="385"/>
      <c r="E44" s="385"/>
      <c r="F44" s="385"/>
      <c r="G44" s="385"/>
      <c r="H44" s="385"/>
      <c r="I44" s="385"/>
    </row>
  </sheetData>
  <mergeCells count="10">
    <mergeCell ref="B2:C2"/>
    <mergeCell ref="E2:G2"/>
    <mergeCell ref="I2:L2"/>
    <mergeCell ref="C24:G24"/>
    <mergeCell ref="I24:L24"/>
    <mergeCell ref="C43:I43"/>
    <mergeCell ref="C44:I44"/>
    <mergeCell ref="N24:Q24"/>
    <mergeCell ref="N35:R35"/>
    <mergeCell ref="N36:R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72"/>
  <sheetViews>
    <sheetView workbookViewId="0">
      <selection activeCell="C17" sqref="C17"/>
    </sheetView>
  </sheetViews>
  <sheetFormatPr baseColWidth="10" defaultColWidth="11.5703125" defaultRowHeight="15.75"/>
  <cols>
    <col min="1" max="1" width="5.28515625" style="2" customWidth="1"/>
    <col min="2" max="2" width="5.7109375" style="2" customWidth="1"/>
    <col min="3" max="3" width="15.140625" style="2" customWidth="1"/>
    <col min="4" max="4" width="17" style="2" customWidth="1"/>
    <col min="5" max="15" width="17.42578125" style="2" customWidth="1"/>
    <col min="16" max="16" width="4.5703125" style="2" customWidth="1"/>
    <col min="17" max="16384" width="11.5703125" style="2"/>
  </cols>
  <sheetData>
    <row r="1" spans="2:17" ht="16.5" thickBot="1"/>
    <row r="2" spans="2:17">
      <c r="B2" s="328" t="s">
        <v>24</v>
      </c>
      <c r="C2" s="329"/>
      <c r="D2" s="329"/>
      <c r="E2" s="329"/>
      <c r="F2" s="330"/>
      <c r="G2" s="331"/>
      <c r="H2" s="331"/>
      <c r="I2" s="331"/>
      <c r="J2" s="331"/>
      <c r="K2"/>
      <c r="L2" s="331"/>
      <c r="M2" s="331"/>
      <c r="N2" s="331"/>
      <c r="O2" s="331"/>
      <c r="P2" s="331"/>
      <c r="Q2"/>
    </row>
    <row r="3" spans="2:17" ht="16.5" thickBot="1">
      <c r="B3" s="27"/>
      <c r="C3" s="28"/>
      <c r="D3" s="28"/>
      <c r="E3" s="28"/>
      <c r="F3" s="29"/>
      <c r="G3"/>
      <c r="H3"/>
      <c r="I3"/>
      <c r="J3"/>
      <c r="K3"/>
      <c r="L3"/>
      <c r="M3"/>
      <c r="N3"/>
      <c r="O3"/>
      <c r="P3"/>
      <c r="Q3"/>
    </row>
    <row r="4" spans="2:17" ht="32.25" thickBot="1">
      <c r="B4" s="27"/>
      <c r="C4" s="5" t="s">
        <v>14</v>
      </c>
      <c r="D4" s="16" t="s">
        <v>8</v>
      </c>
      <c r="E4" s="17" t="s">
        <v>23</v>
      </c>
      <c r="F4" s="29"/>
      <c r="G4"/>
      <c r="H4"/>
      <c r="I4"/>
      <c r="J4"/>
      <c r="K4"/>
      <c r="L4"/>
      <c r="M4"/>
      <c r="N4"/>
      <c r="O4"/>
      <c r="P4"/>
      <c r="Q4"/>
    </row>
    <row r="5" spans="2:17" ht="16.5" customHeight="1">
      <c r="B5" s="27"/>
      <c r="C5" s="18" t="s">
        <v>15</v>
      </c>
      <c r="D5" s="19">
        <v>26</v>
      </c>
      <c r="E5" s="20">
        <v>265</v>
      </c>
      <c r="F5" s="29"/>
      <c r="G5"/>
      <c r="H5"/>
      <c r="I5"/>
      <c r="J5"/>
      <c r="K5"/>
      <c r="L5"/>
      <c r="M5"/>
      <c r="N5"/>
      <c r="O5"/>
      <c r="P5"/>
      <c r="Q5"/>
    </row>
    <row r="6" spans="2:17" ht="16.5" customHeight="1">
      <c r="B6" s="27"/>
      <c r="C6" s="21" t="s">
        <v>16</v>
      </c>
      <c r="D6" s="22">
        <v>13</v>
      </c>
      <c r="E6" s="23">
        <v>462</v>
      </c>
      <c r="F6" s="29"/>
      <c r="G6"/>
      <c r="H6"/>
      <c r="I6"/>
      <c r="J6"/>
      <c r="K6"/>
      <c r="L6"/>
      <c r="M6"/>
      <c r="N6"/>
      <c r="O6"/>
      <c r="P6"/>
      <c r="Q6"/>
    </row>
    <row r="7" spans="2:17" ht="16.5" customHeight="1">
      <c r="B7" s="27"/>
      <c r="C7" s="21" t="s">
        <v>17</v>
      </c>
      <c r="D7" s="22">
        <v>35</v>
      </c>
      <c r="E7" s="23">
        <v>200</v>
      </c>
      <c r="F7" s="29"/>
      <c r="G7"/>
      <c r="H7"/>
      <c r="I7"/>
      <c r="J7"/>
      <c r="K7"/>
      <c r="L7"/>
      <c r="M7"/>
      <c r="N7"/>
      <c r="O7"/>
      <c r="P7"/>
      <c r="Q7"/>
    </row>
    <row r="8" spans="2:17" ht="16.5" customHeight="1">
      <c r="B8" s="27"/>
      <c r="C8" s="21" t="s">
        <v>18</v>
      </c>
      <c r="D8" s="22">
        <v>24</v>
      </c>
      <c r="E8" s="23">
        <v>826</v>
      </c>
      <c r="F8" s="29"/>
      <c r="G8"/>
      <c r="H8"/>
      <c r="I8"/>
      <c r="J8"/>
      <c r="K8"/>
      <c r="L8"/>
      <c r="M8"/>
      <c r="N8"/>
      <c r="O8"/>
      <c r="P8"/>
      <c r="Q8"/>
    </row>
    <row r="9" spans="2:17" ht="16.5" customHeight="1">
      <c r="B9" s="27"/>
      <c r="C9" s="21" t="s">
        <v>19</v>
      </c>
      <c r="D9" s="22">
        <v>20</v>
      </c>
      <c r="E9" s="23">
        <v>1000</v>
      </c>
      <c r="F9" s="29"/>
      <c r="G9"/>
      <c r="H9"/>
      <c r="I9"/>
      <c r="J9"/>
      <c r="K9"/>
      <c r="L9"/>
      <c r="M9"/>
      <c r="N9"/>
      <c r="O9"/>
      <c r="P9"/>
      <c r="Q9"/>
    </row>
    <row r="10" spans="2:17" ht="16.5" customHeight="1">
      <c r="B10" s="27"/>
      <c r="C10" s="21" t="s">
        <v>20</v>
      </c>
      <c r="D10" s="22">
        <v>52</v>
      </c>
      <c r="E10" s="23">
        <v>534</v>
      </c>
      <c r="F10" s="29"/>
      <c r="G10"/>
      <c r="H10"/>
      <c r="I10"/>
      <c r="J10"/>
      <c r="K10"/>
      <c r="L10"/>
      <c r="M10"/>
      <c r="N10"/>
      <c r="O10"/>
      <c r="P10"/>
      <c r="Q10"/>
    </row>
    <row r="11" spans="2:17" ht="16.5" customHeight="1">
      <c r="B11" s="27"/>
      <c r="C11" s="21" t="s">
        <v>21</v>
      </c>
      <c r="D11" s="22">
        <v>5</v>
      </c>
      <c r="E11" s="23">
        <v>280</v>
      </c>
      <c r="F11" s="29"/>
    </row>
    <row r="12" spans="2:17" ht="16.5" customHeight="1" thickBot="1">
      <c r="B12" s="27"/>
      <c r="C12" s="24" t="s">
        <v>22</v>
      </c>
      <c r="D12" s="25">
        <v>2</v>
      </c>
      <c r="E12" s="26">
        <v>50</v>
      </c>
      <c r="F12" s="29"/>
    </row>
    <row r="13" spans="2:17">
      <c r="B13" s="27"/>
      <c r="C13" s="28"/>
      <c r="D13" s="28"/>
      <c r="E13" s="28"/>
      <c r="F13" s="29"/>
      <c r="G13"/>
    </row>
    <row r="14" spans="2:17" ht="16.5" thickBot="1">
      <c r="B14" s="30"/>
      <c r="C14" s="31"/>
      <c r="D14" s="31"/>
      <c r="E14" s="31"/>
      <c r="F14" s="32"/>
      <c r="G14"/>
    </row>
    <row r="15" spans="2:17">
      <c r="B15" s="28"/>
      <c r="C15" s="28"/>
      <c r="D15" s="28"/>
      <c r="E15" s="28"/>
      <c r="F15" s="28"/>
      <c r="G15"/>
    </row>
    <row r="16" spans="2:17" ht="18">
      <c r="B16" s="28"/>
      <c r="C16" s="41" t="s">
        <v>72</v>
      </c>
      <c r="D16" s="28"/>
      <c r="E16" s="28"/>
      <c r="F16" s="28"/>
      <c r="G16"/>
    </row>
    <row r="17" spans="3:13" ht="16.5" thickBot="1">
      <c r="G17"/>
    </row>
    <row r="18" spans="3:13" ht="32.25" thickBot="1">
      <c r="C18" s="5" t="s">
        <v>14</v>
      </c>
      <c r="D18" s="5" t="s">
        <v>8</v>
      </c>
      <c r="E18" s="5" t="s">
        <v>67</v>
      </c>
      <c r="F18" s="6" t="s">
        <v>68</v>
      </c>
      <c r="G18"/>
      <c r="K18" s="5" t="s">
        <v>14</v>
      </c>
      <c r="L18" s="6" t="s">
        <v>69</v>
      </c>
      <c r="M18" s="6" t="s">
        <v>70</v>
      </c>
    </row>
    <row r="19" spans="3:13" ht="16.5" customHeight="1" thickBot="1">
      <c r="C19" s="7" t="s">
        <v>20</v>
      </c>
      <c r="D19" s="7">
        <v>52</v>
      </c>
      <c r="E19" s="8">
        <f>D19/$D$27</f>
        <v>0.29378531073446329</v>
      </c>
      <c r="F19" s="9">
        <f>E19</f>
        <v>0.29378531073446329</v>
      </c>
      <c r="G19"/>
      <c r="K19" s="42" t="s">
        <v>15</v>
      </c>
      <c r="L19" s="15">
        <v>6</v>
      </c>
      <c r="M19" s="40">
        <f>$E$21/$F$22</f>
        <v>0.18978102189781024</v>
      </c>
    </row>
    <row r="20" spans="3:13" ht="16.5" customHeight="1" thickBot="1">
      <c r="C20" s="7" t="s">
        <v>17</v>
      </c>
      <c r="D20" s="7">
        <v>35</v>
      </c>
      <c r="E20" s="8">
        <f t="shared" ref="E20:E26" si="0">D20/$D$27</f>
        <v>0.19774011299435029</v>
      </c>
      <c r="F20" s="9">
        <f>F19+E20</f>
        <v>0.49152542372881358</v>
      </c>
      <c r="G20"/>
      <c r="K20" s="12" t="s">
        <v>16</v>
      </c>
      <c r="L20" s="15">
        <v>3</v>
      </c>
      <c r="M20" s="40">
        <v>0</v>
      </c>
    </row>
    <row r="21" spans="3:13" ht="16.5" customHeight="1" thickBot="1">
      <c r="C21" s="7" t="s">
        <v>15</v>
      </c>
      <c r="D21" s="7">
        <v>26</v>
      </c>
      <c r="E21" s="8">
        <f t="shared" si="0"/>
        <v>0.14689265536723164</v>
      </c>
      <c r="F21" s="9">
        <f t="shared" ref="F21:F26" si="1">F20+E21</f>
        <v>0.6384180790960452</v>
      </c>
      <c r="G21"/>
      <c r="K21" s="42" t="s">
        <v>17</v>
      </c>
      <c r="L21" s="15">
        <v>7</v>
      </c>
      <c r="M21" s="40">
        <f>$E$20/$F$22</f>
        <v>0.25547445255474455</v>
      </c>
    </row>
    <row r="22" spans="3:13" ht="16.5" customHeight="1" thickBot="1">
      <c r="C22" s="7" t="s">
        <v>18</v>
      </c>
      <c r="D22" s="7">
        <v>24</v>
      </c>
      <c r="E22" s="8">
        <f t="shared" si="0"/>
        <v>0.13559322033898305</v>
      </c>
      <c r="F22" s="9">
        <f t="shared" si="1"/>
        <v>0.77401129943502822</v>
      </c>
      <c r="G22"/>
      <c r="K22" s="42" t="s">
        <v>18</v>
      </c>
      <c r="L22" s="15">
        <v>5</v>
      </c>
      <c r="M22" s="40">
        <f>$E$22/$F$22</f>
        <v>0.17518248175182483</v>
      </c>
    </row>
    <row r="23" spans="3:13" ht="16.5" customHeight="1" thickBot="1">
      <c r="C23" s="12" t="s">
        <v>19</v>
      </c>
      <c r="D23" s="12">
        <v>20</v>
      </c>
      <c r="E23" s="13">
        <f t="shared" si="0"/>
        <v>0.11299435028248588</v>
      </c>
      <c r="F23" s="14">
        <f t="shared" si="1"/>
        <v>0.88700564971751406</v>
      </c>
      <c r="G23"/>
      <c r="K23" s="12" t="s">
        <v>19</v>
      </c>
      <c r="L23" s="15">
        <v>4</v>
      </c>
      <c r="M23" s="40">
        <v>0</v>
      </c>
    </row>
    <row r="24" spans="3:13" ht="16.5" customHeight="1" thickBot="1">
      <c r="C24" s="12" t="s">
        <v>16</v>
      </c>
      <c r="D24" s="12">
        <v>13</v>
      </c>
      <c r="E24" s="13">
        <f t="shared" si="0"/>
        <v>7.3446327683615822E-2</v>
      </c>
      <c r="F24" s="14">
        <f t="shared" si="1"/>
        <v>0.96045197740112986</v>
      </c>
      <c r="G24"/>
      <c r="K24" s="42" t="s">
        <v>20</v>
      </c>
      <c r="L24" s="15">
        <v>8</v>
      </c>
      <c r="M24" s="40">
        <f>$E$19/$F$22</f>
        <v>0.37956204379562047</v>
      </c>
    </row>
    <row r="25" spans="3:13" ht="16.5" customHeight="1" thickBot="1">
      <c r="C25" s="12" t="s">
        <v>21</v>
      </c>
      <c r="D25" s="12">
        <v>5</v>
      </c>
      <c r="E25" s="13">
        <f t="shared" si="0"/>
        <v>2.8248587570621469E-2</v>
      </c>
      <c r="F25" s="14">
        <f t="shared" si="1"/>
        <v>0.98870056497175129</v>
      </c>
      <c r="G25"/>
      <c r="K25" s="12" t="s">
        <v>21</v>
      </c>
      <c r="L25" s="15">
        <v>2</v>
      </c>
      <c r="M25" s="40">
        <v>0</v>
      </c>
    </row>
    <row r="26" spans="3:13" ht="16.5" customHeight="1" thickBot="1">
      <c r="C26" s="12" t="s">
        <v>22</v>
      </c>
      <c r="D26" s="12">
        <v>2</v>
      </c>
      <c r="E26" s="13">
        <f t="shared" si="0"/>
        <v>1.1299435028248588E-2</v>
      </c>
      <c r="F26" s="14">
        <f t="shared" si="1"/>
        <v>0.99999999999999989</v>
      </c>
      <c r="G26"/>
      <c r="K26" s="12" t="s">
        <v>22</v>
      </c>
      <c r="L26" s="15">
        <v>1</v>
      </c>
      <c r="M26" s="40">
        <v>0</v>
      </c>
    </row>
    <row r="27" spans="3:13">
      <c r="C27" s="33" t="s">
        <v>66</v>
      </c>
      <c r="D27" s="33">
        <f>SUM(D19:D26)</f>
        <v>177</v>
      </c>
      <c r="G27"/>
    </row>
    <row r="28" spans="3:13" ht="16.5" thickBot="1">
      <c r="G28"/>
    </row>
    <row r="29" spans="3:13" ht="32.25" thickBot="1">
      <c r="C29" s="5" t="s">
        <v>14</v>
      </c>
      <c r="D29" s="5" t="s">
        <v>71</v>
      </c>
      <c r="E29" s="5" t="s">
        <v>67</v>
      </c>
      <c r="F29" s="6" t="s">
        <v>68</v>
      </c>
      <c r="K29" s="5" t="s">
        <v>14</v>
      </c>
      <c r="L29" s="6" t="s">
        <v>69</v>
      </c>
      <c r="M29" s="6" t="s">
        <v>70</v>
      </c>
    </row>
    <row r="30" spans="3:13" ht="16.5" customHeight="1" thickBot="1">
      <c r="C30" s="7" t="s">
        <v>21</v>
      </c>
      <c r="D30" s="7">
        <f>$E$11/$D$11</f>
        <v>56</v>
      </c>
      <c r="E30" s="8">
        <f>D30/$D$38</f>
        <v>0.24655380261019968</v>
      </c>
      <c r="F30" s="9">
        <f>E30</f>
        <v>0.24655380261019968</v>
      </c>
      <c r="K30" s="42" t="s">
        <v>15</v>
      </c>
      <c r="L30" s="15">
        <v>2</v>
      </c>
      <c r="M30" s="40">
        <f>0</f>
        <v>0</v>
      </c>
    </row>
    <row r="31" spans="3:13" ht="16.5" customHeight="1" thickBot="1">
      <c r="C31" s="7" t="s">
        <v>19</v>
      </c>
      <c r="D31" s="7">
        <f>$E$9/$D$9</f>
        <v>50</v>
      </c>
      <c r="E31" s="8">
        <f t="shared" ref="E31:E37" si="2">D31/$D$38</f>
        <v>0.22013732375910688</v>
      </c>
      <c r="F31" s="9">
        <f>F30+E31</f>
        <v>0.46669112636930654</v>
      </c>
      <c r="K31" s="42" t="s">
        <v>16</v>
      </c>
      <c r="L31" s="15">
        <v>6</v>
      </c>
      <c r="M31" s="40">
        <f>$E$32/$F$33</f>
        <v>0.20197457102262378</v>
      </c>
    </row>
    <row r="32" spans="3:13" ht="16.5" customHeight="1" thickBot="1">
      <c r="C32" s="7" t="s">
        <v>16</v>
      </c>
      <c r="D32" s="7">
        <f>$E$6/$D$6</f>
        <v>35.53846153846154</v>
      </c>
      <c r="E32" s="8">
        <f t="shared" si="2"/>
        <v>0.15646683627185751</v>
      </c>
      <c r="F32" s="9">
        <f t="shared" ref="F32:F37" si="3">F31+E32</f>
        <v>0.62315796264116408</v>
      </c>
      <c r="K32" s="42" t="s">
        <v>17</v>
      </c>
      <c r="L32" s="15">
        <v>1</v>
      </c>
      <c r="M32" s="40">
        <f>0</f>
        <v>0</v>
      </c>
    </row>
    <row r="33" spans="3:13" ht="16.5" customHeight="1" thickBot="1">
      <c r="C33" s="7" t="s">
        <v>18</v>
      </c>
      <c r="D33" s="7">
        <f>$E$8/$D$8</f>
        <v>34.416666666666664</v>
      </c>
      <c r="E33" s="8">
        <f t="shared" si="2"/>
        <v>0.15152785785418521</v>
      </c>
      <c r="F33" s="9">
        <f t="shared" si="3"/>
        <v>0.77468582049534929</v>
      </c>
      <c r="K33" s="42" t="s">
        <v>18</v>
      </c>
      <c r="L33" s="15">
        <v>5</v>
      </c>
      <c r="M33" s="40">
        <f>$E$33/$F$33</f>
        <v>0.19559911107872779</v>
      </c>
    </row>
    <row r="34" spans="3:13" ht="16.5" customHeight="1" thickBot="1">
      <c r="C34" s="12" t="s">
        <v>22</v>
      </c>
      <c r="D34" s="12">
        <f>$E$12/$D$12</f>
        <v>25</v>
      </c>
      <c r="E34" s="13">
        <f t="shared" si="2"/>
        <v>0.11006866187955344</v>
      </c>
      <c r="F34" s="14">
        <f t="shared" si="3"/>
        <v>0.88475448237490273</v>
      </c>
      <c r="K34" s="42" t="s">
        <v>19</v>
      </c>
      <c r="L34" s="15">
        <v>7</v>
      </c>
      <c r="M34" s="40">
        <f>$E$31/$F$33</f>
        <v>0.2841633574993625</v>
      </c>
    </row>
    <row r="35" spans="3:13" ht="16.5" customHeight="1" thickBot="1">
      <c r="C35" s="12" t="s">
        <v>20</v>
      </c>
      <c r="D35" s="12">
        <f>$E$10/$D$10</f>
        <v>10.26923076923077</v>
      </c>
      <c r="E35" s="13">
        <f t="shared" si="2"/>
        <v>4.5212819572062725E-2</v>
      </c>
      <c r="F35" s="14">
        <f t="shared" si="3"/>
        <v>0.92996730194696542</v>
      </c>
      <c r="K35" s="42" t="s">
        <v>20</v>
      </c>
      <c r="L35" s="15">
        <v>3</v>
      </c>
      <c r="M35" s="40">
        <f>0</f>
        <v>0</v>
      </c>
    </row>
    <row r="36" spans="3:13" ht="16.5" customHeight="1" thickBot="1">
      <c r="C36" s="12" t="s">
        <v>15</v>
      </c>
      <c r="D36" s="12">
        <f>$E$5/$D$5</f>
        <v>10.192307692307692</v>
      </c>
      <c r="E36" s="13">
        <f t="shared" si="2"/>
        <v>4.4874146766279474E-2</v>
      </c>
      <c r="F36" s="14">
        <f t="shared" si="3"/>
        <v>0.97484144871324485</v>
      </c>
      <c r="K36" s="42" t="s">
        <v>21</v>
      </c>
      <c r="L36" s="15">
        <v>8</v>
      </c>
      <c r="M36" s="40">
        <f>$E$30/$F$33</f>
        <v>0.31826296039928592</v>
      </c>
    </row>
    <row r="37" spans="3:13" ht="16.5" customHeight="1" thickBot="1">
      <c r="C37" s="12" t="s">
        <v>17</v>
      </c>
      <c r="D37" s="12">
        <f>$E$7/$D$7</f>
        <v>5.7142857142857144</v>
      </c>
      <c r="E37" s="13">
        <f t="shared" si="2"/>
        <v>2.5158551286755072E-2</v>
      </c>
      <c r="F37" s="14">
        <f t="shared" si="3"/>
        <v>0.99999999999999989</v>
      </c>
      <c r="K37" s="42" t="s">
        <v>22</v>
      </c>
      <c r="L37" s="15">
        <v>4</v>
      </c>
      <c r="M37" s="40">
        <f>0</f>
        <v>0</v>
      </c>
    </row>
    <row r="38" spans="3:13">
      <c r="C38" s="33" t="s">
        <v>66</v>
      </c>
      <c r="D38" s="33">
        <f>SUM(D30:D37)</f>
        <v>227.13095238095238</v>
      </c>
      <c r="E38" s="33"/>
    </row>
    <row r="39" spans="3:13" ht="16.5" thickBot="1"/>
    <row r="40" spans="3:13" ht="32.25" customHeight="1" thickBot="1">
      <c r="C40" s="5" t="s">
        <v>14</v>
      </c>
      <c r="D40" s="5" t="s">
        <v>23</v>
      </c>
      <c r="E40" s="6" t="s">
        <v>67</v>
      </c>
      <c r="F40" s="6" t="s">
        <v>68</v>
      </c>
      <c r="K40" s="43" t="s">
        <v>14</v>
      </c>
      <c r="L40" s="6" t="s">
        <v>69</v>
      </c>
      <c r="M40" s="6" t="s">
        <v>70</v>
      </c>
    </row>
    <row r="41" spans="3:13" ht="16.5" thickBot="1">
      <c r="C41" s="36" t="s">
        <v>19</v>
      </c>
      <c r="D41" s="7">
        <v>1000</v>
      </c>
      <c r="E41" s="37">
        <f>D41/$D$49</f>
        <v>0.27647221454243848</v>
      </c>
      <c r="F41" s="9">
        <f>E41</f>
        <v>0.27647221454243848</v>
      </c>
      <c r="K41" s="44" t="s">
        <v>15</v>
      </c>
      <c r="L41" s="15">
        <v>3</v>
      </c>
      <c r="M41" s="40">
        <f>0</f>
        <v>0</v>
      </c>
    </row>
    <row r="42" spans="3:13" ht="16.5" thickBot="1">
      <c r="C42" s="38" t="s">
        <v>18</v>
      </c>
      <c r="D42" s="7">
        <v>826</v>
      </c>
      <c r="E42" s="37">
        <f t="shared" ref="E42:E48" si="4">D42/$D$49</f>
        <v>0.2283660492120542</v>
      </c>
      <c r="F42" s="9">
        <f>F41+E42</f>
        <v>0.5048382637544927</v>
      </c>
      <c r="K42" s="45" t="s">
        <v>16</v>
      </c>
      <c r="L42" s="15">
        <v>5</v>
      </c>
      <c r="M42" s="40">
        <f>$E$44/$F$44</f>
        <v>0.16371367824238128</v>
      </c>
    </row>
    <row r="43" spans="3:13" ht="16.5" thickBot="1">
      <c r="C43" s="38" t="s">
        <v>20</v>
      </c>
      <c r="D43" s="7">
        <v>534</v>
      </c>
      <c r="E43" s="37">
        <f t="shared" si="4"/>
        <v>0.14763616256566214</v>
      </c>
      <c r="F43" s="9">
        <f t="shared" ref="F43:F48" si="5">F42+E43</f>
        <v>0.65247442632015484</v>
      </c>
      <c r="K43" s="45" t="s">
        <v>17</v>
      </c>
      <c r="L43" s="15">
        <v>2</v>
      </c>
      <c r="M43" s="40">
        <f>0</f>
        <v>0</v>
      </c>
    </row>
    <row r="44" spans="3:13" ht="16.5" thickBot="1">
      <c r="C44" s="38" t="s">
        <v>16</v>
      </c>
      <c r="D44" s="7">
        <v>462</v>
      </c>
      <c r="E44" s="37">
        <f t="shared" si="4"/>
        <v>0.12773016311860658</v>
      </c>
      <c r="F44" s="9">
        <f t="shared" si="5"/>
        <v>0.78020458943876148</v>
      </c>
      <c r="K44" s="45" t="s">
        <v>18</v>
      </c>
      <c r="L44" s="15">
        <v>7</v>
      </c>
      <c r="M44" s="40">
        <f>$E$42/$F$44</f>
        <v>0.29270021261516654</v>
      </c>
    </row>
    <row r="45" spans="3:13" ht="16.5" thickBot="1">
      <c r="C45" s="21" t="s">
        <v>21</v>
      </c>
      <c r="D45" s="12">
        <v>280</v>
      </c>
      <c r="E45" s="34">
        <f t="shared" si="4"/>
        <v>7.7412220071882781E-2</v>
      </c>
      <c r="F45" s="14">
        <f t="shared" si="5"/>
        <v>0.85761680951064423</v>
      </c>
      <c r="K45" s="45" t="s">
        <v>19</v>
      </c>
      <c r="L45" s="15">
        <v>8</v>
      </c>
      <c r="M45" s="40">
        <f>$E$41/$F$44</f>
        <v>0.3543586109142452</v>
      </c>
    </row>
    <row r="46" spans="3:13" ht="16.5" thickBot="1">
      <c r="C46" s="21" t="s">
        <v>15</v>
      </c>
      <c r="D46" s="12">
        <v>265</v>
      </c>
      <c r="E46" s="34">
        <f t="shared" si="4"/>
        <v>7.3265136853746193E-2</v>
      </c>
      <c r="F46" s="14">
        <f t="shared" si="5"/>
        <v>0.93088194636439048</v>
      </c>
      <c r="K46" s="45" t="s">
        <v>20</v>
      </c>
      <c r="L46" s="15">
        <v>6</v>
      </c>
      <c r="M46" s="40">
        <f>$E$43/$F$44</f>
        <v>0.18922749822820692</v>
      </c>
    </row>
    <row r="47" spans="3:13" ht="16.5" thickBot="1">
      <c r="C47" s="21" t="s">
        <v>17</v>
      </c>
      <c r="D47" s="12">
        <v>200</v>
      </c>
      <c r="E47" s="34">
        <f t="shared" si="4"/>
        <v>5.5294442908487694E-2</v>
      </c>
      <c r="F47" s="14">
        <f t="shared" si="5"/>
        <v>0.98617638927287821</v>
      </c>
      <c r="K47" s="45" t="s">
        <v>21</v>
      </c>
      <c r="L47" s="15">
        <v>4</v>
      </c>
      <c r="M47" s="40">
        <f>0</f>
        <v>0</v>
      </c>
    </row>
    <row r="48" spans="3:13" ht="16.5" thickBot="1">
      <c r="C48" s="24" t="s">
        <v>22</v>
      </c>
      <c r="D48" s="12">
        <v>50</v>
      </c>
      <c r="E48" s="34">
        <f t="shared" si="4"/>
        <v>1.3823610727121923E-2</v>
      </c>
      <c r="F48" s="14">
        <f t="shared" si="5"/>
        <v>1.0000000000000002</v>
      </c>
      <c r="K48" s="46" t="s">
        <v>22</v>
      </c>
      <c r="L48" s="15">
        <v>1</v>
      </c>
      <c r="M48" s="40">
        <f>0</f>
        <v>0</v>
      </c>
    </row>
    <row r="49" spans="2:13">
      <c r="C49" s="33" t="s">
        <v>66</v>
      </c>
      <c r="D49" s="33">
        <f>SUM(D41:D48)</f>
        <v>3617</v>
      </c>
      <c r="E49" s="33"/>
    </row>
    <row r="50" spans="2:13">
      <c r="C50" s="33"/>
      <c r="D50" s="33"/>
      <c r="E50" s="33"/>
    </row>
    <row r="51" spans="2:13" ht="32.25" customHeight="1" thickBot="1">
      <c r="C51" s="332" t="s">
        <v>73</v>
      </c>
      <c r="D51" s="332"/>
      <c r="E51" s="332"/>
      <c r="F51" s="332"/>
      <c r="G51" s="332"/>
      <c r="H51" s="332"/>
      <c r="I51" s="332"/>
      <c r="J51" s="332"/>
      <c r="K51" s="332"/>
      <c r="L51" s="332"/>
      <c r="M51" s="332"/>
    </row>
    <row r="52" spans="2:13" ht="32.25" customHeight="1" thickBot="1">
      <c r="C52" s="5" t="s">
        <v>14</v>
      </c>
      <c r="D52" s="6" t="s">
        <v>69</v>
      </c>
      <c r="E52" s="6" t="s">
        <v>67</v>
      </c>
      <c r="F52" s="6" t="s">
        <v>68</v>
      </c>
    </row>
    <row r="53" spans="2:13" ht="16.5" thickBot="1">
      <c r="B53"/>
      <c r="C53" s="7" t="s">
        <v>19</v>
      </c>
      <c r="D53" s="52">
        <f>2*$L$23+$L$34+3*$L$45</f>
        <v>39</v>
      </c>
      <c r="E53" s="53">
        <f>D53/$D$61</f>
        <v>0.18055555555555555</v>
      </c>
      <c r="F53" s="54">
        <f>E53</f>
        <v>0.18055555555555555</v>
      </c>
    </row>
    <row r="54" spans="2:13" ht="16.5" thickBot="1">
      <c r="B54"/>
      <c r="C54" s="7" t="s">
        <v>20</v>
      </c>
      <c r="D54" s="52">
        <f>2*$L$24+$L$35+3*$L$46</f>
        <v>37</v>
      </c>
      <c r="E54" s="53">
        <f t="shared" ref="E54:E60" si="6">D54/$D$61</f>
        <v>0.17129629629629631</v>
      </c>
      <c r="F54" s="54">
        <f>F53+E54</f>
        <v>0.35185185185185186</v>
      </c>
    </row>
    <row r="55" spans="2:13" ht="16.5" thickBot="1">
      <c r="B55"/>
      <c r="C55" s="7" t="s">
        <v>18</v>
      </c>
      <c r="D55" s="52">
        <f>2*$L$22+$L$33+3*$L$44</f>
        <v>36</v>
      </c>
      <c r="E55" s="53">
        <f t="shared" si="6"/>
        <v>0.16666666666666666</v>
      </c>
      <c r="F55" s="54">
        <f t="shared" ref="F55:F60" si="7">F54+E55</f>
        <v>0.51851851851851849</v>
      </c>
    </row>
    <row r="56" spans="2:13" ht="16.5" thickBot="1">
      <c r="B56"/>
      <c r="C56" s="7" t="s">
        <v>16</v>
      </c>
      <c r="D56" s="52">
        <f>2*$L$20+$L$31+3*$L$42</f>
        <v>27</v>
      </c>
      <c r="E56" s="53">
        <f t="shared" si="6"/>
        <v>0.125</v>
      </c>
      <c r="F56" s="54">
        <f t="shared" si="7"/>
        <v>0.64351851851851849</v>
      </c>
    </row>
    <row r="57" spans="2:13" ht="16.5" thickBot="1">
      <c r="B57"/>
      <c r="C57" s="7" t="s">
        <v>21</v>
      </c>
      <c r="D57" s="52">
        <f>2*$L$25+$L$36+3*$L$47</f>
        <v>24</v>
      </c>
      <c r="E57" s="53">
        <f t="shared" si="6"/>
        <v>0.1111111111111111</v>
      </c>
      <c r="F57" s="54">
        <f t="shared" si="7"/>
        <v>0.75462962962962954</v>
      </c>
    </row>
    <row r="58" spans="2:13" ht="16.5" thickBot="1">
      <c r="B58"/>
      <c r="C58" s="12" t="s">
        <v>15</v>
      </c>
      <c r="D58" s="47">
        <f>2*$L$19+$L$30+3*$L$41</f>
        <v>23</v>
      </c>
      <c r="E58" s="50">
        <f t="shared" si="6"/>
        <v>0.10648148148148148</v>
      </c>
      <c r="F58" s="51">
        <f t="shared" si="7"/>
        <v>0.86111111111111105</v>
      </c>
    </row>
    <row r="59" spans="2:13" ht="16.5" thickBot="1">
      <c r="B59"/>
      <c r="C59" s="12" t="s">
        <v>17</v>
      </c>
      <c r="D59" s="47">
        <f>2*$L$21+$L$32+3*$L$43</f>
        <v>21</v>
      </c>
      <c r="E59" s="50">
        <f t="shared" si="6"/>
        <v>9.7222222222222224E-2</v>
      </c>
      <c r="F59" s="51">
        <f t="shared" si="7"/>
        <v>0.95833333333333326</v>
      </c>
    </row>
    <row r="60" spans="2:13" ht="16.5" thickBot="1">
      <c r="B60"/>
      <c r="C60" s="12" t="s">
        <v>22</v>
      </c>
      <c r="D60" s="47">
        <f>2*$L$26+$L$37+3*$L$48</f>
        <v>9</v>
      </c>
      <c r="E60" s="50">
        <f t="shared" si="6"/>
        <v>4.1666666666666664E-2</v>
      </c>
      <c r="F60" s="51">
        <f t="shared" si="7"/>
        <v>0.99999999999999989</v>
      </c>
    </row>
    <row r="61" spans="2:13">
      <c r="B61"/>
      <c r="C61" s="49" t="s">
        <v>66</v>
      </c>
      <c r="D61" s="49">
        <f>SUM(D53:D60)</f>
        <v>216</v>
      </c>
      <c r="E61" s="49"/>
      <c r="F61"/>
    </row>
    <row r="62" spans="2:13" ht="16.5" thickBot="1"/>
    <row r="63" spans="2:13" ht="32.25" thickBot="1">
      <c r="C63" s="5" t="s">
        <v>14</v>
      </c>
      <c r="D63" s="6" t="s">
        <v>70</v>
      </c>
      <c r="E63" s="6" t="s">
        <v>67</v>
      </c>
      <c r="F63" s="6" t="s">
        <v>68</v>
      </c>
    </row>
    <row r="64" spans="2:13" ht="16.5" thickBot="1">
      <c r="C64" s="36" t="s">
        <v>18</v>
      </c>
      <c r="D64" s="59">
        <f>2*$M$22+$M$33+3*$M$44</f>
        <v>1.4240647124278771</v>
      </c>
      <c r="E64" s="53">
        <f>D64/$D$72</f>
        <v>0.23734411873797956</v>
      </c>
      <c r="F64" s="54">
        <f>E64</f>
        <v>0.23734411873797956</v>
      </c>
    </row>
    <row r="65" spans="3:6" ht="16.5" thickBot="1">
      <c r="C65" s="38" t="s">
        <v>19</v>
      </c>
      <c r="D65" s="59">
        <f>2*$M$23+$M$34+3*$M$45</f>
        <v>1.3472391902420982</v>
      </c>
      <c r="E65" s="53">
        <f t="shared" ref="E65:E71" si="8">D65/$D$72</f>
        <v>0.22453986504034973</v>
      </c>
      <c r="F65" s="54">
        <f>F64+E65</f>
        <v>0.46188398377832929</v>
      </c>
    </row>
    <row r="66" spans="3:6" ht="16.5" thickBot="1">
      <c r="C66" s="38" t="s">
        <v>20</v>
      </c>
      <c r="D66" s="59">
        <f>2*$M$24+$M$35+3*$M$46</f>
        <v>1.3268065822758617</v>
      </c>
      <c r="E66" s="53">
        <f t="shared" si="8"/>
        <v>0.22113443037931033</v>
      </c>
      <c r="F66" s="54">
        <f t="shared" ref="F66:F70" si="9">F65+E66</f>
        <v>0.68301841415763964</v>
      </c>
    </row>
    <row r="67" spans="3:6" ht="16.5" thickBot="1">
      <c r="C67" s="38" t="s">
        <v>16</v>
      </c>
      <c r="D67" s="59">
        <f>2*$M$20+$M$31+3*$M$42</f>
        <v>0.6931156057497676</v>
      </c>
      <c r="E67" s="53">
        <f t="shared" si="8"/>
        <v>0.11551926762496129</v>
      </c>
      <c r="F67" s="54">
        <f t="shared" si="9"/>
        <v>0.79853768178260087</v>
      </c>
    </row>
    <row r="68" spans="3:6" ht="16.5" thickBot="1">
      <c r="C68" s="21" t="s">
        <v>17</v>
      </c>
      <c r="D68" s="57">
        <f>2*$M$21+$M$32+3*$M$43</f>
        <v>0.51094890510948909</v>
      </c>
      <c r="E68" s="55">
        <f t="shared" si="8"/>
        <v>8.5158150851581529E-2</v>
      </c>
      <c r="F68" s="56">
        <f t="shared" si="9"/>
        <v>0.88369583263418239</v>
      </c>
    </row>
    <row r="69" spans="3:6" ht="16.5" thickBot="1">
      <c r="C69" s="21" t="s">
        <v>15</v>
      </c>
      <c r="D69" s="57">
        <f>2*$M$19+$M$30+3*$M$41</f>
        <v>0.37956204379562047</v>
      </c>
      <c r="E69" s="55">
        <f t="shared" si="8"/>
        <v>6.3260340632603426E-2</v>
      </c>
      <c r="F69" s="56">
        <f t="shared" si="9"/>
        <v>0.94695617326678583</v>
      </c>
    </row>
    <row r="70" spans="3:6" ht="16.5" thickBot="1">
      <c r="C70" s="21" t="s">
        <v>21</v>
      </c>
      <c r="D70" s="57">
        <f>2*$M$25+$M$36+3*$M$47</f>
        <v>0.31826296039928592</v>
      </c>
      <c r="E70" s="55">
        <f t="shared" si="8"/>
        <v>5.3043826733214325E-2</v>
      </c>
      <c r="F70" s="56">
        <f t="shared" si="9"/>
        <v>1.0000000000000002</v>
      </c>
    </row>
    <row r="71" spans="3:6" ht="16.5" thickBot="1">
      <c r="C71" s="24" t="s">
        <v>22</v>
      </c>
      <c r="D71" s="57">
        <f>2*$M$26+$M$37+3*$M$48</f>
        <v>0</v>
      </c>
      <c r="E71" s="55">
        <f t="shared" si="8"/>
        <v>0</v>
      </c>
      <c r="F71" s="56">
        <f>F70+E71</f>
        <v>1.0000000000000002</v>
      </c>
    </row>
    <row r="72" spans="3:6">
      <c r="C72" s="33" t="s">
        <v>66</v>
      </c>
      <c r="D72" s="58">
        <f>SUM(D64:D71)</f>
        <v>5.9999999999999991</v>
      </c>
    </row>
  </sheetData>
  <sortState xmlns:xlrd2="http://schemas.microsoft.com/office/spreadsheetml/2017/richdata2" ref="C64:D71">
    <sortCondition descending="1" ref="D64:D71"/>
  </sortState>
  <mergeCells count="4">
    <mergeCell ref="B2:F2"/>
    <mergeCell ref="G2:J2"/>
    <mergeCell ref="L2:P2"/>
    <mergeCell ref="C51:M5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88C0-E7B9-49FC-A4A5-8C285BAC3FC5}">
  <dimension ref="A1:N61"/>
  <sheetViews>
    <sheetView topLeftCell="A4" workbookViewId="0">
      <selection activeCell="H7" sqref="H7"/>
    </sheetView>
  </sheetViews>
  <sheetFormatPr baseColWidth="10" defaultColWidth="11.5703125" defaultRowHeight="15.75"/>
  <cols>
    <col min="1" max="2" width="5.28515625" style="2" customWidth="1"/>
    <col min="3" max="14" width="17" style="2" customWidth="1"/>
    <col min="15" max="16384" width="11.5703125" style="2"/>
  </cols>
  <sheetData>
    <row r="1" spans="1:14" ht="16.5" thickBot="1">
      <c r="A1" s="33"/>
      <c r="B1" s="33"/>
      <c r="C1" s="33"/>
      <c r="D1" s="33"/>
      <c r="E1" s="33"/>
      <c r="F1" s="33"/>
      <c r="G1" s="49"/>
      <c r="H1" s="49"/>
      <c r="I1" s="49"/>
      <c r="J1" s="49"/>
      <c r="K1" s="49"/>
      <c r="L1" s="49"/>
      <c r="M1" s="49"/>
      <c r="N1" s="33"/>
    </row>
    <row r="2" spans="1:14">
      <c r="A2" s="33"/>
      <c r="B2" s="328" t="s">
        <v>25</v>
      </c>
      <c r="C2" s="329"/>
      <c r="D2" s="329"/>
      <c r="E2" s="329"/>
      <c r="F2" s="330"/>
      <c r="G2" s="49"/>
      <c r="H2" s="333"/>
      <c r="I2" s="333"/>
      <c r="J2" s="333"/>
      <c r="K2" s="333"/>
      <c r="L2" s="333"/>
      <c r="M2" s="49"/>
      <c r="N2" s="33"/>
    </row>
    <row r="3" spans="1:14" ht="16.5" thickBot="1">
      <c r="A3" s="33"/>
      <c r="B3" s="27"/>
      <c r="C3" s="28"/>
      <c r="D3" s="28"/>
      <c r="E3" s="28"/>
      <c r="F3" s="29"/>
      <c r="G3" s="49"/>
      <c r="H3" s="49"/>
      <c r="I3" s="49"/>
      <c r="J3" s="49"/>
      <c r="K3" s="49"/>
      <c r="L3" s="49"/>
      <c r="M3" s="49"/>
      <c r="N3" s="33"/>
    </row>
    <row r="4" spans="1:14" ht="32.25" thickBot="1">
      <c r="A4" s="33"/>
      <c r="B4" s="27"/>
      <c r="C4" s="6" t="s">
        <v>7</v>
      </c>
      <c r="D4" s="60" t="s">
        <v>8</v>
      </c>
      <c r="E4" s="61" t="s">
        <v>23</v>
      </c>
      <c r="F4" s="29"/>
      <c r="G4" s="49"/>
      <c r="H4" s="49"/>
      <c r="I4" s="49"/>
      <c r="J4" s="49"/>
      <c r="K4" s="49"/>
      <c r="L4" s="49"/>
      <c r="M4" s="49"/>
      <c r="N4" s="33"/>
    </row>
    <row r="5" spans="1:14">
      <c r="A5" s="33"/>
      <c r="B5" s="27"/>
      <c r="C5" s="62" t="s">
        <v>9</v>
      </c>
      <c r="D5" s="63">
        <v>50</v>
      </c>
      <c r="E5" s="64">
        <v>530</v>
      </c>
      <c r="F5" s="29"/>
      <c r="G5" s="49"/>
      <c r="H5" s="49"/>
      <c r="I5" s="49"/>
      <c r="J5" s="49"/>
      <c r="K5" s="49"/>
      <c r="L5" s="49"/>
      <c r="M5" s="49"/>
      <c r="N5" s="33"/>
    </row>
    <row r="6" spans="1:14">
      <c r="A6" s="33"/>
      <c r="B6" s="27"/>
      <c r="C6" s="65" t="s">
        <v>10</v>
      </c>
      <c r="D6" s="66">
        <v>15</v>
      </c>
      <c r="E6" s="67">
        <v>450</v>
      </c>
      <c r="F6" s="29"/>
      <c r="G6" s="49"/>
      <c r="H6" s="49"/>
      <c r="I6" s="49"/>
      <c r="J6" s="49"/>
      <c r="K6" s="49"/>
      <c r="L6" s="49"/>
      <c r="M6" s="49"/>
      <c r="N6" s="33"/>
    </row>
    <row r="7" spans="1:14">
      <c r="A7" s="33"/>
      <c r="B7" s="27"/>
      <c r="C7" s="65" t="s">
        <v>11</v>
      </c>
      <c r="D7" s="66">
        <v>5</v>
      </c>
      <c r="E7" s="67">
        <v>280</v>
      </c>
      <c r="F7" s="29"/>
      <c r="G7" s="49"/>
      <c r="H7" s="49"/>
      <c r="I7" s="49"/>
      <c r="J7" s="49"/>
      <c r="K7" s="49"/>
      <c r="L7" s="49"/>
      <c r="M7" s="49"/>
      <c r="N7" s="33"/>
    </row>
    <row r="8" spans="1:14">
      <c r="A8" s="33"/>
      <c r="B8" s="27"/>
      <c r="C8" s="65" t="s">
        <v>12</v>
      </c>
      <c r="D8" s="66">
        <v>35</v>
      </c>
      <c r="E8" s="67">
        <v>200</v>
      </c>
      <c r="F8" s="29"/>
      <c r="G8" s="49"/>
      <c r="H8" s="49"/>
      <c r="I8" s="49"/>
      <c r="J8" s="49"/>
      <c r="K8" s="49"/>
      <c r="L8" s="49"/>
      <c r="M8" s="49"/>
      <c r="N8" s="33"/>
    </row>
    <row r="9" spans="1:14" ht="16.5" thickBot="1">
      <c r="A9" s="33"/>
      <c r="B9" s="27"/>
      <c r="C9" s="68" t="s">
        <v>13</v>
      </c>
      <c r="D9" s="69">
        <v>20</v>
      </c>
      <c r="E9" s="70">
        <v>980</v>
      </c>
      <c r="F9" s="29"/>
      <c r="G9" s="49"/>
      <c r="H9" s="49"/>
      <c r="I9" s="49"/>
      <c r="J9" s="49"/>
      <c r="K9" s="49"/>
      <c r="L9" s="49"/>
      <c r="M9" s="49"/>
      <c r="N9" s="33"/>
    </row>
    <row r="10" spans="1:14" ht="16.5" thickBot="1">
      <c r="A10" s="33"/>
      <c r="B10" s="30"/>
      <c r="C10" s="31"/>
      <c r="D10" s="31"/>
      <c r="E10" s="31"/>
      <c r="F10" s="32"/>
      <c r="G10" s="49"/>
      <c r="H10" s="49"/>
      <c r="I10" s="49"/>
      <c r="J10" s="49"/>
      <c r="K10" s="49"/>
      <c r="L10" s="49"/>
      <c r="M10" s="49"/>
      <c r="N10" s="33"/>
    </row>
    <row r="11" spans="1:14">
      <c r="A11" s="33"/>
      <c r="B11" s="33"/>
      <c r="C11" s="33"/>
      <c r="D11" s="33"/>
      <c r="E11" s="33"/>
      <c r="F11" s="33"/>
      <c r="G11" s="49"/>
      <c r="H11" s="49"/>
      <c r="I11" s="49"/>
      <c r="J11" s="49"/>
      <c r="K11" s="49"/>
      <c r="L11" s="49"/>
      <c r="M11" s="49"/>
      <c r="N11" s="33"/>
    </row>
    <row r="12" spans="1:14" ht="18">
      <c r="A12" s="33"/>
      <c r="B12" s="33"/>
      <c r="C12" s="72" t="s">
        <v>74</v>
      </c>
      <c r="D12" s="33"/>
      <c r="E12" s="33"/>
      <c r="F12" s="33"/>
      <c r="G12" s="49"/>
      <c r="H12" s="49"/>
      <c r="I12" s="49"/>
      <c r="J12" s="49"/>
      <c r="K12" s="49"/>
      <c r="L12" s="49"/>
      <c r="M12" s="49"/>
      <c r="N12" s="33"/>
    </row>
    <row r="13" spans="1:14" ht="16.5" thickBo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</row>
    <row r="14" spans="1:14" ht="32.25" thickBot="1">
      <c r="A14" s="33"/>
      <c r="B14" s="33"/>
      <c r="C14" s="6" t="s">
        <v>7</v>
      </c>
      <c r="D14" s="6" t="s">
        <v>8</v>
      </c>
      <c r="E14" s="6" t="s">
        <v>67</v>
      </c>
      <c r="F14" s="6" t="s">
        <v>68</v>
      </c>
      <c r="G14" s="33"/>
      <c r="H14" s="33"/>
      <c r="I14" s="33"/>
      <c r="J14" s="33"/>
      <c r="K14" s="33"/>
      <c r="L14" s="6" t="s">
        <v>7</v>
      </c>
      <c r="M14" s="6" t="s">
        <v>69</v>
      </c>
      <c r="N14" s="6" t="s">
        <v>70</v>
      </c>
    </row>
    <row r="15" spans="1:14" ht="16.5" thickBot="1">
      <c r="A15" s="33"/>
      <c r="B15" s="33"/>
      <c r="C15" s="73" t="s">
        <v>9</v>
      </c>
      <c r="D15" s="10">
        <v>50</v>
      </c>
      <c r="E15" s="37">
        <f>D15/$D$20</f>
        <v>0.4</v>
      </c>
      <c r="F15" s="9">
        <f>E15</f>
        <v>0.4</v>
      </c>
      <c r="G15"/>
      <c r="H15" s="33"/>
      <c r="I15" s="33"/>
      <c r="J15" s="33"/>
      <c r="K15" s="33"/>
      <c r="L15" s="74" t="s">
        <v>9</v>
      </c>
      <c r="M15" s="76">
        <v>5</v>
      </c>
      <c r="N15" s="40">
        <f>$E$15/$F$16</f>
        <v>0.58823529411764708</v>
      </c>
    </row>
    <row r="16" spans="1:14" ht="16.5" thickBot="1">
      <c r="A16" s="33"/>
      <c r="B16" s="33"/>
      <c r="C16" s="73" t="s">
        <v>12</v>
      </c>
      <c r="D16" s="10">
        <v>35</v>
      </c>
      <c r="E16" s="37">
        <f t="shared" ref="E16:E19" si="0">D16/$D$20</f>
        <v>0.28000000000000003</v>
      </c>
      <c r="F16" s="9">
        <f>F15+E16</f>
        <v>0.68</v>
      </c>
      <c r="G16"/>
      <c r="H16" s="33"/>
      <c r="I16" s="33"/>
      <c r="J16" s="33"/>
      <c r="K16" s="33"/>
      <c r="L16" s="6" t="s">
        <v>10</v>
      </c>
      <c r="M16" s="39">
        <v>2</v>
      </c>
      <c r="N16" s="40">
        <f>0</f>
        <v>0</v>
      </c>
    </row>
    <row r="17" spans="1:14" ht="16.5" thickBot="1">
      <c r="A17" s="33"/>
      <c r="B17" s="33"/>
      <c r="C17" s="6" t="s">
        <v>13</v>
      </c>
      <c r="D17" s="15">
        <v>20</v>
      </c>
      <c r="E17" s="34">
        <f t="shared" si="0"/>
        <v>0.16</v>
      </c>
      <c r="F17" s="14">
        <f t="shared" ref="F17:F19" si="1">F16+E17</f>
        <v>0.84000000000000008</v>
      </c>
      <c r="G17"/>
      <c r="H17" s="33"/>
      <c r="I17" s="33"/>
      <c r="J17" s="33"/>
      <c r="K17" s="33"/>
      <c r="L17" s="6" t="s">
        <v>11</v>
      </c>
      <c r="M17" s="39">
        <v>1</v>
      </c>
      <c r="N17" s="40">
        <f>0</f>
        <v>0</v>
      </c>
    </row>
    <row r="18" spans="1:14" ht="16.5" thickBot="1">
      <c r="A18" s="33"/>
      <c r="B18" s="33"/>
      <c r="C18" s="6" t="s">
        <v>10</v>
      </c>
      <c r="D18" s="15">
        <v>15</v>
      </c>
      <c r="E18" s="34">
        <f t="shared" si="0"/>
        <v>0.12</v>
      </c>
      <c r="F18" s="14">
        <f t="shared" si="1"/>
        <v>0.96000000000000008</v>
      </c>
      <c r="G18" s="33"/>
      <c r="H18" s="33"/>
      <c r="I18" s="33"/>
      <c r="J18" s="33"/>
      <c r="K18" s="33"/>
      <c r="L18" s="74" t="s">
        <v>12</v>
      </c>
      <c r="M18" s="76">
        <v>4</v>
      </c>
      <c r="N18" s="40">
        <f>$E$16/$F$16</f>
        <v>0.41176470588235298</v>
      </c>
    </row>
    <row r="19" spans="1:14" ht="16.5" thickBot="1">
      <c r="A19" s="33"/>
      <c r="B19" s="33"/>
      <c r="C19" s="6" t="s">
        <v>11</v>
      </c>
      <c r="D19" s="15">
        <v>5</v>
      </c>
      <c r="E19" s="34">
        <f t="shared" si="0"/>
        <v>0.04</v>
      </c>
      <c r="F19" s="14">
        <f t="shared" si="1"/>
        <v>1</v>
      </c>
      <c r="G19" s="33"/>
      <c r="H19" s="33"/>
      <c r="I19" s="33"/>
      <c r="J19" s="33"/>
      <c r="K19" s="33"/>
      <c r="L19" s="6" t="s">
        <v>13</v>
      </c>
      <c r="M19" s="39">
        <v>3</v>
      </c>
      <c r="N19" s="40">
        <f>0</f>
        <v>0</v>
      </c>
    </row>
    <row r="20" spans="1:14">
      <c r="A20" s="33"/>
      <c r="B20" s="33"/>
      <c r="C20" s="33" t="s">
        <v>66</v>
      </c>
      <c r="D20" s="33">
        <f>SUM(D15:D19)</f>
        <v>125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21" spans="1:14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3" spans="1:14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1:14" ht="16.5" thickBo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1:14" ht="32.25" customHeight="1" thickBot="1">
      <c r="A25" s="33"/>
      <c r="B25" s="33"/>
      <c r="C25" s="6" t="s">
        <v>7</v>
      </c>
      <c r="D25" s="6" t="s">
        <v>75</v>
      </c>
      <c r="E25" s="6" t="s">
        <v>67</v>
      </c>
      <c r="F25" s="6" t="s">
        <v>68</v>
      </c>
      <c r="G25" s="33"/>
      <c r="H25" s="33"/>
      <c r="I25" s="33"/>
      <c r="J25" s="33"/>
      <c r="K25" s="33"/>
      <c r="L25" s="6" t="s">
        <v>7</v>
      </c>
      <c r="M25" s="6" t="s">
        <v>69</v>
      </c>
      <c r="N25" s="6" t="s">
        <v>70</v>
      </c>
    </row>
    <row r="26" spans="1:14" ht="16.5" thickBot="1">
      <c r="A26" s="33"/>
      <c r="B26" s="33"/>
      <c r="C26" s="83" t="s">
        <v>11</v>
      </c>
      <c r="D26" s="10">
        <f>$E$7/$D$7</f>
        <v>56</v>
      </c>
      <c r="E26" s="37">
        <f>D26/$D$31</f>
        <v>0.37009063444108758</v>
      </c>
      <c r="F26" s="9">
        <f>E26</f>
        <v>0.37009063444108758</v>
      </c>
      <c r="G26" s="33"/>
      <c r="H26" s="33"/>
      <c r="I26" s="33"/>
      <c r="J26" s="33"/>
      <c r="K26" s="33"/>
      <c r="L26" s="62" t="s">
        <v>9</v>
      </c>
      <c r="M26" s="15">
        <v>2</v>
      </c>
      <c r="N26" s="40">
        <f>0</f>
        <v>0</v>
      </c>
    </row>
    <row r="27" spans="1:14" ht="16.5" thickBot="1">
      <c r="A27" s="33"/>
      <c r="B27" s="33"/>
      <c r="C27" s="292" t="s">
        <v>13</v>
      </c>
      <c r="D27" s="10">
        <f>$E$9/$D$9</f>
        <v>49</v>
      </c>
      <c r="E27" s="37">
        <f t="shared" ref="E27:E30" si="2">D27/$D$31</f>
        <v>0.32382930513595165</v>
      </c>
      <c r="F27" s="9">
        <f>F26+E27</f>
        <v>0.69391993957703924</v>
      </c>
      <c r="G27" s="33"/>
      <c r="H27" s="33"/>
      <c r="I27" s="33"/>
      <c r="J27" s="33"/>
      <c r="K27" s="33"/>
      <c r="L27" s="65" t="s">
        <v>10</v>
      </c>
      <c r="M27" s="15">
        <v>3</v>
      </c>
      <c r="N27" s="40">
        <f>0</f>
        <v>0</v>
      </c>
    </row>
    <row r="28" spans="1:14" ht="16.5" thickBot="1">
      <c r="A28" s="33"/>
      <c r="B28" s="33"/>
      <c r="C28" s="65" t="s">
        <v>10</v>
      </c>
      <c r="D28" s="77">
        <f>$E$6/$D$6</f>
        <v>30</v>
      </c>
      <c r="E28" s="78">
        <f t="shared" si="2"/>
        <v>0.19826283987915408</v>
      </c>
      <c r="F28" s="75">
        <f t="shared" ref="F28:F30" si="3">F27+E28</f>
        <v>0.89218277945619329</v>
      </c>
      <c r="G28" s="33"/>
      <c r="H28" s="33"/>
      <c r="I28" s="33"/>
      <c r="J28" s="33"/>
      <c r="K28" s="33"/>
      <c r="L28" s="65" t="s">
        <v>11</v>
      </c>
      <c r="M28" s="15">
        <v>5</v>
      </c>
      <c r="N28" s="40">
        <f>$E$26/$F$27</f>
        <v>0.53333333333333333</v>
      </c>
    </row>
    <row r="29" spans="1:14" ht="16.5" thickBot="1">
      <c r="A29" s="33"/>
      <c r="B29" s="33"/>
      <c r="C29" s="65" t="s">
        <v>9</v>
      </c>
      <c r="D29" s="77">
        <f>$E$5/$D$5</f>
        <v>10.6</v>
      </c>
      <c r="E29" s="78">
        <f t="shared" si="2"/>
        <v>7.0052870090634434E-2</v>
      </c>
      <c r="F29" s="75">
        <f t="shared" si="3"/>
        <v>0.96223564954682772</v>
      </c>
      <c r="G29" s="33"/>
      <c r="H29" s="33"/>
      <c r="I29" s="33"/>
      <c r="J29" s="33"/>
      <c r="K29" s="33"/>
      <c r="L29" s="65" t="s">
        <v>12</v>
      </c>
      <c r="M29" s="15">
        <v>1</v>
      </c>
      <c r="N29" s="40">
        <f>0</f>
        <v>0</v>
      </c>
    </row>
    <row r="30" spans="1:14" ht="16.5" thickBot="1">
      <c r="A30" s="33"/>
      <c r="B30" s="33"/>
      <c r="C30" s="68" t="s">
        <v>12</v>
      </c>
      <c r="D30" s="77">
        <f>$E$8/$D$8</f>
        <v>5.7142857142857144</v>
      </c>
      <c r="E30" s="78">
        <f t="shared" si="2"/>
        <v>3.7764350453172203E-2</v>
      </c>
      <c r="F30" s="75">
        <f t="shared" si="3"/>
        <v>0.99999999999999989</v>
      </c>
      <c r="G30" s="33"/>
      <c r="H30" s="33"/>
      <c r="I30" s="33"/>
      <c r="J30" s="33"/>
      <c r="K30" s="33"/>
      <c r="L30" s="68" t="s">
        <v>13</v>
      </c>
      <c r="M30" s="15">
        <v>4</v>
      </c>
      <c r="N30" s="40">
        <f>$E$27/$F$27</f>
        <v>0.46666666666666667</v>
      </c>
    </row>
    <row r="31" spans="1:14">
      <c r="A31" s="33"/>
      <c r="B31" s="33"/>
      <c r="C31" s="33" t="s">
        <v>66</v>
      </c>
      <c r="D31" s="33">
        <f>SUM(D26:D30)</f>
        <v>151.31428571428572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4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1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4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1:14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ht="45" customHeight="1">
      <c r="A38" s="335" t="s">
        <v>77</v>
      </c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"/>
      <c r="M38" s="33"/>
      <c r="N38" s="33"/>
    </row>
    <row r="39" spans="1:14" ht="45" customHeight="1">
      <c r="A39" s="33"/>
      <c r="B39" s="33"/>
      <c r="C39" s="332" t="s">
        <v>76</v>
      </c>
      <c r="D39" s="334"/>
      <c r="E39" s="334"/>
      <c r="F39" s="334"/>
      <c r="G39" s="334"/>
      <c r="H39" s="334"/>
      <c r="I39" s="334"/>
      <c r="J39" s="334"/>
      <c r="K39" s="334"/>
      <c r="L39" s="33"/>
      <c r="M39" s="33"/>
      <c r="N39" s="33"/>
    </row>
    <row r="40" spans="1:14" ht="32.25" customHeight="1" thickBo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4" ht="32.25" thickBot="1">
      <c r="A41" s="33"/>
      <c r="B41" s="33"/>
      <c r="C41" s="6" t="s">
        <v>7</v>
      </c>
      <c r="D41" s="6" t="s">
        <v>69</v>
      </c>
      <c r="E41" s="6" t="s">
        <v>67</v>
      </c>
      <c r="F41" s="6" t="s">
        <v>68</v>
      </c>
      <c r="G41" s="33"/>
      <c r="H41" s="33"/>
      <c r="I41" s="33"/>
      <c r="J41" s="33"/>
      <c r="K41" s="33"/>
      <c r="L41" s="33"/>
      <c r="M41" s="33"/>
      <c r="N41" s="33"/>
    </row>
    <row r="42" spans="1:14" ht="16.5" thickBot="1">
      <c r="A42" s="33"/>
      <c r="B42" s="33"/>
      <c r="C42" s="73" t="s">
        <v>13</v>
      </c>
      <c r="D42" s="10">
        <f>2*$M$19+3*$M$30</f>
        <v>18</v>
      </c>
      <c r="E42" s="37">
        <f>D42/$D$47</f>
        <v>0.24</v>
      </c>
      <c r="F42" s="9">
        <f>E42</f>
        <v>0.24</v>
      </c>
      <c r="G42" s="33"/>
      <c r="H42" s="33"/>
      <c r="I42" s="33"/>
      <c r="J42" s="33"/>
      <c r="K42" s="33"/>
      <c r="L42" s="33"/>
      <c r="M42" s="33"/>
      <c r="N42" s="33"/>
    </row>
    <row r="43" spans="1:14" ht="16.5" thickBot="1">
      <c r="A43" s="33"/>
      <c r="B43" s="33"/>
      <c r="C43" s="73" t="s">
        <v>11</v>
      </c>
      <c r="D43" s="10">
        <f>2*$M$17+3*$M$28</f>
        <v>17</v>
      </c>
      <c r="E43" s="37">
        <f t="shared" ref="E43:E46" si="4">D43/$D$47</f>
        <v>0.22666666666666666</v>
      </c>
      <c r="F43" s="9">
        <f>F42+E43</f>
        <v>0.46666666666666667</v>
      </c>
      <c r="G43" s="33"/>
      <c r="H43" s="33"/>
      <c r="I43" s="33"/>
      <c r="J43" s="33"/>
      <c r="K43" s="33"/>
      <c r="L43" s="33"/>
      <c r="M43" s="33"/>
      <c r="N43" s="33"/>
    </row>
    <row r="44" spans="1:14" ht="16.5" thickBot="1">
      <c r="A44" s="33"/>
      <c r="B44" s="33"/>
      <c r="C44" s="74" t="s">
        <v>9</v>
      </c>
      <c r="D44" s="77">
        <f>2*$M$15+3*$M$26</f>
        <v>16</v>
      </c>
      <c r="E44" s="78">
        <f t="shared" si="4"/>
        <v>0.21333333333333335</v>
      </c>
      <c r="F44" s="75">
        <f t="shared" ref="F44:F46" si="5">F43+E44</f>
        <v>0.68</v>
      </c>
      <c r="G44" s="33"/>
      <c r="H44" s="33"/>
      <c r="I44" s="33"/>
      <c r="J44" s="33"/>
      <c r="K44" s="33"/>
      <c r="L44" s="33"/>
      <c r="M44" s="33"/>
      <c r="N44" s="33"/>
    </row>
    <row r="45" spans="1:14" ht="16.5" thickBot="1">
      <c r="C45" s="6" t="s">
        <v>10</v>
      </c>
      <c r="D45" s="15">
        <f>2*$M$16+3*$M$27</f>
        <v>13</v>
      </c>
      <c r="E45" s="34">
        <f t="shared" si="4"/>
        <v>0.17333333333333334</v>
      </c>
      <c r="F45" s="14">
        <f t="shared" si="5"/>
        <v>0.85333333333333339</v>
      </c>
      <c r="G45" s="33"/>
      <c r="H45" s="33"/>
      <c r="I45" s="33"/>
      <c r="J45" s="33"/>
      <c r="K45" s="33"/>
    </row>
    <row r="46" spans="1:14" ht="16.5" thickBot="1">
      <c r="C46" s="6" t="s">
        <v>12</v>
      </c>
      <c r="D46" s="15">
        <f>2*$M$18+3*$M$29</f>
        <v>11</v>
      </c>
      <c r="E46" s="34">
        <f t="shared" si="4"/>
        <v>0.14666666666666667</v>
      </c>
      <c r="F46" s="14">
        <f t="shared" si="5"/>
        <v>1</v>
      </c>
    </row>
    <row r="47" spans="1:14">
      <c r="C47" s="33" t="s">
        <v>66</v>
      </c>
      <c r="D47" s="33">
        <f>SUM(D42:D46)</f>
        <v>75</v>
      </c>
    </row>
    <row r="54" spans="3:6" ht="32.25" customHeight="1" thickBot="1"/>
    <row r="55" spans="3:6" ht="32.25" thickBot="1">
      <c r="C55" s="6" t="s">
        <v>7</v>
      </c>
      <c r="D55" s="6" t="s">
        <v>70</v>
      </c>
      <c r="E55" s="6" t="s">
        <v>67</v>
      </c>
      <c r="F55" s="6" t="s">
        <v>68</v>
      </c>
    </row>
    <row r="56" spans="3:6" ht="16.5" thickBot="1">
      <c r="C56" s="73" t="s">
        <v>11</v>
      </c>
      <c r="D56" s="10">
        <f>2*$N$17+3*$N$28</f>
        <v>1.6</v>
      </c>
      <c r="E56" s="37">
        <f>D56/$D$61</f>
        <v>0.32</v>
      </c>
      <c r="F56" s="9">
        <f>E56</f>
        <v>0.32</v>
      </c>
    </row>
    <row r="57" spans="3:6" ht="16.5" thickBot="1">
      <c r="C57" s="73" t="s">
        <v>13</v>
      </c>
      <c r="D57" s="10">
        <f>2*$N$19+3*$N$30</f>
        <v>1.4</v>
      </c>
      <c r="E57" s="37">
        <f t="shared" ref="E57:E60" si="6">D57/$D$61</f>
        <v>0.27999999999999997</v>
      </c>
      <c r="F57" s="9">
        <f>F56+E57</f>
        <v>0.6</v>
      </c>
    </row>
    <row r="58" spans="3:6" ht="16.5" thickBot="1">
      <c r="C58" s="6" t="s">
        <v>9</v>
      </c>
      <c r="D58" s="15">
        <f>2*$N$15+3*$N$26</f>
        <v>1.1764705882352942</v>
      </c>
      <c r="E58" s="34">
        <f t="shared" si="6"/>
        <v>0.23529411764705882</v>
      </c>
      <c r="F58" s="14">
        <f t="shared" ref="F58:F60" si="7">F57+E58</f>
        <v>0.83529411764705874</v>
      </c>
    </row>
    <row r="59" spans="3:6" ht="16.5" thickBot="1">
      <c r="C59" s="6" t="s">
        <v>12</v>
      </c>
      <c r="D59" s="15">
        <f>2*$N$18+3*$N$29</f>
        <v>0.82352941176470595</v>
      </c>
      <c r="E59" s="34">
        <f t="shared" si="6"/>
        <v>0.1647058823529412</v>
      </c>
      <c r="F59" s="14">
        <f t="shared" si="7"/>
        <v>1</v>
      </c>
    </row>
    <row r="60" spans="3:6" ht="16.5" thickBot="1">
      <c r="C60" s="6" t="s">
        <v>10</v>
      </c>
      <c r="D60" s="15">
        <f>2*$N$16+3*$N$27</f>
        <v>0</v>
      </c>
      <c r="E60" s="34">
        <f t="shared" si="6"/>
        <v>0</v>
      </c>
      <c r="F60" s="14">
        <f t="shared" si="7"/>
        <v>1</v>
      </c>
    </row>
    <row r="61" spans="3:6">
      <c r="C61" s="33" t="s">
        <v>66</v>
      </c>
      <c r="D61" s="33">
        <f>SUM(D56:D60)</f>
        <v>5</v>
      </c>
    </row>
  </sheetData>
  <sortState xmlns:xlrd2="http://schemas.microsoft.com/office/spreadsheetml/2017/richdata2" ref="C56:D60">
    <sortCondition descending="1" ref="D56:D60"/>
  </sortState>
  <mergeCells count="4">
    <mergeCell ref="B2:F2"/>
    <mergeCell ref="H2:L2"/>
    <mergeCell ref="C39:K39"/>
    <mergeCell ref="A38:K3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E1D6-92AC-4DC3-86B5-10D8DEDC70D9}">
  <dimension ref="A1:R66"/>
  <sheetViews>
    <sheetView workbookViewId="0">
      <selection activeCell="D71" sqref="D71"/>
    </sheetView>
  </sheetViews>
  <sheetFormatPr baseColWidth="10" defaultColWidth="11.5703125" defaultRowHeight="15.75"/>
  <cols>
    <col min="1" max="1" width="7.5703125" style="2" customWidth="1"/>
    <col min="2" max="2" width="4.28515625" style="2" customWidth="1"/>
    <col min="3" max="15" width="17" style="2" customWidth="1"/>
    <col min="16" max="16384" width="11.5703125" style="2"/>
  </cols>
  <sheetData>
    <row r="1" spans="1:18" ht="16.5" thickBo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>
      <c r="A2" s="33"/>
      <c r="B2" s="328" t="s">
        <v>26</v>
      </c>
      <c r="C2" s="329"/>
      <c r="D2" s="329"/>
      <c r="E2" s="329"/>
      <c r="F2" s="330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ht="16.5" thickBot="1">
      <c r="A3" s="33"/>
      <c r="B3" s="27"/>
      <c r="C3" s="28"/>
      <c r="D3" s="28"/>
      <c r="E3" s="28"/>
      <c r="F3" s="29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t="16.5" thickBot="1">
      <c r="A4" s="33"/>
      <c r="B4" s="27"/>
      <c r="C4" s="6" t="s">
        <v>14</v>
      </c>
      <c r="D4" s="60" t="s">
        <v>27</v>
      </c>
      <c r="E4" s="61" t="s">
        <v>28</v>
      </c>
      <c r="F4" s="29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 ht="18.75">
      <c r="A5" s="33"/>
      <c r="B5" s="27"/>
      <c r="C5" s="79" t="s">
        <v>78</v>
      </c>
      <c r="D5" s="63">
        <v>150</v>
      </c>
      <c r="E5" s="64">
        <v>855</v>
      </c>
      <c r="F5" s="29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18.75">
      <c r="A6" s="33"/>
      <c r="B6" s="27"/>
      <c r="C6" s="62" t="s">
        <v>79</v>
      </c>
      <c r="D6" s="66">
        <v>15</v>
      </c>
      <c r="E6" s="67">
        <v>985</v>
      </c>
      <c r="F6" s="29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1:18" ht="18.75">
      <c r="A7" s="33"/>
      <c r="B7" s="27"/>
      <c r="C7" s="62" t="s">
        <v>80</v>
      </c>
      <c r="D7" s="66">
        <v>89</v>
      </c>
      <c r="E7" s="67">
        <v>425</v>
      </c>
      <c r="F7" s="29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1:18" ht="18.75">
      <c r="A8" s="33"/>
      <c r="B8" s="27"/>
      <c r="C8" s="62" t="s">
        <v>81</v>
      </c>
      <c r="D8" s="66">
        <v>134</v>
      </c>
      <c r="E8" s="67">
        <v>797</v>
      </c>
      <c r="F8" s="29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 ht="19.5" thickBot="1">
      <c r="A9" s="33"/>
      <c r="B9" s="27"/>
      <c r="C9" s="80" t="s">
        <v>82</v>
      </c>
      <c r="D9" s="69">
        <v>68</v>
      </c>
      <c r="E9" s="70">
        <v>780</v>
      </c>
      <c r="F9" s="29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1:18" ht="16.5" thickBot="1">
      <c r="A10" s="33"/>
      <c r="B10" s="30"/>
      <c r="C10" s="31"/>
      <c r="D10" s="31"/>
      <c r="E10" s="31"/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</row>
    <row r="11" spans="1:18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</row>
    <row r="12" spans="1:18" ht="18">
      <c r="A12" s="33"/>
      <c r="B12" s="33"/>
      <c r="C12" s="72" t="s">
        <v>83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18" ht="16.5" thickBo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</row>
    <row r="14" spans="1:18" ht="32.25" customHeight="1" thickBot="1">
      <c r="A14" s="33"/>
      <c r="B14" s="33"/>
      <c r="C14" s="6" t="s">
        <v>14</v>
      </c>
      <c r="D14" s="6" t="s">
        <v>27</v>
      </c>
      <c r="E14" s="6" t="s">
        <v>67</v>
      </c>
      <c r="F14" s="6" t="s">
        <v>68</v>
      </c>
      <c r="G14" s="33"/>
      <c r="H14" s="33"/>
      <c r="I14" s="33"/>
      <c r="J14" s="33"/>
      <c r="K14" s="33"/>
      <c r="L14" s="6" t="s">
        <v>14</v>
      </c>
      <c r="M14" s="6" t="s">
        <v>69</v>
      </c>
      <c r="N14" s="6" t="s">
        <v>70</v>
      </c>
      <c r="O14" s="33"/>
      <c r="P14" s="33"/>
      <c r="Q14" s="33"/>
      <c r="R14" s="33"/>
    </row>
    <row r="15" spans="1:18" ht="19.5" thickBot="1">
      <c r="A15" s="33"/>
      <c r="B15" s="33"/>
      <c r="C15" s="73" t="s">
        <v>78</v>
      </c>
      <c r="D15" s="10">
        <v>150</v>
      </c>
      <c r="E15" s="37">
        <f>D15/$D$20</f>
        <v>0.32894736842105265</v>
      </c>
      <c r="F15" s="9">
        <f>E15</f>
        <v>0.32894736842105265</v>
      </c>
      <c r="G15" s="33"/>
      <c r="H15" s="33"/>
      <c r="I15" s="33"/>
      <c r="J15" s="33"/>
      <c r="K15" s="33"/>
      <c r="L15" s="113" t="s">
        <v>78</v>
      </c>
      <c r="M15" s="289">
        <v>5</v>
      </c>
      <c r="N15" s="293">
        <f>$E$15/$F$17</f>
        <v>0.40214477211796246</v>
      </c>
      <c r="O15" s="33"/>
      <c r="P15" s="33"/>
      <c r="Q15" s="33"/>
      <c r="R15" s="33"/>
    </row>
    <row r="16" spans="1:18" ht="19.5" thickBot="1">
      <c r="A16" s="33"/>
      <c r="B16" s="33"/>
      <c r="C16" s="73" t="s">
        <v>81</v>
      </c>
      <c r="D16" s="10">
        <v>134</v>
      </c>
      <c r="E16" s="37">
        <f t="shared" ref="E16:E19" si="0">D16/$D$20</f>
        <v>0.29385964912280704</v>
      </c>
      <c r="F16" s="9">
        <f>F15+E16</f>
        <v>0.6228070175438597</v>
      </c>
      <c r="G16" s="33"/>
      <c r="H16" s="33"/>
      <c r="I16" s="33"/>
      <c r="J16" s="33"/>
      <c r="K16" s="33"/>
      <c r="L16" s="113" t="s">
        <v>79</v>
      </c>
      <c r="M16" s="289">
        <v>1</v>
      </c>
      <c r="N16" s="293">
        <v>0</v>
      </c>
      <c r="O16" s="33"/>
      <c r="P16" s="33"/>
      <c r="Q16" s="33"/>
      <c r="R16" s="33"/>
    </row>
    <row r="17" spans="1:18" ht="19.5" thickBot="1">
      <c r="A17" s="33"/>
      <c r="B17" s="33"/>
      <c r="C17" s="73" t="s">
        <v>80</v>
      </c>
      <c r="D17" s="10">
        <v>89</v>
      </c>
      <c r="E17" s="37">
        <f t="shared" si="0"/>
        <v>0.19517543859649122</v>
      </c>
      <c r="F17" s="9">
        <f t="shared" ref="F17:F19" si="1">F16+E17</f>
        <v>0.81798245614035092</v>
      </c>
      <c r="G17" s="33"/>
      <c r="H17" s="33"/>
      <c r="I17" s="33"/>
      <c r="J17" s="33"/>
      <c r="K17" s="33"/>
      <c r="L17" s="113" t="s">
        <v>80</v>
      </c>
      <c r="M17" s="289">
        <v>3</v>
      </c>
      <c r="N17" s="293">
        <f>$E$17/$F$17</f>
        <v>0.23860589812332439</v>
      </c>
      <c r="O17" s="33"/>
      <c r="P17" s="33"/>
      <c r="Q17" s="33"/>
      <c r="R17" s="33"/>
    </row>
    <row r="18" spans="1:18" ht="19.5" thickBot="1">
      <c r="A18" s="33"/>
      <c r="B18" s="33"/>
      <c r="C18" s="6" t="s">
        <v>82</v>
      </c>
      <c r="D18" s="15">
        <v>68</v>
      </c>
      <c r="E18" s="34">
        <f t="shared" si="0"/>
        <v>0.14912280701754385</v>
      </c>
      <c r="F18" s="14">
        <f t="shared" si="1"/>
        <v>0.9671052631578948</v>
      </c>
      <c r="G18" s="33"/>
      <c r="H18" s="33"/>
      <c r="I18" s="33"/>
      <c r="J18" s="33"/>
      <c r="K18" s="33"/>
      <c r="L18" s="113" t="s">
        <v>81</v>
      </c>
      <c r="M18" s="289">
        <v>4</v>
      </c>
      <c r="N18" s="293">
        <f>$E$16/$F$17</f>
        <v>0.35924932975871315</v>
      </c>
      <c r="O18" s="33"/>
      <c r="P18" s="33"/>
      <c r="Q18" s="33"/>
      <c r="R18" s="33"/>
    </row>
    <row r="19" spans="1:18" ht="19.5" thickBot="1">
      <c r="A19" s="33"/>
      <c r="B19" s="33"/>
      <c r="C19" s="6" t="s">
        <v>79</v>
      </c>
      <c r="D19" s="15">
        <v>15</v>
      </c>
      <c r="E19" s="34">
        <f t="shared" si="0"/>
        <v>3.2894736842105261E-2</v>
      </c>
      <c r="F19" s="14">
        <f t="shared" si="1"/>
        <v>1</v>
      </c>
      <c r="G19" s="33"/>
      <c r="H19" s="33"/>
      <c r="I19" s="33"/>
      <c r="J19" s="33"/>
      <c r="K19" s="33"/>
      <c r="L19" s="113" t="s">
        <v>82</v>
      </c>
      <c r="M19" s="289">
        <v>2</v>
      </c>
      <c r="N19" s="293">
        <v>0</v>
      </c>
      <c r="O19" s="33"/>
      <c r="P19" s="33"/>
      <c r="Q19" s="33"/>
      <c r="R19" s="33"/>
    </row>
    <row r="20" spans="1:18">
      <c r="A20" s="33"/>
      <c r="B20" s="33"/>
      <c r="C20" s="33" t="s">
        <v>66</v>
      </c>
      <c r="D20" s="33">
        <f>SUM(D15:D19)</f>
        <v>456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</row>
    <row r="21" spans="1:18" ht="16.5" thickBo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</row>
    <row r="22" spans="1:18" ht="32.25" thickBot="1">
      <c r="A22" s="33"/>
      <c r="B22" s="33"/>
      <c r="C22" s="6" t="s">
        <v>14</v>
      </c>
      <c r="D22" s="6" t="s">
        <v>84</v>
      </c>
      <c r="E22" s="6" t="s">
        <v>67</v>
      </c>
      <c r="F22" s="6" t="s">
        <v>68</v>
      </c>
      <c r="G22" s="33"/>
      <c r="H22" s="33"/>
      <c r="I22" s="33"/>
      <c r="J22" s="33"/>
      <c r="K22" s="33"/>
      <c r="L22" s="6" t="s">
        <v>14</v>
      </c>
      <c r="M22" s="6" t="s">
        <v>69</v>
      </c>
      <c r="N22" s="6" t="s">
        <v>70</v>
      </c>
      <c r="O22" s="33"/>
      <c r="P22" s="33"/>
      <c r="Q22" s="33"/>
      <c r="R22" s="33"/>
    </row>
    <row r="23" spans="1:18" ht="19.5" thickBot="1">
      <c r="A23" s="33"/>
      <c r="B23" s="33"/>
      <c r="C23" s="73" t="s">
        <v>79</v>
      </c>
      <c r="D23" s="35">
        <f>$E$6/$D$6</f>
        <v>65.666666666666671</v>
      </c>
      <c r="E23" s="37">
        <f>D23/$D$28</f>
        <v>0.70186466670012082</v>
      </c>
      <c r="F23" s="9">
        <f>E23</f>
        <v>0.70186466670012082</v>
      </c>
      <c r="G23" s="33"/>
      <c r="H23" s="33"/>
      <c r="I23" s="33"/>
      <c r="J23" s="33"/>
      <c r="K23" s="33"/>
      <c r="L23" s="6" t="s">
        <v>78</v>
      </c>
      <c r="M23" s="15">
        <v>2</v>
      </c>
      <c r="N23" s="40">
        <v>0</v>
      </c>
      <c r="O23" s="33"/>
      <c r="P23" s="33"/>
      <c r="Q23" s="33"/>
      <c r="R23" s="33"/>
    </row>
    <row r="24" spans="1:18" ht="19.5" thickBot="1">
      <c r="A24" s="33"/>
      <c r="B24" s="33"/>
      <c r="C24" s="73" t="s">
        <v>82</v>
      </c>
      <c r="D24" s="35">
        <f>$E$9/$D$9</f>
        <v>11.470588235294118</v>
      </c>
      <c r="E24" s="37">
        <f t="shared" ref="E24:E27" si="2">D24/$D$28</f>
        <v>0.12260102419216801</v>
      </c>
      <c r="F24" s="9">
        <f>F23+E24</f>
        <v>0.82446569089228883</v>
      </c>
      <c r="G24" s="33"/>
      <c r="H24" s="33"/>
      <c r="I24" s="33"/>
      <c r="J24" s="33"/>
      <c r="K24" s="33"/>
      <c r="L24" s="113" t="s">
        <v>79</v>
      </c>
      <c r="M24" s="15">
        <v>5</v>
      </c>
      <c r="N24" s="40">
        <f>$E$23/$F$24</f>
        <v>0.85129639044229788</v>
      </c>
      <c r="O24" s="33"/>
      <c r="P24" s="33"/>
      <c r="Q24" s="33"/>
      <c r="R24" s="33"/>
    </row>
    <row r="25" spans="1:18" ht="19.5" thickBot="1">
      <c r="A25" s="33"/>
      <c r="B25" s="33"/>
      <c r="C25" s="6" t="s">
        <v>81</v>
      </c>
      <c r="D25" s="40">
        <f>$E$8/$D$8</f>
        <v>5.9477611940298507</v>
      </c>
      <c r="E25" s="34">
        <f t="shared" si="2"/>
        <v>6.3571422762330049E-2</v>
      </c>
      <c r="F25" s="14">
        <f t="shared" ref="F25:F27" si="3">F24+E25</f>
        <v>0.8880371136546189</v>
      </c>
      <c r="G25" s="33"/>
      <c r="H25" s="33"/>
      <c r="I25" s="33"/>
      <c r="J25" s="33"/>
      <c r="K25" s="33"/>
      <c r="L25" s="6" t="s">
        <v>80</v>
      </c>
      <c r="M25" s="15">
        <v>1</v>
      </c>
      <c r="N25" s="40">
        <v>0</v>
      </c>
      <c r="O25" s="33"/>
      <c r="P25" s="33"/>
      <c r="Q25" s="33"/>
      <c r="R25" s="33"/>
    </row>
    <row r="26" spans="1:18" ht="19.5" thickBot="1">
      <c r="A26" s="33"/>
      <c r="B26" s="33"/>
      <c r="C26" s="6" t="s">
        <v>78</v>
      </c>
      <c r="D26" s="40">
        <f>$E$5/$D$5</f>
        <v>5.7</v>
      </c>
      <c r="E26" s="34">
        <f t="shared" si="2"/>
        <v>6.0923278175492715E-2</v>
      </c>
      <c r="F26" s="14">
        <f t="shared" si="3"/>
        <v>0.9489603918301116</v>
      </c>
      <c r="G26" s="33"/>
      <c r="H26" s="33"/>
      <c r="I26" s="33"/>
      <c r="J26" s="33"/>
      <c r="K26" s="33"/>
      <c r="L26" s="6" t="s">
        <v>81</v>
      </c>
      <c r="M26" s="15">
        <v>3</v>
      </c>
      <c r="N26" s="40">
        <v>0</v>
      </c>
      <c r="O26" s="33"/>
      <c r="P26" s="33"/>
      <c r="Q26" s="33"/>
      <c r="R26" s="33"/>
    </row>
    <row r="27" spans="1:18" ht="19.5" thickBot="1">
      <c r="A27" s="33"/>
      <c r="B27" s="33"/>
      <c r="C27" s="6" t="s">
        <v>80</v>
      </c>
      <c r="D27" s="40">
        <f>$E$7/$D$7</f>
        <v>4.7752808988764048</v>
      </c>
      <c r="E27" s="34">
        <f t="shared" si="2"/>
        <v>5.1039608169888437E-2</v>
      </c>
      <c r="F27" s="14">
        <f t="shared" si="3"/>
        <v>1</v>
      </c>
      <c r="G27" s="33"/>
      <c r="H27" s="33"/>
      <c r="I27" s="33"/>
      <c r="J27" s="33"/>
      <c r="K27" s="33"/>
      <c r="L27" s="113" t="s">
        <v>82</v>
      </c>
      <c r="M27" s="15">
        <v>4</v>
      </c>
      <c r="N27" s="40">
        <f>$E$24/$F$25</f>
        <v>0.13805844632733535</v>
      </c>
      <c r="O27" s="33"/>
      <c r="P27" s="33"/>
      <c r="Q27" s="33"/>
      <c r="R27" s="33"/>
    </row>
    <row r="28" spans="1:18">
      <c r="A28" s="33"/>
      <c r="B28" s="33"/>
      <c r="C28" s="33" t="s">
        <v>66</v>
      </c>
      <c r="D28" s="58">
        <f>SUM(D23:D27)</f>
        <v>93.560296994867045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</row>
    <row r="31" spans="1:18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18" ht="16.5" thickBo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</row>
    <row r="33" spans="1:18" ht="32.25" thickBot="1">
      <c r="A33" s="33"/>
      <c r="B33" s="33"/>
      <c r="C33" s="6" t="s">
        <v>14</v>
      </c>
      <c r="D33" s="6" t="s">
        <v>28</v>
      </c>
      <c r="E33" s="6" t="s">
        <v>67</v>
      </c>
      <c r="F33" s="6" t="s">
        <v>68</v>
      </c>
      <c r="G33" s="33"/>
      <c r="H33" s="33"/>
      <c r="I33" s="33"/>
      <c r="J33" s="33"/>
      <c r="K33" s="33"/>
      <c r="L33" s="6" t="s">
        <v>14</v>
      </c>
      <c r="M33" s="6" t="s">
        <v>69</v>
      </c>
      <c r="N33" s="6" t="s">
        <v>70</v>
      </c>
      <c r="O33" s="33"/>
      <c r="P33" s="33"/>
      <c r="Q33" s="33"/>
      <c r="R33" s="33"/>
    </row>
    <row r="34" spans="1:18" ht="19.5" thickBot="1">
      <c r="A34" s="33"/>
      <c r="B34" s="33"/>
      <c r="C34" s="81" t="s">
        <v>79</v>
      </c>
      <c r="D34" s="82">
        <v>985</v>
      </c>
      <c r="E34" s="37">
        <f>D34/$D$39</f>
        <v>0.25637688703800104</v>
      </c>
      <c r="F34" s="9">
        <f>E34</f>
        <v>0.25637688703800104</v>
      </c>
      <c r="G34" s="33"/>
      <c r="H34" s="33"/>
      <c r="I34" s="33"/>
      <c r="J34" s="33"/>
      <c r="K34" s="33"/>
      <c r="L34" s="116" t="s">
        <v>78</v>
      </c>
      <c r="M34" s="15">
        <v>4</v>
      </c>
      <c r="N34" s="40">
        <f>$E$35/$F$37</f>
        <v>0.25021949078138717</v>
      </c>
      <c r="O34" s="33"/>
      <c r="P34" s="33"/>
      <c r="Q34" s="33"/>
      <c r="R34" s="33"/>
    </row>
    <row r="35" spans="1:18" ht="19.5" thickBot="1">
      <c r="A35" s="33"/>
      <c r="B35" s="33"/>
      <c r="C35" s="83" t="s">
        <v>78</v>
      </c>
      <c r="D35" s="84">
        <v>855</v>
      </c>
      <c r="E35" s="37">
        <f t="shared" ref="E35:E38" si="4">D35/$D$39</f>
        <v>0.22254034357105673</v>
      </c>
      <c r="F35" s="9">
        <f>F34+E35</f>
        <v>0.47891723060905778</v>
      </c>
      <c r="G35" s="33"/>
      <c r="H35" s="33"/>
      <c r="I35" s="33"/>
      <c r="J35" s="33"/>
      <c r="K35" s="33"/>
      <c r="L35" s="294" t="s">
        <v>79</v>
      </c>
      <c r="M35" s="15">
        <v>5</v>
      </c>
      <c r="N35" s="40">
        <f>$E$34/$F$37</f>
        <v>0.28826455955516539</v>
      </c>
      <c r="O35" s="33"/>
      <c r="P35" s="33"/>
      <c r="Q35" s="33"/>
      <c r="R35" s="33"/>
    </row>
    <row r="36" spans="1:18" ht="19.5" thickBot="1">
      <c r="A36" s="33"/>
      <c r="B36" s="33"/>
      <c r="C36" s="83" t="s">
        <v>81</v>
      </c>
      <c r="D36" s="84">
        <v>797</v>
      </c>
      <c r="E36" s="37">
        <f t="shared" si="4"/>
        <v>0.20744403956272775</v>
      </c>
      <c r="F36" s="9">
        <f t="shared" ref="F36:F38" si="5">F35+E36</f>
        <v>0.6863612701717855</v>
      </c>
      <c r="G36" s="33"/>
      <c r="H36" s="33"/>
      <c r="I36" s="33"/>
      <c r="J36" s="33"/>
      <c r="K36" s="33"/>
      <c r="L36" s="294" t="s">
        <v>80</v>
      </c>
      <c r="M36" s="15">
        <v>1</v>
      </c>
      <c r="N36" s="40">
        <v>0</v>
      </c>
      <c r="O36" s="33"/>
      <c r="P36" s="33"/>
      <c r="Q36" s="33"/>
      <c r="R36" s="33"/>
    </row>
    <row r="37" spans="1:18" ht="19.5" thickBot="1">
      <c r="A37" s="33"/>
      <c r="B37" s="33"/>
      <c r="C37" s="83" t="s">
        <v>82</v>
      </c>
      <c r="D37" s="84">
        <v>780</v>
      </c>
      <c r="E37" s="37">
        <f t="shared" si="4"/>
        <v>0.2030192608016658</v>
      </c>
      <c r="F37" s="9">
        <f t="shared" si="5"/>
        <v>0.88938053097345127</v>
      </c>
      <c r="G37" s="33"/>
      <c r="H37" s="33"/>
      <c r="I37" s="33"/>
      <c r="J37" s="33"/>
      <c r="K37" s="33"/>
      <c r="L37" s="294" t="s">
        <v>81</v>
      </c>
      <c r="M37" s="15">
        <v>3</v>
      </c>
      <c r="N37" s="40">
        <f>$E$36/$F$37</f>
        <v>0.23324553702077849</v>
      </c>
      <c r="O37" s="33"/>
      <c r="P37" s="33"/>
      <c r="Q37" s="33"/>
      <c r="R37" s="33"/>
    </row>
    <row r="38" spans="1:18" ht="19.5" thickBot="1">
      <c r="A38" s="33"/>
      <c r="B38" s="33"/>
      <c r="C38" s="80" t="s">
        <v>80</v>
      </c>
      <c r="D38" s="70">
        <v>425</v>
      </c>
      <c r="E38" s="34">
        <f t="shared" si="4"/>
        <v>0.11061946902654868</v>
      </c>
      <c r="F38" s="14">
        <f t="shared" si="5"/>
        <v>1</v>
      </c>
      <c r="G38" s="33"/>
      <c r="H38" s="33"/>
      <c r="I38" s="33"/>
      <c r="J38" s="33"/>
      <c r="K38" s="33"/>
      <c r="L38" s="295" t="s">
        <v>82</v>
      </c>
      <c r="M38" s="15">
        <v>2</v>
      </c>
      <c r="N38" s="40">
        <f>$E$37/$F$37</f>
        <v>0.22827041264266901</v>
      </c>
      <c r="O38" s="33"/>
      <c r="P38" s="33"/>
      <c r="Q38" s="33"/>
      <c r="R38" s="33"/>
    </row>
    <row r="39" spans="1:18">
      <c r="A39" s="33"/>
      <c r="B39" s="33"/>
      <c r="C39" s="33" t="s">
        <v>66</v>
      </c>
      <c r="D39" s="33">
        <f>SUM(D34:D38)</f>
        <v>3842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</row>
    <row r="40" spans="1:18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</row>
    <row r="41" spans="1:18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</row>
    <row r="42" spans="1:18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</row>
    <row r="43" spans="1:18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</row>
    <row r="44" spans="1:18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</row>
    <row r="45" spans="1:18" ht="45" customHeight="1">
      <c r="A45" s="33"/>
      <c r="B45" s="33"/>
      <c r="C45" s="335" t="s">
        <v>87</v>
      </c>
      <c r="D45" s="334"/>
      <c r="E45" s="334"/>
      <c r="F45" s="334"/>
      <c r="G45" s="334"/>
      <c r="H45" s="334"/>
      <c r="I45" s="334"/>
      <c r="J45" s="334"/>
      <c r="K45" s="334"/>
      <c r="L45" s="33"/>
      <c r="M45" s="33"/>
      <c r="N45" s="33"/>
      <c r="O45" s="33"/>
      <c r="P45" s="33"/>
      <c r="Q45" s="33"/>
      <c r="R45" s="33"/>
    </row>
    <row r="46" spans="1:18" ht="45" customHeight="1">
      <c r="A46" s="33"/>
      <c r="B46" s="33" t="s">
        <v>85</v>
      </c>
      <c r="C46" s="332" t="s">
        <v>86</v>
      </c>
      <c r="D46" s="334"/>
      <c r="E46" s="334"/>
      <c r="F46" s="334"/>
      <c r="G46" s="334"/>
      <c r="H46" s="334"/>
      <c r="I46" s="334"/>
      <c r="J46" s="334"/>
      <c r="K46" s="334"/>
      <c r="L46" s="33"/>
      <c r="M46" s="33"/>
      <c r="N46" s="33"/>
      <c r="O46" s="33"/>
      <c r="P46" s="33"/>
      <c r="Q46" s="33"/>
      <c r="R46" s="33"/>
    </row>
    <row r="47" spans="1:18" ht="16.5" thickBo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</row>
    <row r="48" spans="1:18" ht="32.25" thickBot="1">
      <c r="A48" s="33"/>
      <c r="B48" s="33"/>
      <c r="C48" s="6" t="s">
        <v>14</v>
      </c>
      <c r="D48" s="6" t="s">
        <v>69</v>
      </c>
      <c r="E48" s="6" t="s">
        <v>67</v>
      </c>
      <c r="F48" s="6" t="s">
        <v>68</v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</row>
    <row r="49" spans="1:18" ht="19.5" thickBot="1">
      <c r="A49" s="33"/>
      <c r="B49" s="33"/>
      <c r="C49" s="81" t="s">
        <v>79</v>
      </c>
      <c r="D49" s="10">
        <f>2*$M$16+3*$M$24+1*$M$35</f>
        <v>22</v>
      </c>
      <c r="E49" s="37">
        <f>D49/$D$54</f>
        <v>0.24444444444444444</v>
      </c>
      <c r="F49" s="9">
        <f>E49</f>
        <v>0.24444444444444444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</row>
    <row r="50" spans="1:18" ht="19.5" thickBot="1">
      <c r="A50" s="33"/>
      <c r="B50" s="33"/>
      <c r="C50" s="62" t="s">
        <v>78</v>
      </c>
      <c r="D50" s="289">
        <f>2*$M$15+3*$M$23+1*$M$34</f>
        <v>20</v>
      </c>
      <c r="E50" s="290">
        <f t="shared" ref="E50:E53" si="6">D50/$D$54</f>
        <v>0.22222222222222221</v>
      </c>
      <c r="F50" s="14">
        <f>F49+E50</f>
        <v>0.46666666666666667</v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</row>
    <row r="51" spans="1:18" ht="19.5" thickBot="1">
      <c r="A51" s="33"/>
      <c r="B51" s="33"/>
      <c r="C51" s="62" t="s">
        <v>81</v>
      </c>
      <c r="D51" s="289">
        <f>2*$M$18+3*$M$26+1*$M$37</f>
        <v>20</v>
      </c>
      <c r="E51" s="290">
        <f t="shared" si="6"/>
        <v>0.22222222222222221</v>
      </c>
      <c r="F51" s="14">
        <f t="shared" ref="F51:F53" si="7">F50+E51</f>
        <v>0.68888888888888888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1:18" ht="19.5" thickBot="1">
      <c r="A52" s="33"/>
      <c r="B52" s="33"/>
      <c r="C52" s="62" t="s">
        <v>82</v>
      </c>
      <c r="D52" s="289">
        <f>2*$M$19+3*$M$27+1*$M$38</f>
        <v>18</v>
      </c>
      <c r="E52" s="290">
        <f t="shared" si="6"/>
        <v>0.2</v>
      </c>
      <c r="F52" s="14">
        <f t="shared" si="7"/>
        <v>0.88888888888888884</v>
      </c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</row>
    <row r="53" spans="1:18" ht="19.5" thickBot="1">
      <c r="A53" s="33"/>
      <c r="B53" s="33"/>
      <c r="C53" s="80" t="s">
        <v>80</v>
      </c>
      <c r="D53" s="289">
        <f>2*$M$17+3*$M$25+1*$M$36</f>
        <v>10</v>
      </c>
      <c r="E53" s="290">
        <f t="shared" si="6"/>
        <v>0.1111111111111111</v>
      </c>
      <c r="F53" s="14">
        <f t="shared" si="7"/>
        <v>1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</row>
    <row r="54" spans="1:18">
      <c r="A54" s="33"/>
      <c r="B54" s="33"/>
      <c r="C54" s="33" t="s">
        <v>66</v>
      </c>
      <c r="D54" s="33">
        <f>SUM(D49:D53)</f>
        <v>90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</row>
    <row r="55" spans="1:18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</row>
    <row r="56" spans="1:18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</row>
    <row r="58" spans="1:1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</row>
    <row r="59" spans="1:18" ht="16.5" thickBo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</row>
    <row r="60" spans="1:18" ht="32.25" thickBot="1">
      <c r="A60" s="33"/>
      <c r="B60" s="33"/>
      <c r="C60" s="6" t="s">
        <v>14</v>
      </c>
      <c r="D60" s="6" t="s">
        <v>70</v>
      </c>
      <c r="E60" s="6" t="s">
        <v>67</v>
      </c>
      <c r="F60" s="6" t="s">
        <v>68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</row>
    <row r="61" spans="1:18" ht="19.5" thickBot="1">
      <c r="A61" s="33"/>
      <c r="B61" s="33"/>
      <c r="C61" s="81" t="s">
        <v>79</v>
      </c>
      <c r="D61" s="11">
        <f>2*$N$16+3*$N$24+1*$N$35</f>
        <v>2.8421537308820595</v>
      </c>
      <c r="E61" s="37">
        <f>D61/$D$66</f>
        <v>0.47622704579896591</v>
      </c>
      <c r="F61" s="9">
        <f>E61</f>
        <v>0.47622704579896591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</row>
    <row r="62" spans="1:18" ht="19.5" thickBot="1">
      <c r="A62" s="33"/>
      <c r="B62" s="33"/>
      <c r="C62" s="62" t="s">
        <v>78</v>
      </c>
      <c r="D62" s="291">
        <f>2*$N$15+3*$N$23+1*$N$34</f>
        <v>1.0545090350173121</v>
      </c>
      <c r="E62" s="290">
        <f t="shared" ref="E62:E65" si="8">D62/$D$66</f>
        <v>0.17669196323126404</v>
      </c>
      <c r="F62" s="14">
        <f>F61+E62</f>
        <v>0.65291900903022992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</row>
    <row r="63" spans="1:18" ht="19.5" thickBot="1">
      <c r="C63" s="62" t="s">
        <v>81</v>
      </c>
      <c r="D63" s="291">
        <f>2*$N$18+3*$N$26+1*$N$37</f>
        <v>0.95174419653820475</v>
      </c>
      <c r="E63" s="290">
        <f t="shared" si="8"/>
        <v>0.1594728399624728</v>
      </c>
      <c r="F63" s="14">
        <f t="shared" ref="F63:F65" si="9">F62+E63</f>
        <v>0.81239184899270267</v>
      </c>
    </row>
    <row r="64" spans="1:18" ht="19.5" thickBot="1">
      <c r="C64" s="62" t="s">
        <v>82</v>
      </c>
      <c r="D64" s="291">
        <f>2*$N$19+3*$N$27+1*$N$38</f>
        <v>0.6424457516246751</v>
      </c>
      <c r="E64" s="290">
        <f t="shared" si="8"/>
        <v>0.10764725322840434</v>
      </c>
      <c r="F64" s="14">
        <f t="shared" si="9"/>
        <v>0.92003910222110696</v>
      </c>
    </row>
    <row r="65" spans="3:6" ht="19.5" thickBot="1">
      <c r="C65" s="80" t="s">
        <v>80</v>
      </c>
      <c r="D65" s="291">
        <f>2*$N$17+3*$N$25+1*$N$36</f>
        <v>0.47721179624664878</v>
      </c>
      <c r="E65" s="290">
        <f t="shared" si="8"/>
        <v>7.9960897778892953E-2</v>
      </c>
      <c r="F65" s="14">
        <f t="shared" si="9"/>
        <v>0.99999999999999989</v>
      </c>
    </row>
    <row r="66" spans="3:6">
      <c r="C66" s="33" t="s">
        <v>66</v>
      </c>
      <c r="D66" s="58">
        <f>SUM(D61:D65)</f>
        <v>5.9680645103089001</v>
      </c>
    </row>
  </sheetData>
  <sortState xmlns:xlrd2="http://schemas.microsoft.com/office/spreadsheetml/2017/richdata2" ref="C61:D65">
    <sortCondition descending="1" ref="D61:D65"/>
  </sortState>
  <mergeCells count="3">
    <mergeCell ref="B2:F2"/>
    <mergeCell ref="C45:K45"/>
    <mergeCell ref="C46:K4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6"/>
  <sheetViews>
    <sheetView workbookViewId="0">
      <selection activeCell="J18" sqref="J18"/>
    </sheetView>
  </sheetViews>
  <sheetFormatPr baseColWidth="10" defaultRowHeight="16.5"/>
  <cols>
    <col min="1" max="1" width="4.140625" style="48" customWidth="1"/>
    <col min="2" max="15" width="17.42578125" style="48" customWidth="1"/>
    <col min="16" max="16" width="4" style="48" customWidth="1"/>
    <col min="17" max="17" width="6.7109375" style="48" customWidth="1"/>
    <col min="18" max="18" width="4" style="48" customWidth="1"/>
    <col min="19" max="19" width="12.85546875" style="107" customWidth="1"/>
    <col min="20" max="20" width="18.5703125" style="107" customWidth="1"/>
    <col min="21" max="21" width="3.7109375" style="48" customWidth="1"/>
    <col min="22" max="16384" width="11.42578125" style="48"/>
  </cols>
  <sheetData>
    <row r="1" spans="1:22" ht="15.75" thickBo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15.75">
      <c r="A2" s="49"/>
      <c r="B2" s="108"/>
      <c r="C2" s="336" t="s">
        <v>34</v>
      </c>
      <c r="D2" s="336"/>
      <c r="E2" s="336"/>
      <c r="F2" s="109"/>
      <c r="G2" s="49"/>
      <c r="H2" s="49"/>
      <c r="I2" s="333"/>
      <c r="J2" s="333"/>
      <c r="K2" s="49"/>
      <c r="L2" s="49"/>
      <c r="M2" s="49"/>
      <c r="N2" s="333"/>
      <c r="O2" s="333"/>
      <c r="P2" s="49"/>
      <c r="Q2" s="49"/>
      <c r="R2" s="49"/>
      <c r="S2" s="333"/>
      <c r="T2" s="333"/>
      <c r="U2" s="49"/>
      <c r="V2" s="49"/>
    </row>
    <row r="3" spans="1:22" ht="15.75" thickBot="1">
      <c r="A3" s="49"/>
      <c r="B3" s="110"/>
      <c r="C3" s="111"/>
      <c r="D3" s="111"/>
      <c r="E3" s="111"/>
      <c r="F3" s="112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spans="1:22" thickBot="1">
      <c r="A4" s="49"/>
      <c r="B4" s="110"/>
      <c r="C4" s="113" t="s">
        <v>29</v>
      </c>
      <c r="D4" s="114" t="s">
        <v>30</v>
      </c>
      <c r="E4" s="115" t="s">
        <v>27</v>
      </c>
      <c r="F4" s="112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spans="1:22" ht="15.75">
      <c r="A5" s="49"/>
      <c r="B5" s="110"/>
      <c r="C5" s="116" t="s">
        <v>31</v>
      </c>
      <c r="D5" s="117">
        <v>690</v>
      </c>
      <c r="E5" s="118">
        <v>50</v>
      </c>
      <c r="F5" s="112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</row>
    <row r="6" spans="1:22" ht="15.75">
      <c r="A6" s="49"/>
      <c r="B6" s="110"/>
      <c r="C6" s="119" t="s">
        <v>32</v>
      </c>
      <c r="D6" s="120">
        <v>510</v>
      </c>
      <c r="E6" s="121">
        <v>55</v>
      </c>
      <c r="F6" s="112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</row>
    <row r="7" spans="1:22" thickBot="1">
      <c r="A7" s="49"/>
      <c r="B7" s="110"/>
      <c r="C7" s="122" t="s">
        <v>33</v>
      </c>
      <c r="D7" s="123">
        <v>740</v>
      </c>
      <c r="E7" s="124">
        <v>64</v>
      </c>
      <c r="F7" s="112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</row>
    <row r="8" spans="1:22" ht="15.75" thickBot="1">
      <c r="A8" s="49"/>
      <c r="B8" s="125"/>
      <c r="C8" s="126"/>
      <c r="D8" s="126"/>
      <c r="E8" s="126"/>
      <c r="F8" s="127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</row>
    <row r="9" spans="1:22" ht="15.75" thickBo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</row>
    <row r="10" spans="1:22" ht="15">
      <c r="A10" s="49"/>
      <c r="B10" s="49"/>
      <c r="C10" s="280">
        <v>365</v>
      </c>
      <c r="D10" s="165" t="s">
        <v>100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</row>
    <row r="11" spans="1:22" ht="15.75" thickBot="1">
      <c r="A11" s="49"/>
      <c r="B11" s="49"/>
      <c r="C11" s="199">
        <v>16</v>
      </c>
      <c r="D11" s="169" t="s">
        <v>101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</row>
    <row r="12" spans="1:22" thickBot="1">
      <c r="A12" s="49"/>
      <c r="B12" s="250" t="s">
        <v>102</v>
      </c>
      <c r="C12" s="281">
        <f>C10*C11</f>
        <v>5840</v>
      </c>
      <c r="D12" s="28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spans="1:22" ht="15.75" thickBo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 spans="1:22" thickBot="1">
      <c r="A14" s="49"/>
      <c r="B14" s="154" t="s">
        <v>31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spans="1:22" ht="15.75" thickBot="1">
      <c r="A15" s="49"/>
      <c r="B15" s="47" t="s">
        <v>103</v>
      </c>
      <c r="C15" s="157">
        <f>(C12-D5)/E5</f>
        <v>103</v>
      </c>
      <c r="D15" s="49"/>
      <c r="E15" s="337" t="s">
        <v>106</v>
      </c>
      <c r="F15" s="337"/>
      <c r="G15" s="337"/>
      <c r="H15" s="337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 spans="1:22" ht="15.75" thickBot="1">
      <c r="A16" s="49"/>
      <c r="B16" s="47" t="s">
        <v>104</v>
      </c>
      <c r="C16" s="47">
        <f>D5/E5</f>
        <v>13.8</v>
      </c>
      <c r="D16" s="49"/>
      <c r="E16" s="337" t="s">
        <v>107</v>
      </c>
      <c r="F16" s="337"/>
      <c r="G16" s="337"/>
      <c r="H16" s="337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 spans="1:22" ht="15.75" thickBot="1">
      <c r="A17" s="49"/>
      <c r="B17" s="47" t="s">
        <v>105</v>
      </c>
      <c r="C17" s="50">
        <f>C15/(C15+C16)</f>
        <v>0.88184931506849318</v>
      </c>
      <c r="D17" s="49"/>
      <c r="E17" s="337" t="s">
        <v>108</v>
      </c>
      <c r="F17" s="337"/>
      <c r="G17" s="337"/>
      <c r="H17" s="337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ht="15.75" thickBo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thickBot="1">
      <c r="A19" s="49"/>
      <c r="B19" s="154" t="s">
        <v>32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ht="15.75" thickBot="1">
      <c r="A20" s="49"/>
      <c r="B20" s="47" t="s">
        <v>109</v>
      </c>
      <c r="C20" s="155">
        <f>(C12-D6)/E6</f>
        <v>96.909090909090907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ht="15.75" thickBot="1">
      <c r="A21" s="49"/>
      <c r="B21" s="47" t="s">
        <v>110</v>
      </c>
      <c r="C21" s="158">
        <f>D6/E6</f>
        <v>9.2727272727272734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ht="15.75" thickBot="1">
      <c r="A22" s="49"/>
      <c r="B22" s="47" t="s">
        <v>105</v>
      </c>
      <c r="C22" s="156">
        <f>C20/(C20+C21)</f>
        <v>0.91267123287671226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2" ht="15.75" thickBo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2" thickBot="1">
      <c r="A24" s="49"/>
      <c r="B24" s="154" t="s">
        <v>31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2" ht="15.75" thickBot="1">
      <c r="A25" s="49"/>
      <c r="B25" s="47" t="s">
        <v>109</v>
      </c>
      <c r="C25" s="155">
        <f>(C12-D7)/E7</f>
        <v>79.6875</v>
      </c>
      <c r="D25" s="49"/>
      <c r="E25" s="338" t="s">
        <v>113</v>
      </c>
      <c r="F25" s="338"/>
      <c r="G25" s="33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2" ht="15.75" thickBot="1">
      <c r="A26" s="49"/>
      <c r="B26" s="47" t="s">
        <v>110</v>
      </c>
      <c r="C26" s="155">
        <f>D7/E7</f>
        <v>11.5625</v>
      </c>
      <c r="D26" s="49"/>
      <c r="E26" s="339" t="s">
        <v>112</v>
      </c>
      <c r="F26" s="339"/>
      <c r="G26" s="33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ht="15.75" thickBot="1">
      <c r="A27" s="49"/>
      <c r="B27" s="47" t="s">
        <v>105</v>
      </c>
      <c r="C27" s="50">
        <f>C25/(C25+C26)</f>
        <v>0.87328767123287676</v>
      </c>
      <c r="D27" s="49"/>
      <c r="E27" s="340" t="s">
        <v>111</v>
      </c>
      <c r="F27" s="340"/>
      <c r="G27" s="340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 ht="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 ht="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 ht="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2" ht="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2" ht="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ht="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ht="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</sheetData>
  <mergeCells count="10">
    <mergeCell ref="E16:H16"/>
    <mergeCell ref="E17:H17"/>
    <mergeCell ref="E25:G25"/>
    <mergeCell ref="E26:G26"/>
    <mergeCell ref="E27:G27"/>
    <mergeCell ref="C2:E2"/>
    <mergeCell ref="I2:J2"/>
    <mergeCell ref="N2:O2"/>
    <mergeCell ref="S2:T2"/>
    <mergeCell ref="E15:H15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7F57-716B-4C8C-B85D-FBFA03D8F59F}">
  <dimension ref="A1:R26"/>
  <sheetViews>
    <sheetView workbookViewId="0">
      <selection activeCell="E23" sqref="E23"/>
    </sheetView>
  </sheetViews>
  <sheetFormatPr baseColWidth="10" defaultRowHeight="15.75"/>
  <cols>
    <col min="1" max="10" width="17.42578125" style="49" customWidth="1"/>
    <col min="11" max="12" width="17.42578125" style="285" customWidth="1"/>
    <col min="13" max="13" width="17.42578125" style="243" customWidth="1"/>
    <col min="14" max="18" width="17.42578125" style="49" customWidth="1"/>
    <col min="19" max="16384" width="11.42578125" style="49"/>
  </cols>
  <sheetData>
    <row r="1" spans="1:18" ht="16.5" thickBot="1">
      <c r="N1" s="285"/>
      <c r="O1" s="285"/>
      <c r="P1" s="285"/>
      <c r="Q1" s="285"/>
    </row>
    <row r="2" spans="1:18" ht="16.5" thickBot="1">
      <c r="A2" s="111"/>
      <c r="B2" s="108"/>
      <c r="C2" s="336" t="s">
        <v>24</v>
      </c>
      <c r="D2" s="336"/>
      <c r="E2" s="109"/>
      <c r="G2" s="250" t="s">
        <v>133</v>
      </c>
      <c r="H2" s="279">
        <v>150</v>
      </c>
      <c r="I2" s="178"/>
      <c r="N2" s="285"/>
      <c r="O2" s="285"/>
      <c r="P2" s="285"/>
      <c r="Q2" s="285"/>
    </row>
    <row r="3" spans="1:18" ht="16.5" thickBot="1">
      <c r="A3" s="111"/>
      <c r="B3" s="110"/>
      <c r="C3" s="111"/>
      <c r="D3" s="111"/>
      <c r="E3" s="112"/>
      <c r="N3" s="285"/>
      <c r="O3" s="285"/>
      <c r="P3" s="285"/>
      <c r="Q3" s="285"/>
    </row>
    <row r="4" spans="1:18" ht="19.5" thickBot="1">
      <c r="A4" s="111"/>
      <c r="B4" s="110"/>
      <c r="C4" s="128" t="s">
        <v>95</v>
      </c>
      <c r="D4" s="61" t="s">
        <v>27</v>
      </c>
      <c r="E4" s="112"/>
      <c r="G4" s="159" t="s">
        <v>95</v>
      </c>
      <c r="H4" s="160" t="s">
        <v>27</v>
      </c>
      <c r="I4" s="159" t="s">
        <v>114</v>
      </c>
      <c r="J4" s="160" t="s">
        <v>115</v>
      </c>
      <c r="K4" s="296"/>
      <c r="L4" s="193" t="s">
        <v>144</v>
      </c>
      <c r="R4" s="178"/>
    </row>
    <row r="5" spans="1:18" ht="16.5" thickBot="1">
      <c r="A5" s="111"/>
      <c r="B5" s="110"/>
      <c r="C5" s="129">
        <v>1</v>
      </c>
      <c r="D5" s="130">
        <v>40</v>
      </c>
      <c r="E5" s="112"/>
      <c r="G5" s="171">
        <v>1</v>
      </c>
      <c r="H5" s="172">
        <v>40</v>
      </c>
      <c r="I5" s="173">
        <f>H5</f>
        <v>40</v>
      </c>
      <c r="J5" s="297">
        <f>I5/$H$2</f>
        <v>0.26666666666666666</v>
      </c>
      <c r="K5" s="302"/>
      <c r="L5" s="303">
        <f>1-J5</f>
        <v>0.73333333333333339</v>
      </c>
      <c r="N5" s="178"/>
      <c r="O5" s="178"/>
      <c r="P5" s="178"/>
      <c r="Q5" s="178"/>
    </row>
    <row r="6" spans="1:18" ht="16.5" thickBot="1">
      <c r="A6" s="111"/>
      <c r="B6" s="110"/>
      <c r="C6" s="131">
        <f>C5+1</f>
        <v>2</v>
      </c>
      <c r="D6" s="132">
        <v>17</v>
      </c>
      <c r="E6" s="112"/>
      <c r="G6" s="131">
        <f>G5+1</f>
        <v>2</v>
      </c>
      <c r="H6" s="161">
        <v>17</v>
      </c>
      <c r="I6" s="162">
        <f>I5+H6</f>
        <v>57</v>
      </c>
      <c r="J6" s="298">
        <f t="shared" ref="J6:J19" si="0">I6/$H$2</f>
        <v>0.38</v>
      </c>
      <c r="K6" s="296"/>
      <c r="L6" s="301">
        <f t="shared" ref="L6:L19" si="1">1-J6</f>
        <v>0.62</v>
      </c>
      <c r="N6" s="178"/>
      <c r="O6" s="178"/>
      <c r="P6" s="178"/>
      <c r="Q6" s="178"/>
    </row>
    <row r="7" spans="1:18" ht="16.5" thickBot="1">
      <c r="A7" s="111"/>
      <c r="B7" s="110"/>
      <c r="C7" s="131">
        <f t="shared" ref="C7:C19" si="2">C6+1</f>
        <v>3</v>
      </c>
      <c r="D7" s="132">
        <v>4</v>
      </c>
      <c r="E7" s="112"/>
      <c r="G7" s="131">
        <f t="shared" ref="G7:G19" si="3">G6+1</f>
        <v>3</v>
      </c>
      <c r="H7" s="161">
        <v>4</v>
      </c>
      <c r="I7" s="162">
        <f t="shared" ref="I7:I19" si="4">I6+H7</f>
        <v>61</v>
      </c>
      <c r="J7" s="298">
        <f t="shared" si="0"/>
        <v>0.40666666666666668</v>
      </c>
      <c r="K7" s="296"/>
      <c r="L7" s="301">
        <f t="shared" si="1"/>
        <v>0.59333333333333327</v>
      </c>
      <c r="N7" s="178"/>
      <c r="O7" s="178"/>
      <c r="P7" s="178"/>
      <c r="Q7" s="178"/>
    </row>
    <row r="8" spans="1:18" ht="16.5" thickBot="1">
      <c r="A8" s="111"/>
      <c r="B8" s="110"/>
      <c r="C8" s="131">
        <f t="shared" si="2"/>
        <v>4</v>
      </c>
      <c r="D8" s="132">
        <v>3</v>
      </c>
      <c r="E8" s="112"/>
      <c r="G8" s="131">
        <f t="shared" si="3"/>
        <v>4</v>
      </c>
      <c r="H8" s="161">
        <v>3</v>
      </c>
      <c r="I8" s="162">
        <f t="shared" si="4"/>
        <v>64</v>
      </c>
      <c r="J8" s="298">
        <f t="shared" si="0"/>
        <v>0.42666666666666669</v>
      </c>
      <c r="K8" s="296"/>
      <c r="L8" s="301">
        <f t="shared" si="1"/>
        <v>0.57333333333333325</v>
      </c>
      <c r="N8" s="178"/>
      <c r="O8" s="178"/>
      <c r="P8" s="178"/>
      <c r="Q8" s="178"/>
    </row>
    <row r="9" spans="1:18" ht="16.5" thickBot="1">
      <c r="B9" s="110"/>
      <c r="C9" s="131">
        <f t="shared" si="2"/>
        <v>5</v>
      </c>
      <c r="D9" s="132">
        <v>3</v>
      </c>
      <c r="E9" s="112"/>
      <c r="G9" s="131">
        <f t="shared" si="3"/>
        <v>5</v>
      </c>
      <c r="H9" s="161">
        <v>3</v>
      </c>
      <c r="I9" s="162">
        <f t="shared" si="4"/>
        <v>67</v>
      </c>
      <c r="J9" s="298">
        <f t="shared" si="0"/>
        <v>0.44666666666666666</v>
      </c>
      <c r="K9" s="296"/>
      <c r="L9" s="301">
        <f t="shared" si="1"/>
        <v>0.55333333333333334</v>
      </c>
      <c r="N9" s="178"/>
      <c r="O9" s="178"/>
      <c r="P9" s="178"/>
      <c r="Q9" s="178"/>
    </row>
    <row r="10" spans="1:18" ht="16.5" thickBot="1">
      <c r="B10" s="110"/>
      <c r="C10" s="131">
        <f t="shared" si="2"/>
        <v>6</v>
      </c>
      <c r="D10" s="132">
        <v>2</v>
      </c>
      <c r="E10" s="112"/>
      <c r="G10" s="131">
        <f t="shared" si="3"/>
        <v>6</v>
      </c>
      <c r="H10" s="161">
        <v>2</v>
      </c>
      <c r="I10" s="162">
        <f t="shared" si="4"/>
        <v>69</v>
      </c>
      <c r="J10" s="298">
        <f t="shared" si="0"/>
        <v>0.46</v>
      </c>
      <c r="K10" s="296"/>
      <c r="L10" s="301">
        <f t="shared" si="1"/>
        <v>0.54</v>
      </c>
      <c r="N10" s="178"/>
      <c r="O10" s="178"/>
      <c r="P10" s="178"/>
      <c r="Q10" s="178"/>
    </row>
    <row r="11" spans="1:18" ht="16.5" thickBot="1">
      <c r="B11" s="110"/>
      <c r="C11" s="131">
        <f t="shared" si="2"/>
        <v>7</v>
      </c>
      <c r="D11" s="132">
        <v>2</v>
      </c>
      <c r="E11" s="112"/>
      <c r="G11" s="131">
        <f t="shared" si="3"/>
        <v>7</v>
      </c>
      <c r="H11" s="161">
        <v>2</v>
      </c>
      <c r="I11" s="162">
        <f t="shared" si="4"/>
        <v>71</v>
      </c>
      <c r="J11" s="298">
        <f t="shared" si="0"/>
        <v>0.47333333333333333</v>
      </c>
      <c r="K11" s="296"/>
      <c r="L11" s="301">
        <f t="shared" si="1"/>
        <v>0.52666666666666662</v>
      </c>
    </row>
    <row r="12" spans="1:18" ht="16.5" thickBot="1">
      <c r="B12" s="110"/>
      <c r="C12" s="131">
        <f t="shared" si="2"/>
        <v>8</v>
      </c>
      <c r="D12" s="132">
        <v>2</v>
      </c>
      <c r="E12" s="112"/>
      <c r="G12" s="131">
        <f t="shared" si="3"/>
        <v>8</v>
      </c>
      <c r="H12" s="161">
        <v>2</v>
      </c>
      <c r="I12" s="162">
        <f t="shared" si="4"/>
        <v>73</v>
      </c>
      <c r="J12" s="298">
        <f t="shared" si="0"/>
        <v>0.48666666666666669</v>
      </c>
      <c r="K12" s="296"/>
      <c r="L12" s="301">
        <f t="shared" si="1"/>
        <v>0.51333333333333331</v>
      </c>
    </row>
    <row r="13" spans="1:18" ht="16.5" thickBot="1">
      <c r="B13" s="110"/>
      <c r="C13" s="131">
        <f t="shared" si="2"/>
        <v>9</v>
      </c>
      <c r="D13" s="67">
        <v>2</v>
      </c>
      <c r="E13" s="112"/>
      <c r="G13" s="174">
        <f t="shared" si="3"/>
        <v>9</v>
      </c>
      <c r="H13" s="175">
        <v>2</v>
      </c>
      <c r="I13" s="176">
        <f t="shared" si="4"/>
        <v>75</v>
      </c>
      <c r="J13" s="299">
        <f t="shared" si="0"/>
        <v>0.5</v>
      </c>
      <c r="K13" s="302"/>
      <c r="L13" s="303">
        <f t="shared" si="1"/>
        <v>0.5</v>
      </c>
    </row>
    <row r="14" spans="1:18" ht="16.5" thickBot="1">
      <c r="B14" s="110"/>
      <c r="C14" s="131">
        <f t="shared" si="2"/>
        <v>10</v>
      </c>
      <c r="D14" s="67">
        <v>3</v>
      </c>
      <c r="E14" s="112"/>
      <c r="G14" s="131">
        <f t="shared" si="3"/>
        <v>10</v>
      </c>
      <c r="H14" s="163">
        <v>3</v>
      </c>
      <c r="I14" s="162">
        <f t="shared" si="4"/>
        <v>78</v>
      </c>
      <c r="J14" s="298">
        <f t="shared" si="0"/>
        <v>0.52</v>
      </c>
      <c r="K14" s="296"/>
      <c r="L14" s="301">
        <f t="shared" si="1"/>
        <v>0.48</v>
      </c>
    </row>
    <row r="15" spans="1:18" ht="16.5" thickBot="1">
      <c r="B15" s="110"/>
      <c r="C15" s="131">
        <f t="shared" si="2"/>
        <v>11</v>
      </c>
      <c r="D15" s="132">
        <v>5</v>
      </c>
      <c r="E15" s="112"/>
      <c r="G15" s="131">
        <f t="shared" si="3"/>
        <v>11</v>
      </c>
      <c r="H15" s="161">
        <v>5</v>
      </c>
      <c r="I15" s="162">
        <f t="shared" si="4"/>
        <v>83</v>
      </c>
      <c r="J15" s="298">
        <f t="shared" si="0"/>
        <v>0.55333333333333334</v>
      </c>
      <c r="K15" s="296"/>
      <c r="L15" s="301">
        <f t="shared" si="1"/>
        <v>0.44666666666666666</v>
      </c>
    </row>
    <row r="16" spans="1:18" ht="16.5" thickBot="1">
      <c r="B16" s="110"/>
      <c r="C16" s="131">
        <f t="shared" si="2"/>
        <v>12</v>
      </c>
      <c r="D16" s="132">
        <v>10</v>
      </c>
      <c r="E16" s="112"/>
      <c r="G16" s="131">
        <f t="shared" si="3"/>
        <v>12</v>
      </c>
      <c r="H16" s="161">
        <v>10</v>
      </c>
      <c r="I16" s="162">
        <f t="shared" si="4"/>
        <v>93</v>
      </c>
      <c r="J16" s="298">
        <f t="shared" si="0"/>
        <v>0.62</v>
      </c>
      <c r="K16" s="296"/>
      <c r="L16" s="301">
        <f t="shared" si="1"/>
        <v>0.38</v>
      </c>
    </row>
    <row r="17" spans="2:12" ht="16.5" thickBot="1">
      <c r="B17" s="110"/>
      <c r="C17" s="131">
        <f t="shared" si="2"/>
        <v>13</v>
      </c>
      <c r="D17" s="132">
        <v>13</v>
      </c>
      <c r="E17" s="112"/>
      <c r="G17" s="174">
        <f t="shared" si="3"/>
        <v>13</v>
      </c>
      <c r="H17" s="177">
        <v>13</v>
      </c>
      <c r="I17" s="176">
        <f t="shared" si="4"/>
        <v>106</v>
      </c>
      <c r="J17" s="299">
        <f t="shared" si="0"/>
        <v>0.70666666666666667</v>
      </c>
      <c r="K17" s="302"/>
      <c r="L17" s="303">
        <f t="shared" si="1"/>
        <v>0.29333333333333333</v>
      </c>
    </row>
    <row r="18" spans="2:12" ht="16.5" thickBot="1">
      <c r="B18" s="110"/>
      <c r="C18" s="131">
        <f t="shared" si="2"/>
        <v>14</v>
      </c>
      <c r="D18" s="132">
        <v>19</v>
      </c>
      <c r="E18" s="112"/>
      <c r="G18" s="131">
        <f t="shared" si="3"/>
        <v>14</v>
      </c>
      <c r="H18" s="161">
        <v>19</v>
      </c>
      <c r="I18" s="162">
        <f t="shared" si="4"/>
        <v>125</v>
      </c>
      <c r="J18" s="298">
        <f t="shared" si="0"/>
        <v>0.83333333333333337</v>
      </c>
      <c r="K18" s="296"/>
      <c r="L18" s="301">
        <f t="shared" si="1"/>
        <v>0.16666666666666663</v>
      </c>
    </row>
    <row r="19" spans="2:12" ht="16.5" thickBot="1">
      <c r="B19" s="110"/>
      <c r="C19" s="133">
        <f t="shared" si="2"/>
        <v>15</v>
      </c>
      <c r="D19" s="134">
        <v>25</v>
      </c>
      <c r="E19" s="112"/>
      <c r="G19" s="133">
        <f t="shared" si="3"/>
        <v>15</v>
      </c>
      <c r="H19" s="167">
        <v>25</v>
      </c>
      <c r="I19" s="168">
        <f t="shared" si="4"/>
        <v>150</v>
      </c>
      <c r="J19" s="300">
        <f t="shared" si="0"/>
        <v>1</v>
      </c>
      <c r="K19" s="296"/>
      <c r="L19" s="301">
        <f t="shared" si="1"/>
        <v>0</v>
      </c>
    </row>
    <row r="20" spans="2:12" ht="16.5" thickBot="1">
      <c r="B20" s="125"/>
      <c r="C20" s="126"/>
      <c r="D20" s="126"/>
      <c r="E20" s="127"/>
      <c r="G20" s="71"/>
      <c r="K20" s="296"/>
      <c r="L20" s="296"/>
    </row>
    <row r="21" spans="2:12" ht="19.5" thickBot="1">
      <c r="G21" s="337" t="s">
        <v>214</v>
      </c>
      <c r="H21" s="337"/>
      <c r="I21" s="337"/>
      <c r="J21" s="337"/>
      <c r="K21" s="309" t="s">
        <v>215</v>
      </c>
      <c r="L21" s="6" t="s">
        <v>95</v>
      </c>
    </row>
    <row r="22" spans="2:12" ht="16.5" thickBot="1">
      <c r="G22" s="304"/>
      <c r="H22" s="111"/>
      <c r="K22" s="307">
        <v>0.8</v>
      </c>
      <c r="L22" s="305" t="s">
        <v>216</v>
      </c>
    </row>
    <row r="23" spans="2:12" ht="16.5" thickBot="1">
      <c r="G23" s="304"/>
      <c r="H23" s="111"/>
      <c r="K23" s="308">
        <v>0.5</v>
      </c>
      <c r="L23" s="206">
        <v>9</v>
      </c>
    </row>
    <row r="24" spans="2:12" ht="16.5" thickBot="1">
      <c r="G24" s="304"/>
      <c r="H24" s="111"/>
      <c r="K24" s="307">
        <v>0.3</v>
      </c>
      <c r="L24" s="306">
        <v>13</v>
      </c>
    </row>
    <row r="25" spans="2:12">
      <c r="G25" s="111"/>
      <c r="H25" s="111"/>
      <c r="K25" s="304"/>
    </row>
    <row r="26" spans="2:12">
      <c r="G26" s="111"/>
      <c r="H26" s="111"/>
    </row>
  </sheetData>
  <mergeCells count="2">
    <mergeCell ref="C2:D2"/>
    <mergeCell ref="G21:J2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78EF-B5BE-40AC-B786-635FFC57CF38}">
  <dimension ref="B1:P28"/>
  <sheetViews>
    <sheetView workbookViewId="0">
      <selection activeCell="M16" sqref="M16"/>
    </sheetView>
  </sheetViews>
  <sheetFormatPr baseColWidth="10" defaultRowHeight="15"/>
  <cols>
    <col min="1" max="1" width="4.140625" style="49" customWidth="1"/>
    <col min="2" max="15" width="17.42578125" style="49" customWidth="1"/>
    <col min="16" max="16384" width="11.42578125" style="49"/>
  </cols>
  <sheetData>
    <row r="1" spans="2:16" ht="15.75" thickBot="1"/>
    <row r="2" spans="2:16" ht="16.5" thickBot="1">
      <c r="B2" s="108"/>
      <c r="C2" s="336" t="s">
        <v>25</v>
      </c>
      <c r="D2" s="336"/>
      <c r="E2" s="109"/>
      <c r="G2" s="250" t="s">
        <v>116</v>
      </c>
      <c r="H2" s="279">
        <v>1000</v>
      </c>
      <c r="I2" s="178"/>
    </row>
    <row r="3" spans="2:16" ht="15.75" thickBot="1">
      <c r="B3" s="110"/>
      <c r="C3" s="111"/>
      <c r="D3" s="111"/>
      <c r="E3" s="112"/>
    </row>
    <row r="4" spans="2:16" ht="35.25" thickBot="1">
      <c r="B4" s="110"/>
      <c r="C4" s="86" t="s">
        <v>35</v>
      </c>
      <c r="D4" s="61" t="s">
        <v>96</v>
      </c>
      <c r="E4" s="112"/>
      <c r="G4" s="183" t="s">
        <v>35</v>
      </c>
      <c r="H4" s="160" t="s">
        <v>96</v>
      </c>
      <c r="I4" s="160" t="s">
        <v>117</v>
      </c>
      <c r="J4" s="160" t="s">
        <v>119</v>
      </c>
      <c r="K4" s="160" t="s">
        <v>118</v>
      </c>
    </row>
    <row r="5" spans="2:16">
      <c r="B5" s="110"/>
      <c r="C5" s="135">
        <v>1000</v>
      </c>
      <c r="D5" s="92">
        <v>60</v>
      </c>
      <c r="E5" s="112"/>
      <c r="G5" s="135">
        <v>1000</v>
      </c>
      <c r="H5" s="179">
        <v>60</v>
      </c>
      <c r="I5" s="184">
        <f>H5/$H$2</f>
        <v>0.06</v>
      </c>
      <c r="J5" s="164">
        <f>H5</f>
        <v>60</v>
      </c>
      <c r="K5" s="170">
        <f>J5/G5</f>
        <v>0.06</v>
      </c>
      <c r="M5" s="342" t="s">
        <v>124</v>
      </c>
      <c r="N5" s="343"/>
      <c r="O5" s="343"/>
      <c r="P5" s="344"/>
    </row>
    <row r="6" spans="2:16">
      <c r="B6" s="110"/>
      <c r="C6" s="96">
        <f>C5+1000</f>
        <v>2000</v>
      </c>
      <c r="D6" s="95">
        <v>22</v>
      </c>
      <c r="E6" s="112"/>
      <c r="G6" s="96">
        <f>G5+1000</f>
        <v>2000</v>
      </c>
      <c r="H6" s="180">
        <v>22</v>
      </c>
      <c r="I6" s="182">
        <f t="shared" ref="I6:I19" si="0">H6/$H$2</f>
        <v>2.1999999999999999E-2</v>
      </c>
      <c r="J6" s="162">
        <f>J5+H6</f>
        <v>82</v>
      </c>
      <c r="K6" s="185">
        <f t="shared" ref="K6:K19" si="1">J6/G6</f>
        <v>4.1000000000000002E-2</v>
      </c>
      <c r="M6" s="342" t="s">
        <v>125</v>
      </c>
      <c r="N6" s="343"/>
      <c r="O6" s="343"/>
      <c r="P6" s="344"/>
    </row>
    <row r="7" spans="2:16">
      <c r="B7" s="110"/>
      <c r="C7" s="96">
        <f t="shared" ref="C7:C19" si="2">C6+1000</f>
        <v>3000</v>
      </c>
      <c r="D7" s="95">
        <v>11</v>
      </c>
      <c r="E7" s="112"/>
      <c r="G7" s="96">
        <f t="shared" ref="G7:G19" si="3">G6+1000</f>
        <v>3000</v>
      </c>
      <c r="H7" s="180">
        <v>11</v>
      </c>
      <c r="I7" s="182">
        <f t="shared" si="0"/>
        <v>1.0999999999999999E-2</v>
      </c>
      <c r="J7" s="162">
        <f t="shared" ref="J7:J19" si="4">J6+H7</f>
        <v>93</v>
      </c>
      <c r="K7" s="185">
        <f t="shared" si="1"/>
        <v>3.1E-2</v>
      </c>
    </row>
    <row r="8" spans="2:16">
      <c r="B8" s="110"/>
      <c r="C8" s="96">
        <f t="shared" si="2"/>
        <v>4000</v>
      </c>
      <c r="D8" s="95">
        <v>10</v>
      </c>
      <c r="E8" s="112"/>
      <c r="G8" s="96">
        <f t="shared" si="3"/>
        <v>4000</v>
      </c>
      <c r="H8" s="180">
        <v>10</v>
      </c>
      <c r="I8" s="182">
        <f t="shared" si="0"/>
        <v>0.01</v>
      </c>
      <c r="J8" s="162">
        <f t="shared" si="4"/>
        <v>103</v>
      </c>
      <c r="K8" s="185">
        <f t="shared" si="1"/>
        <v>2.5749999999999999E-2</v>
      </c>
    </row>
    <row r="9" spans="2:16">
      <c r="B9" s="110"/>
      <c r="C9" s="96">
        <f t="shared" si="2"/>
        <v>5000</v>
      </c>
      <c r="D9" s="95">
        <v>8</v>
      </c>
      <c r="E9" s="112"/>
      <c r="G9" s="96">
        <f t="shared" si="3"/>
        <v>5000</v>
      </c>
      <c r="H9" s="180">
        <v>8</v>
      </c>
      <c r="I9" s="182">
        <f t="shared" si="0"/>
        <v>8.0000000000000002E-3</v>
      </c>
      <c r="J9" s="162">
        <f t="shared" si="4"/>
        <v>111</v>
      </c>
      <c r="K9" s="185">
        <f t="shared" si="1"/>
        <v>2.2200000000000001E-2</v>
      </c>
    </row>
    <row r="10" spans="2:16">
      <c r="B10" s="110"/>
      <c r="C10" s="96">
        <f t="shared" si="2"/>
        <v>6000</v>
      </c>
      <c r="D10" s="95">
        <v>10</v>
      </c>
      <c r="E10" s="112"/>
      <c r="G10" s="96">
        <f t="shared" si="3"/>
        <v>6000</v>
      </c>
      <c r="H10" s="180">
        <v>10</v>
      </c>
      <c r="I10" s="182">
        <f t="shared" si="0"/>
        <v>0.01</v>
      </c>
      <c r="J10" s="162">
        <f t="shared" si="4"/>
        <v>121</v>
      </c>
      <c r="K10" s="185">
        <f t="shared" si="1"/>
        <v>2.0166666666666666E-2</v>
      </c>
    </row>
    <row r="11" spans="2:16">
      <c r="B11" s="110"/>
      <c r="C11" s="96">
        <f t="shared" si="2"/>
        <v>7000</v>
      </c>
      <c r="D11" s="95">
        <v>12</v>
      </c>
      <c r="E11" s="112"/>
      <c r="G11" s="96">
        <f t="shared" si="3"/>
        <v>7000</v>
      </c>
      <c r="H11" s="180">
        <v>12</v>
      </c>
      <c r="I11" s="182">
        <f t="shared" si="0"/>
        <v>1.2E-2</v>
      </c>
      <c r="J11" s="162">
        <f t="shared" si="4"/>
        <v>133</v>
      </c>
      <c r="K11" s="185">
        <f t="shared" si="1"/>
        <v>1.9E-2</v>
      </c>
    </row>
    <row r="12" spans="2:16">
      <c r="B12" s="110"/>
      <c r="C12" s="96">
        <f t="shared" si="2"/>
        <v>8000</v>
      </c>
      <c r="D12" s="95">
        <v>11</v>
      </c>
      <c r="E12" s="112"/>
      <c r="G12" s="96">
        <f t="shared" si="3"/>
        <v>8000</v>
      </c>
      <c r="H12" s="180">
        <v>11</v>
      </c>
      <c r="I12" s="182">
        <f t="shared" si="0"/>
        <v>1.0999999999999999E-2</v>
      </c>
      <c r="J12" s="162">
        <f t="shared" si="4"/>
        <v>144</v>
      </c>
      <c r="K12" s="185">
        <f t="shared" si="1"/>
        <v>1.7999999999999999E-2</v>
      </c>
    </row>
    <row r="13" spans="2:16">
      <c r="B13" s="110"/>
      <c r="C13" s="96">
        <f t="shared" si="2"/>
        <v>9000</v>
      </c>
      <c r="D13" s="95">
        <v>10</v>
      </c>
      <c r="E13" s="112"/>
      <c r="G13" s="96">
        <f t="shared" si="3"/>
        <v>9000</v>
      </c>
      <c r="H13" s="180">
        <v>10</v>
      </c>
      <c r="I13" s="182">
        <f t="shared" si="0"/>
        <v>0.01</v>
      </c>
      <c r="J13" s="162">
        <f t="shared" si="4"/>
        <v>154</v>
      </c>
      <c r="K13" s="185">
        <f t="shared" si="1"/>
        <v>1.7111111111111112E-2</v>
      </c>
    </row>
    <row r="14" spans="2:16">
      <c r="B14" s="110"/>
      <c r="C14" s="96">
        <f t="shared" si="2"/>
        <v>10000</v>
      </c>
      <c r="D14" s="95">
        <v>15</v>
      </c>
      <c r="E14" s="112"/>
      <c r="G14" s="96">
        <f t="shared" si="3"/>
        <v>10000</v>
      </c>
      <c r="H14" s="180">
        <v>15</v>
      </c>
      <c r="I14" s="182">
        <f t="shared" si="0"/>
        <v>1.4999999999999999E-2</v>
      </c>
      <c r="J14" s="162">
        <f t="shared" si="4"/>
        <v>169</v>
      </c>
      <c r="K14" s="185">
        <f t="shared" si="1"/>
        <v>1.6899999999999998E-2</v>
      </c>
    </row>
    <row r="15" spans="2:16">
      <c r="B15" s="110"/>
      <c r="C15" s="96">
        <f t="shared" si="2"/>
        <v>11000</v>
      </c>
      <c r="D15" s="95">
        <v>17</v>
      </c>
      <c r="E15" s="112"/>
      <c r="G15" s="96">
        <f t="shared" si="3"/>
        <v>11000</v>
      </c>
      <c r="H15" s="180">
        <v>17</v>
      </c>
      <c r="I15" s="182">
        <f t="shared" si="0"/>
        <v>1.7000000000000001E-2</v>
      </c>
      <c r="J15" s="162">
        <f t="shared" si="4"/>
        <v>186</v>
      </c>
      <c r="K15" s="185">
        <f t="shared" si="1"/>
        <v>1.6909090909090908E-2</v>
      </c>
    </row>
    <row r="16" spans="2:16">
      <c r="B16" s="110"/>
      <c r="C16" s="96">
        <f t="shared" si="2"/>
        <v>12000</v>
      </c>
      <c r="D16" s="95">
        <v>20</v>
      </c>
      <c r="E16" s="112"/>
      <c r="G16" s="96">
        <f t="shared" si="3"/>
        <v>12000</v>
      </c>
      <c r="H16" s="180">
        <v>20</v>
      </c>
      <c r="I16" s="182">
        <f t="shared" si="0"/>
        <v>0.02</v>
      </c>
      <c r="J16" s="162">
        <f t="shared" si="4"/>
        <v>206</v>
      </c>
      <c r="K16" s="185">
        <f t="shared" si="1"/>
        <v>1.7166666666666667E-2</v>
      </c>
    </row>
    <row r="17" spans="2:16">
      <c r="B17" s="110"/>
      <c r="C17" s="96">
        <f t="shared" si="2"/>
        <v>13000</v>
      </c>
      <c r="D17" s="95">
        <v>25</v>
      </c>
      <c r="E17" s="112"/>
      <c r="G17" s="96">
        <f t="shared" si="3"/>
        <v>13000</v>
      </c>
      <c r="H17" s="180">
        <v>25</v>
      </c>
      <c r="I17" s="182">
        <f t="shared" si="0"/>
        <v>2.5000000000000001E-2</v>
      </c>
      <c r="J17" s="162">
        <f t="shared" si="4"/>
        <v>231</v>
      </c>
      <c r="K17" s="185">
        <f t="shared" si="1"/>
        <v>1.776923076923077E-2</v>
      </c>
    </row>
    <row r="18" spans="2:16">
      <c r="B18" s="110"/>
      <c r="C18" s="96">
        <f t="shared" si="2"/>
        <v>14000</v>
      </c>
      <c r="D18" s="95">
        <v>65</v>
      </c>
      <c r="E18" s="112"/>
      <c r="G18" s="96">
        <f t="shared" si="3"/>
        <v>14000</v>
      </c>
      <c r="H18" s="180">
        <v>65</v>
      </c>
      <c r="I18" s="182">
        <f t="shared" si="0"/>
        <v>6.5000000000000002E-2</v>
      </c>
      <c r="J18" s="162">
        <f t="shared" si="4"/>
        <v>296</v>
      </c>
      <c r="K18" s="185">
        <f t="shared" si="1"/>
        <v>2.1142857142857144E-2</v>
      </c>
    </row>
    <row r="19" spans="2:16" ht="15.75" thickBot="1">
      <c r="B19" s="110"/>
      <c r="C19" s="133">
        <f t="shared" si="2"/>
        <v>15000</v>
      </c>
      <c r="D19" s="102">
        <v>90</v>
      </c>
      <c r="E19" s="112"/>
      <c r="G19" s="133">
        <f t="shared" si="3"/>
        <v>15000</v>
      </c>
      <c r="H19" s="181">
        <v>90</v>
      </c>
      <c r="I19" s="186">
        <f t="shared" si="0"/>
        <v>0.09</v>
      </c>
      <c r="J19" s="168">
        <f t="shared" si="4"/>
        <v>386</v>
      </c>
      <c r="K19" s="187">
        <f t="shared" si="1"/>
        <v>2.5733333333333334E-2</v>
      </c>
    </row>
    <row r="20" spans="2:16" ht="15.75" thickBot="1">
      <c r="B20" s="125"/>
      <c r="C20" s="126"/>
      <c r="D20" s="126"/>
      <c r="E20" s="127"/>
      <c r="F20" s="111"/>
    </row>
    <row r="24" spans="2:16">
      <c r="L24" s="341" t="s">
        <v>120</v>
      </c>
      <c r="M24" s="341"/>
      <c r="N24" s="341"/>
      <c r="O24" s="341"/>
      <c r="P24" s="341"/>
    </row>
    <row r="25" spans="2:16" ht="15.75">
      <c r="L25" s="345" t="s">
        <v>121</v>
      </c>
      <c r="M25" s="341"/>
      <c r="N25" s="341"/>
      <c r="O25" s="341"/>
      <c r="P25" s="341"/>
    </row>
    <row r="27" spans="2:16">
      <c r="L27" s="341" t="s">
        <v>122</v>
      </c>
      <c r="M27" s="341"/>
      <c r="N27" s="341"/>
      <c r="O27" s="341"/>
      <c r="P27" s="341"/>
    </row>
    <row r="28" spans="2:16">
      <c r="L28" s="341" t="s">
        <v>123</v>
      </c>
      <c r="M28" s="341"/>
      <c r="N28" s="341"/>
      <c r="O28" s="341"/>
      <c r="P28" s="341"/>
    </row>
  </sheetData>
  <mergeCells count="7">
    <mergeCell ref="L27:P27"/>
    <mergeCell ref="L28:P28"/>
    <mergeCell ref="M5:P5"/>
    <mergeCell ref="M6:P6"/>
    <mergeCell ref="C2:D2"/>
    <mergeCell ref="L24:P24"/>
    <mergeCell ref="L25:P2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D220-0D3B-42F7-B4A2-A2C367E6A859}">
  <dimension ref="B1:O21"/>
  <sheetViews>
    <sheetView workbookViewId="0">
      <selection activeCell="E31" sqref="E31"/>
    </sheetView>
  </sheetViews>
  <sheetFormatPr baseColWidth="10" defaultRowHeight="15"/>
  <cols>
    <col min="1" max="1" width="4.140625" style="49" customWidth="1"/>
    <col min="2" max="15" width="17.42578125" style="49" customWidth="1"/>
    <col min="16" max="16384" width="11.42578125" style="49"/>
  </cols>
  <sheetData>
    <row r="1" spans="2:8" ht="15.75" thickBot="1"/>
    <row r="2" spans="2:8" ht="15.75">
      <c r="B2" s="108"/>
      <c r="C2" s="336" t="s">
        <v>26</v>
      </c>
      <c r="D2" s="336"/>
      <c r="E2" s="109"/>
    </row>
    <row r="3" spans="2:8" ht="15.75" thickBot="1">
      <c r="B3" s="110"/>
      <c r="C3" s="111"/>
      <c r="D3" s="111"/>
      <c r="E3" s="112"/>
    </row>
    <row r="4" spans="2:8" ht="15.75" thickBot="1">
      <c r="B4" s="110"/>
      <c r="C4" s="136" t="s">
        <v>36</v>
      </c>
      <c r="D4" s="137" t="s">
        <v>37</v>
      </c>
      <c r="E4" s="112"/>
      <c r="G4" s="136" t="s">
        <v>36</v>
      </c>
      <c r="H4" s="137" t="s">
        <v>37</v>
      </c>
    </row>
    <row r="5" spans="2:8">
      <c r="B5" s="110"/>
      <c r="C5" s="138">
        <f>1</f>
        <v>1</v>
      </c>
      <c r="D5" s="130">
        <v>55</v>
      </c>
      <c r="E5" s="112"/>
      <c r="G5" s="138">
        <f>1</f>
        <v>1</v>
      </c>
      <c r="H5" s="130">
        <v>55</v>
      </c>
    </row>
    <row r="6" spans="2:8">
      <c r="B6" s="110"/>
      <c r="C6" s="139">
        <f>C5+1</f>
        <v>2</v>
      </c>
      <c r="D6" s="132">
        <v>26</v>
      </c>
      <c r="E6" s="112"/>
      <c r="G6" s="139">
        <f>G5+1</f>
        <v>2</v>
      </c>
      <c r="H6" s="132">
        <v>26</v>
      </c>
    </row>
    <row r="7" spans="2:8">
      <c r="B7" s="110"/>
      <c r="C7" s="139">
        <f t="shared" ref="C7:C14" si="0">C6+1</f>
        <v>3</v>
      </c>
      <c r="D7" s="132">
        <v>13</v>
      </c>
      <c r="E7" s="112"/>
      <c r="G7" s="139">
        <f t="shared" ref="G7:G14" si="1">G6+1</f>
        <v>3</v>
      </c>
      <c r="H7" s="132">
        <v>13</v>
      </c>
    </row>
    <row r="8" spans="2:8">
      <c r="B8" s="110"/>
      <c r="C8" s="139">
        <f t="shared" si="0"/>
        <v>4</v>
      </c>
      <c r="D8" s="132">
        <v>80</v>
      </c>
      <c r="E8" s="112"/>
      <c r="G8" s="139">
        <f t="shared" si="1"/>
        <v>4</v>
      </c>
      <c r="H8" s="132">
        <v>80</v>
      </c>
    </row>
    <row r="9" spans="2:8">
      <c r="B9" s="110"/>
      <c r="C9" s="139">
        <f t="shared" si="0"/>
        <v>5</v>
      </c>
      <c r="D9" s="132">
        <v>41</v>
      </c>
      <c r="E9" s="112"/>
      <c r="G9" s="139">
        <f t="shared" si="1"/>
        <v>5</v>
      </c>
      <c r="H9" s="132">
        <v>41</v>
      </c>
    </row>
    <row r="10" spans="2:8">
      <c r="B10" s="110"/>
      <c r="C10" s="139">
        <f t="shared" si="0"/>
        <v>6</v>
      </c>
      <c r="D10" s="132">
        <v>21</v>
      </c>
      <c r="E10" s="112"/>
      <c r="G10" s="139">
        <f t="shared" si="1"/>
        <v>6</v>
      </c>
      <c r="H10" s="132">
        <v>21</v>
      </c>
    </row>
    <row r="11" spans="2:8">
      <c r="B11" s="110"/>
      <c r="C11" s="139">
        <f t="shared" si="0"/>
        <v>7</v>
      </c>
      <c r="D11" s="132">
        <v>124</v>
      </c>
      <c r="E11" s="112"/>
      <c r="G11" s="139">
        <f t="shared" si="1"/>
        <v>7</v>
      </c>
      <c r="H11" s="132">
        <v>124</v>
      </c>
    </row>
    <row r="12" spans="2:8">
      <c r="B12" s="110"/>
      <c r="C12" s="139">
        <f t="shared" si="0"/>
        <v>8</v>
      </c>
      <c r="D12" s="132">
        <v>35</v>
      </c>
      <c r="E12" s="112"/>
      <c r="G12" s="139">
        <f t="shared" si="1"/>
        <v>8</v>
      </c>
      <c r="H12" s="132">
        <v>35</v>
      </c>
    </row>
    <row r="13" spans="2:8">
      <c r="B13" s="110"/>
      <c r="C13" s="139">
        <f t="shared" si="0"/>
        <v>9</v>
      </c>
      <c r="D13" s="132">
        <v>18</v>
      </c>
      <c r="E13" s="112"/>
      <c r="G13" s="139">
        <f t="shared" si="1"/>
        <v>9</v>
      </c>
      <c r="H13" s="132">
        <v>18</v>
      </c>
    </row>
    <row r="14" spans="2:8" ht="15.75" thickBot="1">
      <c r="B14" s="110"/>
      <c r="C14" s="140">
        <f t="shared" si="0"/>
        <v>10</v>
      </c>
      <c r="D14" s="134">
        <v>26</v>
      </c>
      <c r="E14" s="112"/>
      <c r="G14" s="140">
        <f t="shared" si="1"/>
        <v>10</v>
      </c>
      <c r="H14" s="134">
        <v>26</v>
      </c>
    </row>
    <row r="15" spans="2:8" ht="15.75" thickBot="1">
      <c r="B15" s="125"/>
      <c r="C15" s="126"/>
      <c r="D15" s="126"/>
      <c r="E15" s="127"/>
    </row>
    <row r="16" spans="2:8" ht="15.75" thickBot="1">
      <c r="G16" s="250" t="s">
        <v>126</v>
      </c>
      <c r="H16" s="47">
        <f>SUM(H5:H14)/$G$14</f>
        <v>43.9</v>
      </c>
    </row>
    <row r="17" spans="7:15" ht="15.75" thickBot="1"/>
    <row r="18" spans="7:15">
      <c r="G18" s="190" t="s">
        <v>128</v>
      </c>
      <c r="H18" s="191" t="s">
        <v>127</v>
      </c>
      <c r="I18" s="189" t="s">
        <v>130</v>
      </c>
      <c r="J18" s="109" t="s">
        <v>131</v>
      </c>
    </row>
    <row r="19" spans="7:15">
      <c r="G19" s="162">
        <v>100</v>
      </c>
      <c r="H19" s="162">
        <v>3000</v>
      </c>
      <c r="I19" s="162">
        <v>1</v>
      </c>
      <c r="J19" s="162">
        <v>2</v>
      </c>
    </row>
    <row r="20" spans="7:15" ht="16.5" thickBot="1">
      <c r="I20" s="4"/>
      <c r="J20" s="4"/>
    </row>
    <row r="21" spans="7:15" ht="15.75" thickBot="1">
      <c r="G21" s="47" t="s">
        <v>129</v>
      </c>
      <c r="H21" s="251">
        <f>3/(1*1000+2*3000+97*3000)</f>
        <v>1.0067114093959732E-5</v>
      </c>
      <c r="J21" s="283"/>
      <c r="K21" s="346" t="s">
        <v>132</v>
      </c>
      <c r="L21" s="347"/>
      <c r="M21" s="284"/>
      <c r="N21" s="178"/>
      <c r="O21" s="178"/>
    </row>
  </sheetData>
  <mergeCells count="2">
    <mergeCell ref="C2:D2"/>
    <mergeCell ref="K21:L2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J76"/>
  <sheetViews>
    <sheetView workbookViewId="0">
      <selection activeCell="B2" sqref="B2"/>
    </sheetView>
  </sheetViews>
  <sheetFormatPr baseColWidth="10" defaultColWidth="11.5703125" defaultRowHeight="15"/>
  <cols>
    <col min="1" max="1" width="6.5703125" style="49" customWidth="1"/>
    <col min="2" max="6" width="17.42578125" style="49" customWidth="1"/>
    <col min="7" max="7" width="5.7109375" style="153" customWidth="1"/>
    <col min="8" max="8" width="22" style="153" customWidth="1"/>
    <col min="9" max="11" width="17.42578125" style="49" customWidth="1"/>
    <col min="12" max="12" width="5.7109375" style="153" customWidth="1"/>
    <col min="13" max="14" width="17.42578125" style="49" customWidth="1"/>
    <col min="15" max="16" width="17.42578125" style="85" customWidth="1"/>
    <col min="17" max="17" width="5.7109375" style="85" customWidth="1"/>
    <col min="18" max="18" width="17.42578125" style="85" customWidth="1"/>
    <col min="19" max="19" width="20.85546875" style="85" customWidth="1"/>
    <col min="20" max="35" width="17.42578125" style="85" customWidth="1"/>
    <col min="36" max="36" width="17.42578125" style="49" customWidth="1"/>
    <col min="37" max="16384" width="11.5703125" style="49"/>
  </cols>
  <sheetData>
    <row r="1" spans="2:35" ht="15.75" thickBot="1"/>
    <row r="2" spans="2:35" ht="15.75">
      <c r="B2" s="108"/>
      <c r="C2" s="336" t="s">
        <v>38</v>
      </c>
      <c r="D2" s="336"/>
      <c r="E2" s="109"/>
      <c r="J2" s="333"/>
      <c r="K2" s="333"/>
    </row>
    <row r="3" spans="2:35" ht="15.75" thickBot="1">
      <c r="B3" s="110"/>
      <c r="C3" s="111"/>
      <c r="D3" s="111"/>
      <c r="E3" s="112"/>
    </row>
    <row r="4" spans="2:35" ht="19.5" thickBot="1">
      <c r="B4" s="110"/>
      <c r="C4" s="6" t="s">
        <v>39</v>
      </c>
      <c r="D4" s="6" t="s">
        <v>97</v>
      </c>
      <c r="E4" s="112"/>
    </row>
    <row r="5" spans="2:35">
      <c r="B5" s="110"/>
      <c r="C5" s="141">
        <v>1</v>
      </c>
      <c r="D5" s="141">
        <v>0</v>
      </c>
      <c r="E5" s="112"/>
    </row>
    <row r="6" spans="2:35">
      <c r="B6" s="110"/>
      <c r="C6" s="142">
        <f>C5+1</f>
        <v>2</v>
      </c>
      <c r="D6" s="142">
        <v>0</v>
      </c>
      <c r="E6" s="112"/>
    </row>
    <row r="7" spans="2:35">
      <c r="B7" s="110"/>
      <c r="C7" s="142">
        <f t="shared" ref="C7:C25" si="0">C6+1</f>
        <v>3</v>
      </c>
      <c r="D7" s="142">
        <v>0</v>
      </c>
      <c r="E7" s="112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</row>
    <row r="8" spans="2:35">
      <c r="B8" s="110"/>
      <c r="C8" s="142">
        <f t="shared" si="0"/>
        <v>4</v>
      </c>
      <c r="D8" s="142">
        <v>0</v>
      </c>
      <c r="E8" s="112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</row>
    <row r="9" spans="2:35">
      <c r="B9" s="110"/>
      <c r="C9" s="142">
        <f t="shared" si="0"/>
        <v>5</v>
      </c>
      <c r="D9" s="142">
        <v>1</v>
      </c>
      <c r="E9" s="112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</row>
    <row r="10" spans="2:35">
      <c r="B10" s="110"/>
      <c r="C10" s="142">
        <f t="shared" si="0"/>
        <v>6</v>
      </c>
      <c r="D10" s="142">
        <v>1</v>
      </c>
      <c r="E10" s="112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</row>
    <row r="11" spans="2:35">
      <c r="B11" s="110"/>
      <c r="C11" s="142">
        <f t="shared" si="0"/>
        <v>7</v>
      </c>
      <c r="D11" s="142">
        <v>1</v>
      </c>
      <c r="E11" s="112"/>
    </row>
    <row r="12" spans="2:35">
      <c r="B12" s="110"/>
      <c r="C12" s="142">
        <f t="shared" si="0"/>
        <v>8</v>
      </c>
      <c r="D12" s="142">
        <v>4</v>
      </c>
      <c r="E12" s="112"/>
    </row>
    <row r="13" spans="2:35">
      <c r="B13" s="110"/>
      <c r="C13" s="142">
        <f t="shared" si="0"/>
        <v>9</v>
      </c>
      <c r="D13" s="142">
        <v>2</v>
      </c>
      <c r="E13" s="112"/>
      <c r="R13" s="353" t="s">
        <v>172</v>
      </c>
      <c r="S13" s="354"/>
      <c r="T13" s="354"/>
      <c r="U13" s="354"/>
      <c r="V13" s="355"/>
    </row>
    <row r="14" spans="2:35">
      <c r="B14" s="110"/>
      <c r="C14" s="142">
        <f t="shared" si="0"/>
        <v>10</v>
      </c>
      <c r="D14" s="142">
        <v>1</v>
      </c>
      <c r="E14" s="112"/>
      <c r="R14" s="362" t="s">
        <v>151</v>
      </c>
      <c r="S14" s="363"/>
      <c r="T14" s="363"/>
      <c r="U14" s="363"/>
      <c r="V14" s="364"/>
    </row>
    <row r="15" spans="2:35">
      <c r="B15" s="110"/>
      <c r="C15" s="142">
        <f t="shared" si="0"/>
        <v>11</v>
      </c>
      <c r="D15" s="142">
        <v>13</v>
      </c>
      <c r="E15" s="112"/>
      <c r="R15" s="362" t="s">
        <v>173</v>
      </c>
      <c r="S15" s="363"/>
      <c r="T15" s="363"/>
      <c r="U15" s="363"/>
      <c r="V15" s="364"/>
    </row>
    <row r="16" spans="2:35">
      <c r="B16" s="110"/>
      <c r="C16" s="142">
        <f t="shared" si="0"/>
        <v>12</v>
      </c>
      <c r="D16" s="142">
        <v>2</v>
      </c>
      <c r="E16" s="112"/>
      <c r="R16" s="362" t="s">
        <v>174</v>
      </c>
      <c r="S16" s="363"/>
      <c r="T16" s="363"/>
      <c r="U16" s="363"/>
      <c r="V16" s="364"/>
    </row>
    <row r="17" spans="2:36">
      <c r="B17" s="110"/>
      <c r="C17" s="142">
        <f t="shared" si="0"/>
        <v>13</v>
      </c>
      <c r="D17" s="142">
        <v>10</v>
      </c>
      <c r="E17" s="112"/>
      <c r="I17" s="365" t="s">
        <v>159</v>
      </c>
      <c r="J17" s="366"/>
      <c r="K17" s="367"/>
      <c r="R17" s="362" t="s">
        <v>175</v>
      </c>
      <c r="S17" s="363"/>
      <c r="T17" s="363"/>
      <c r="U17" s="363"/>
      <c r="V17" s="364"/>
    </row>
    <row r="18" spans="2:36">
      <c r="B18" s="110"/>
      <c r="C18" s="143">
        <f t="shared" si="0"/>
        <v>14</v>
      </c>
      <c r="D18" s="143">
        <v>11</v>
      </c>
      <c r="E18" s="112"/>
      <c r="I18" s="371" t="s">
        <v>160</v>
      </c>
      <c r="J18" s="372"/>
      <c r="K18" s="373"/>
      <c r="N18" s="153"/>
      <c r="R18" s="362" t="s">
        <v>176</v>
      </c>
      <c r="S18" s="363"/>
      <c r="T18" s="363"/>
      <c r="U18" s="363"/>
      <c r="V18" s="364"/>
    </row>
    <row r="19" spans="2:36">
      <c r="B19" s="110"/>
      <c r="C19" s="142">
        <f t="shared" si="0"/>
        <v>15</v>
      </c>
      <c r="D19" s="142">
        <v>15</v>
      </c>
      <c r="E19" s="112"/>
      <c r="I19" s="371" t="s">
        <v>161</v>
      </c>
      <c r="J19" s="372"/>
      <c r="K19" s="373"/>
      <c r="N19" s="153"/>
      <c r="R19" s="356" t="s">
        <v>181</v>
      </c>
      <c r="S19" s="357"/>
      <c r="T19" s="357"/>
      <c r="U19" s="357"/>
      <c r="V19" s="358"/>
    </row>
    <row r="20" spans="2:36">
      <c r="B20" s="110"/>
      <c r="C20" s="142">
        <f t="shared" si="0"/>
        <v>16</v>
      </c>
      <c r="D20" s="142">
        <v>25</v>
      </c>
      <c r="E20" s="112"/>
      <c r="I20" s="371" t="s">
        <v>162</v>
      </c>
      <c r="J20" s="372"/>
      <c r="K20" s="373"/>
      <c r="N20" s="365" t="s">
        <v>168</v>
      </c>
      <c r="O20" s="366"/>
      <c r="P20" s="367"/>
      <c r="R20" s="103"/>
      <c r="S20" s="103"/>
      <c r="T20" s="103"/>
      <c r="U20" s="103"/>
      <c r="V20" s="103"/>
    </row>
    <row r="21" spans="2:36">
      <c r="B21" s="110"/>
      <c r="C21" s="142">
        <f t="shared" si="0"/>
        <v>17</v>
      </c>
      <c r="D21" s="142">
        <v>12</v>
      </c>
      <c r="E21" s="112"/>
      <c r="I21" s="371" t="s">
        <v>163</v>
      </c>
      <c r="J21" s="372"/>
      <c r="K21" s="373"/>
      <c r="N21" s="371" t="s">
        <v>169</v>
      </c>
      <c r="O21" s="372"/>
      <c r="P21" s="373"/>
      <c r="R21" s="353" t="s">
        <v>177</v>
      </c>
      <c r="S21" s="354"/>
      <c r="T21" s="354"/>
      <c r="U21" s="354"/>
      <c r="V21" s="355"/>
    </row>
    <row r="22" spans="2:36">
      <c r="B22" s="110"/>
      <c r="C22" s="142">
        <f t="shared" si="0"/>
        <v>18</v>
      </c>
      <c r="D22" s="142">
        <v>16</v>
      </c>
      <c r="E22" s="112"/>
      <c r="I22" s="368" t="s">
        <v>164</v>
      </c>
      <c r="J22" s="369"/>
      <c r="K22" s="370"/>
      <c r="N22" s="368" t="s">
        <v>170</v>
      </c>
      <c r="O22" s="369"/>
      <c r="P22" s="370"/>
      <c r="R22" s="362" t="s">
        <v>178</v>
      </c>
      <c r="S22" s="363"/>
      <c r="T22" s="363"/>
      <c r="U22" s="363"/>
      <c r="V22" s="364"/>
    </row>
    <row r="23" spans="2:36">
      <c r="B23" s="110"/>
      <c r="C23" s="142">
        <f t="shared" si="0"/>
        <v>19</v>
      </c>
      <c r="D23" s="142">
        <v>35</v>
      </c>
      <c r="E23" s="112"/>
      <c r="I23" s="188"/>
      <c r="J23" s="188"/>
      <c r="K23" s="188"/>
      <c r="N23" s="188"/>
      <c r="O23" s="188"/>
      <c r="P23" s="188"/>
      <c r="R23" s="356" t="s">
        <v>179</v>
      </c>
      <c r="S23" s="357"/>
      <c r="T23" s="357"/>
      <c r="U23" s="357"/>
      <c r="V23" s="358"/>
    </row>
    <row r="24" spans="2:36">
      <c r="B24" s="110"/>
      <c r="C24" s="142">
        <f t="shared" si="0"/>
        <v>20</v>
      </c>
      <c r="D24" s="142">
        <v>30</v>
      </c>
      <c r="E24" s="112"/>
      <c r="I24" s="365" t="s">
        <v>165</v>
      </c>
      <c r="J24" s="366"/>
      <c r="K24" s="367"/>
      <c r="N24" s="365" t="s">
        <v>171</v>
      </c>
      <c r="O24" s="366"/>
      <c r="P24" s="367"/>
      <c r="R24" s="103"/>
      <c r="S24" s="103"/>
      <c r="T24" s="103"/>
      <c r="U24" s="103"/>
      <c r="V24" s="103"/>
    </row>
    <row r="25" spans="2:36">
      <c r="B25" s="110"/>
      <c r="C25" s="142">
        <f t="shared" si="0"/>
        <v>21</v>
      </c>
      <c r="D25" s="142">
        <v>39</v>
      </c>
      <c r="E25" s="112"/>
      <c r="I25" s="368" t="s">
        <v>137</v>
      </c>
      <c r="J25" s="369"/>
      <c r="K25" s="370"/>
      <c r="N25" s="368" t="s">
        <v>137</v>
      </c>
      <c r="O25" s="369"/>
      <c r="P25" s="370"/>
      <c r="R25" s="353" t="s">
        <v>166</v>
      </c>
      <c r="S25" s="354"/>
      <c r="T25" s="354"/>
      <c r="U25" s="354"/>
      <c r="V25" s="355"/>
    </row>
    <row r="26" spans="2:36" ht="15.75" thickBot="1">
      <c r="B26" s="110"/>
      <c r="C26" s="144">
        <f>C25+1</f>
        <v>22</v>
      </c>
      <c r="D26" s="144">
        <v>33</v>
      </c>
      <c r="E26" s="112"/>
      <c r="I26" s="188"/>
      <c r="J26" s="188"/>
      <c r="K26" s="188"/>
      <c r="N26" s="188"/>
      <c r="O26" s="188"/>
      <c r="P26" s="188"/>
      <c r="R26" s="356" t="s">
        <v>167</v>
      </c>
      <c r="S26" s="357"/>
      <c r="T26" s="357"/>
      <c r="U26" s="357"/>
      <c r="V26" s="358"/>
    </row>
    <row r="27" spans="2:36" ht="15.75" thickBot="1">
      <c r="B27" s="125"/>
      <c r="C27" s="126"/>
      <c r="D27" s="126"/>
      <c r="E27" s="127"/>
      <c r="I27" s="365" t="s">
        <v>166</v>
      </c>
      <c r="J27" s="366"/>
      <c r="K27" s="367"/>
      <c r="N27" s="365" t="s">
        <v>166</v>
      </c>
      <c r="O27" s="366"/>
      <c r="P27" s="367"/>
      <c r="R27" s="103"/>
      <c r="S27" s="103"/>
      <c r="T27" s="103"/>
      <c r="U27" s="103"/>
      <c r="V27" s="103"/>
    </row>
    <row r="28" spans="2:36" ht="15.75" thickBot="1">
      <c r="I28" s="368" t="s">
        <v>167</v>
      </c>
      <c r="J28" s="369"/>
      <c r="K28" s="370"/>
      <c r="N28" s="368" t="s">
        <v>167</v>
      </c>
      <c r="O28" s="369"/>
      <c r="P28" s="370"/>
      <c r="R28" s="359" t="s">
        <v>180</v>
      </c>
      <c r="S28" s="360"/>
      <c r="T28" s="360"/>
      <c r="U28" s="360"/>
      <c r="V28" s="361"/>
    </row>
    <row r="29" spans="2:36" s="153" customFormat="1" ht="15.75" thickBot="1">
      <c r="B29" s="237" t="s">
        <v>133</v>
      </c>
      <c r="C29" s="238">
        <v>1000</v>
      </c>
      <c r="D29" s="242"/>
      <c r="E29" s="377" t="s">
        <v>158</v>
      </c>
      <c r="F29" s="378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</row>
    <row r="30" spans="2:36" ht="16.5" thickBot="1">
      <c r="I30" s="374" t="s">
        <v>134</v>
      </c>
      <c r="J30" s="375"/>
      <c r="K30" s="376"/>
      <c r="L30" s="212"/>
      <c r="M30" s="152"/>
      <c r="N30" s="374" t="s">
        <v>143</v>
      </c>
      <c r="O30" s="375"/>
      <c r="P30" s="376"/>
      <c r="R30" s="374" t="s">
        <v>149</v>
      </c>
      <c r="S30" s="375"/>
      <c r="T30" s="375"/>
      <c r="U30" s="375"/>
      <c r="V30" s="376"/>
      <c r="AJ30" s="85"/>
    </row>
    <row r="31" spans="2:36" ht="19.5" thickBot="1">
      <c r="C31" s="193" t="s">
        <v>39</v>
      </c>
      <c r="D31" s="193" t="s">
        <v>97</v>
      </c>
      <c r="E31" s="196" t="s">
        <v>114</v>
      </c>
      <c r="F31" s="47" t="s">
        <v>115</v>
      </c>
      <c r="G31" s="111"/>
      <c r="H31" s="152"/>
      <c r="I31" s="47" t="s">
        <v>135</v>
      </c>
      <c r="J31" s="195" t="s">
        <v>136</v>
      </c>
      <c r="K31" s="47" t="s">
        <v>137</v>
      </c>
      <c r="L31" s="111"/>
      <c r="M31" s="152"/>
      <c r="N31" s="47" t="s">
        <v>144</v>
      </c>
      <c r="O31" s="47" t="s">
        <v>145</v>
      </c>
      <c r="P31" s="201" t="s">
        <v>147</v>
      </c>
      <c r="R31" s="189" t="s">
        <v>150</v>
      </c>
      <c r="S31" s="189" t="s">
        <v>151</v>
      </c>
      <c r="T31" s="201" t="s">
        <v>155</v>
      </c>
      <c r="U31" s="201" t="s">
        <v>156</v>
      </c>
      <c r="V31" s="201" t="s">
        <v>157</v>
      </c>
      <c r="AJ31" s="85"/>
    </row>
    <row r="32" spans="2:36" ht="15.75">
      <c r="C32" s="135">
        <v>1</v>
      </c>
      <c r="D32" s="91">
        <v>0</v>
      </c>
      <c r="E32" s="164">
        <f>D32</f>
        <v>0</v>
      </c>
      <c r="F32" s="165">
        <f t="shared" ref="F32:F53" si="1">E32/$C$29</f>
        <v>0</v>
      </c>
      <c r="G32" s="111"/>
      <c r="H32" s="152"/>
      <c r="I32" s="216">
        <f t="shared" ref="I32:I53" si="2">C32*D32</f>
        <v>0</v>
      </c>
      <c r="J32" s="217">
        <f t="shared" ref="J32:J53" si="3">1-EXP(-$I$58*C32)</f>
        <v>4.5071756922511752E-2</v>
      </c>
      <c r="K32" s="218" t="e">
        <f>J32/F32</f>
        <v>#DIV/0!</v>
      </c>
      <c r="L32" s="111"/>
      <c r="M32" s="152"/>
      <c r="N32" s="216">
        <f>1-F32</f>
        <v>1</v>
      </c>
      <c r="O32" s="217">
        <f t="shared" ref="O32:O53" si="4">1-EXP(-$N$54*C32)</f>
        <v>1.4888060396937353E-2</v>
      </c>
      <c r="P32" s="222" t="e">
        <f t="shared" ref="P32:P53" si="5">O32/F32</f>
        <v>#DIV/0!</v>
      </c>
      <c r="R32" s="224">
        <f>LN(C32:C53)</f>
        <v>0</v>
      </c>
      <c r="S32" s="226" t="e">
        <f>LN(-LN(1-F32))</f>
        <v>#NUM!</v>
      </c>
      <c r="T32" s="228"/>
      <c r="U32" s="228"/>
      <c r="V32" s="229"/>
      <c r="AJ32" s="85"/>
    </row>
    <row r="33" spans="3:36" ht="15.75">
      <c r="C33" s="96">
        <f>C32+1</f>
        <v>2</v>
      </c>
      <c r="D33" s="94">
        <v>0</v>
      </c>
      <c r="E33" s="162">
        <f>E32+D33</f>
        <v>0</v>
      </c>
      <c r="F33" s="166">
        <f t="shared" si="1"/>
        <v>0</v>
      </c>
      <c r="G33" s="111"/>
      <c r="H33" s="152"/>
      <c r="I33" s="219">
        <f t="shared" si="2"/>
        <v>0</v>
      </c>
      <c r="J33" s="220">
        <f t="shared" si="3"/>
        <v>8.8112050572941469E-2</v>
      </c>
      <c r="K33" s="221" t="e">
        <f t="shared" ref="K33:K53" si="6">J33/F33</f>
        <v>#DIV/0!</v>
      </c>
      <c r="L33" s="111"/>
      <c r="M33" s="152"/>
      <c r="N33" s="219">
        <f t="shared" ref="N33:N53" si="7">1-F33</f>
        <v>1</v>
      </c>
      <c r="O33" s="220">
        <f t="shared" si="4"/>
        <v>2.9554466451491845E-2</v>
      </c>
      <c r="P33" s="223" t="e">
        <f t="shared" si="5"/>
        <v>#DIV/0!</v>
      </c>
      <c r="R33" s="225">
        <f t="shared" ref="R33:R53" si="8">LN(C33:C54)</f>
        <v>0.69314718055994529</v>
      </c>
      <c r="S33" s="227" t="e">
        <f t="shared" ref="S33:S53" si="9">LN(-LN(1-F33))</f>
        <v>#NUM!</v>
      </c>
      <c r="T33" s="230"/>
      <c r="U33" s="230"/>
      <c r="V33" s="223"/>
      <c r="AJ33" s="85"/>
    </row>
    <row r="34" spans="3:36" ht="15.75">
      <c r="C34" s="96">
        <f t="shared" ref="C34:C52" si="10">C33+1</f>
        <v>3</v>
      </c>
      <c r="D34" s="94">
        <v>0</v>
      </c>
      <c r="E34" s="162">
        <f t="shared" ref="E34:E53" si="11">E33+D34</f>
        <v>0</v>
      </c>
      <c r="F34" s="166">
        <f t="shared" si="1"/>
        <v>0</v>
      </c>
      <c r="G34" s="111"/>
      <c r="H34" s="152"/>
      <c r="I34" s="219">
        <f t="shared" si="2"/>
        <v>0</v>
      </c>
      <c r="J34" s="220">
        <f t="shared" si="3"/>
        <v>0.12921244257008557</v>
      </c>
      <c r="K34" s="221" t="e">
        <f t="shared" si="6"/>
        <v>#DIV/0!</v>
      </c>
      <c r="L34" s="111"/>
      <c r="M34" s="152"/>
      <c r="N34" s="219">
        <f t="shared" si="7"/>
        <v>1</v>
      </c>
      <c r="O34" s="220">
        <f t="shared" si="4"/>
        <v>4.400251816690004E-2</v>
      </c>
      <c r="P34" s="223" t="e">
        <f t="shared" si="5"/>
        <v>#DIV/0!</v>
      </c>
      <c r="R34" s="225">
        <f t="shared" si="8"/>
        <v>1.0986122886681098</v>
      </c>
      <c r="S34" s="227" t="e">
        <f t="shared" si="9"/>
        <v>#NUM!</v>
      </c>
      <c r="T34" s="230"/>
      <c r="U34" s="230"/>
      <c r="V34" s="223"/>
      <c r="AJ34" s="85"/>
    </row>
    <row r="35" spans="3:36" ht="15.75">
      <c r="C35" s="96">
        <f t="shared" si="10"/>
        <v>4</v>
      </c>
      <c r="D35" s="94">
        <v>0</v>
      </c>
      <c r="E35" s="162">
        <f t="shared" si="11"/>
        <v>0</v>
      </c>
      <c r="F35" s="166">
        <f t="shared" si="1"/>
        <v>0</v>
      </c>
      <c r="G35" s="111"/>
      <c r="H35" s="152"/>
      <c r="I35" s="219">
        <f t="shared" si="2"/>
        <v>0</v>
      </c>
      <c r="J35" s="220">
        <f t="shared" si="3"/>
        <v>0.1684603676897144</v>
      </c>
      <c r="K35" s="221" t="e">
        <f t="shared" si="6"/>
        <v>#DIV/0!</v>
      </c>
      <c r="L35" s="111"/>
      <c r="M35" s="152"/>
      <c r="N35" s="219">
        <f t="shared" si="7"/>
        <v>1</v>
      </c>
      <c r="O35" s="220">
        <f t="shared" si="4"/>
        <v>5.823546641575128E-2</v>
      </c>
      <c r="P35" s="223" t="e">
        <f t="shared" si="5"/>
        <v>#DIV/0!</v>
      </c>
      <c r="R35" s="225">
        <f t="shared" si="8"/>
        <v>1.3862943611198906</v>
      </c>
      <c r="S35" s="227" t="e">
        <f t="shared" si="9"/>
        <v>#NUM!</v>
      </c>
      <c r="T35" s="230"/>
      <c r="U35" s="230"/>
      <c r="V35" s="223"/>
      <c r="AJ35" s="85"/>
    </row>
    <row r="36" spans="3:36" ht="15.75">
      <c r="C36" s="96">
        <f t="shared" si="10"/>
        <v>5</v>
      </c>
      <c r="D36" s="94">
        <v>1</v>
      </c>
      <c r="E36" s="162">
        <f t="shared" si="11"/>
        <v>1</v>
      </c>
      <c r="F36" s="166">
        <f t="shared" si="1"/>
        <v>1E-3</v>
      </c>
      <c r="G36" s="111"/>
      <c r="H36" s="152"/>
      <c r="I36" s="199">
        <f t="shared" si="2"/>
        <v>5</v>
      </c>
      <c r="J36" s="162">
        <f t="shared" si="3"/>
        <v>0.20593931986863834</v>
      </c>
      <c r="K36" s="166">
        <f t="shared" si="6"/>
        <v>205.93931986863834</v>
      </c>
      <c r="L36" s="111"/>
      <c r="M36" s="152"/>
      <c r="N36" s="199">
        <f t="shared" si="7"/>
        <v>0.999</v>
      </c>
      <c r="O36" s="162">
        <f t="shared" si="4"/>
        <v>7.2256513671447142E-2</v>
      </c>
      <c r="P36" s="95">
        <f t="shared" si="5"/>
        <v>72.256513671447138</v>
      </c>
      <c r="R36" s="96">
        <f t="shared" si="8"/>
        <v>1.6094379124341003</v>
      </c>
      <c r="S36" s="180">
        <f t="shared" si="9"/>
        <v>-6.9072550705237159</v>
      </c>
      <c r="T36" s="94">
        <f>1-EXP(-((C36/$S$55)^$S$54))</f>
        <v>9.4760018932082968E-4</v>
      </c>
      <c r="U36" s="94">
        <f>LN(-LN(1-T36))</f>
        <v>-6.9611038986166474</v>
      </c>
      <c r="V36" s="95">
        <f>ABS(S36/U36)</f>
        <v>0.99226432633714423</v>
      </c>
      <c r="AJ36" s="85"/>
    </row>
    <row r="37" spans="3:36" ht="15.75">
      <c r="C37" s="96">
        <f t="shared" si="10"/>
        <v>6</v>
      </c>
      <c r="D37" s="94">
        <v>1</v>
      </c>
      <c r="E37" s="162">
        <f t="shared" si="11"/>
        <v>2</v>
      </c>
      <c r="F37" s="166">
        <f t="shared" si="1"/>
        <v>2E-3</v>
      </c>
      <c r="G37" s="111"/>
      <c r="H37" s="152"/>
      <c r="I37" s="199">
        <f t="shared" si="2"/>
        <v>6</v>
      </c>
      <c r="J37" s="162">
        <f t="shared" si="3"/>
        <v>0.24172902982524347</v>
      </c>
      <c r="K37" s="166">
        <f t="shared" si="6"/>
        <v>120.86451491262173</v>
      </c>
      <c r="L37" s="111"/>
      <c r="M37" s="152"/>
      <c r="N37" s="199">
        <f t="shared" si="7"/>
        <v>0.998</v>
      </c>
      <c r="O37" s="162">
        <f t="shared" si="4"/>
        <v>8.6068814728771814E-2</v>
      </c>
      <c r="P37" s="95">
        <f t="shared" si="5"/>
        <v>43.034407364385906</v>
      </c>
      <c r="R37" s="96">
        <f t="shared" si="8"/>
        <v>1.791759469228055</v>
      </c>
      <c r="S37" s="180">
        <f t="shared" si="9"/>
        <v>-6.2136072640874609</v>
      </c>
      <c r="T37" s="94">
        <f t="shared" ref="T37:T53" si="12">1-EXP(-((C37/$S$55)^$S$54))</f>
        <v>1.9065967256622907E-3</v>
      </c>
      <c r="U37" s="94">
        <f t="shared" ref="U37:U53" si="13">LN(-LN(1-T37))</f>
        <v>-6.2614813887311787</v>
      </c>
      <c r="V37" s="95">
        <f t="shared" ref="V37:V53" si="14">ABS(S37/U37)</f>
        <v>0.99235418558779442</v>
      </c>
      <c r="AJ37" s="85"/>
    </row>
    <row r="38" spans="3:36" ht="15.75">
      <c r="C38" s="96">
        <f t="shared" si="10"/>
        <v>7</v>
      </c>
      <c r="D38" s="94">
        <v>1</v>
      </c>
      <c r="E38" s="162">
        <f t="shared" si="11"/>
        <v>3</v>
      </c>
      <c r="F38" s="166">
        <f t="shared" si="1"/>
        <v>3.0000000000000001E-3</v>
      </c>
      <c r="G38" s="111"/>
      <c r="H38" s="152"/>
      <c r="I38" s="199">
        <f t="shared" si="2"/>
        <v>7</v>
      </c>
      <c r="J38" s="162">
        <f t="shared" si="3"/>
        <v>0.27590563467435725</v>
      </c>
      <c r="K38" s="166">
        <f t="shared" si="6"/>
        <v>91.96854489145241</v>
      </c>
      <c r="L38" s="111"/>
      <c r="M38" s="152"/>
      <c r="N38" s="199">
        <f t="shared" si="7"/>
        <v>0.997</v>
      </c>
      <c r="O38" s="162">
        <f t="shared" si="4"/>
        <v>9.9675477413734392E-2</v>
      </c>
      <c r="P38" s="95">
        <f t="shared" si="5"/>
        <v>33.225159137911461</v>
      </c>
      <c r="R38" s="96">
        <f t="shared" si="8"/>
        <v>1.9459101490553132</v>
      </c>
      <c r="S38" s="180">
        <f t="shared" si="9"/>
        <v>-5.8076411119319511</v>
      </c>
      <c r="T38" s="94">
        <f t="shared" si="12"/>
        <v>3.4420691442126339E-3</v>
      </c>
      <c r="U38" s="94">
        <f t="shared" si="13"/>
        <v>-5.669958985030032</v>
      </c>
      <c r="V38" s="95">
        <f t="shared" si="14"/>
        <v>1.0242827377174033</v>
      </c>
      <c r="AJ38" s="85"/>
    </row>
    <row r="39" spans="3:36" ht="15.75">
      <c r="C39" s="96">
        <f t="shared" si="10"/>
        <v>8</v>
      </c>
      <c r="D39" s="94">
        <v>4</v>
      </c>
      <c r="E39" s="162">
        <f t="shared" si="11"/>
        <v>7</v>
      </c>
      <c r="F39" s="166">
        <f t="shared" si="1"/>
        <v>7.0000000000000001E-3</v>
      </c>
      <c r="G39" s="111"/>
      <c r="H39" s="152"/>
      <c r="I39" s="199">
        <f t="shared" si="2"/>
        <v>32</v>
      </c>
      <c r="J39" s="162">
        <f t="shared" si="3"/>
        <v>0.30854183989727502</v>
      </c>
      <c r="K39" s="166">
        <f t="shared" si="6"/>
        <v>44.077405699610715</v>
      </c>
      <c r="L39" s="111"/>
      <c r="M39" s="152"/>
      <c r="N39" s="199">
        <f t="shared" si="7"/>
        <v>0.99299999999999999</v>
      </c>
      <c r="O39" s="162">
        <f t="shared" si="4"/>
        <v>0.11307956328284252</v>
      </c>
      <c r="P39" s="95">
        <f t="shared" si="5"/>
        <v>16.154223326120359</v>
      </c>
      <c r="R39" s="96">
        <f t="shared" si="8"/>
        <v>2.0794415416798357</v>
      </c>
      <c r="S39" s="180">
        <f t="shared" si="9"/>
        <v>-4.9583348785081203</v>
      </c>
      <c r="T39" s="94">
        <f t="shared" si="12"/>
        <v>5.7391999609663902E-3</v>
      </c>
      <c r="U39" s="94">
        <f t="shared" si="13"/>
        <v>-5.157558972111973</v>
      </c>
      <c r="V39" s="95">
        <f t="shared" si="14"/>
        <v>0.96137240607793339</v>
      </c>
      <c r="AJ39" s="85"/>
    </row>
    <row r="40" spans="3:36" ht="15.75">
      <c r="C40" s="96">
        <f t="shared" si="10"/>
        <v>9</v>
      </c>
      <c r="D40" s="94">
        <v>2</v>
      </c>
      <c r="E40" s="162">
        <f t="shared" si="11"/>
        <v>9</v>
      </c>
      <c r="F40" s="166">
        <f t="shared" si="1"/>
        <v>8.9999999999999993E-3</v>
      </c>
      <c r="G40" s="111"/>
      <c r="H40" s="152"/>
      <c r="I40" s="199">
        <f t="shared" si="2"/>
        <v>18</v>
      </c>
      <c r="J40" s="162">
        <f t="shared" si="3"/>
        <v>0.33970707401151223</v>
      </c>
      <c r="K40" s="166">
        <f t="shared" si="6"/>
        <v>37.745230445723585</v>
      </c>
      <c r="L40" s="111"/>
      <c r="M40" s="152"/>
      <c r="N40" s="199">
        <f t="shared" si="7"/>
        <v>0.99099999999999999</v>
      </c>
      <c r="O40" s="162">
        <f t="shared" si="4"/>
        <v>0.12628408831196558</v>
      </c>
      <c r="P40" s="95">
        <f t="shared" si="5"/>
        <v>14.031565367996176</v>
      </c>
      <c r="R40" s="96">
        <f t="shared" si="8"/>
        <v>2.1972245773362196</v>
      </c>
      <c r="S40" s="180">
        <f t="shared" si="9"/>
        <v>-4.7060137349451834</v>
      </c>
      <c r="T40" s="94">
        <f t="shared" si="12"/>
        <v>9.0037960389770522E-3</v>
      </c>
      <c r="U40" s="94">
        <f t="shared" si="13"/>
        <v>-4.7055901293877289</v>
      </c>
      <c r="V40" s="95">
        <f t="shared" si="14"/>
        <v>1.0000900217710864</v>
      </c>
      <c r="AJ40" s="85"/>
    </row>
    <row r="41" spans="3:36" ht="15.75">
      <c r="C41" s="96">
        <f t="shared" si="10"/>
        <v>10</v>
      </c>
      <c r="D41" s="94">
        <v>1</v>
      </c>
      <c r="E41" s="162">
        <f t="shared" si="11"/>
        <v>10</v>
      </c>
      <c r="F41" s="166">
        <f t="shared" si="1"/>
        <v>0.01</v>
      </c>
      <c r="G41" s="111"/>
      <c r="H41" s="152"/>
      <c r="I41" s="199">
        <f t="shared" si="2"/>
        <v>10</v>
      </c>
      <c r="J41" s="162">
        <f t="shared" si="3"/>
        <v>0.36946763626931944</v>
      </c>
      <c r="K41" s="166">
        <f t="shared" si="6"/>
        <v>36.946763626931947</v>
      </c>
      <c r="L41" s="111"/>
      <c r="M41" s="152"/>
      <c r="N41" s="199">
        <f t="shared" si="7"/>
        <v>0.99</v>
      </c>
      <c r="O41" s="162">
        <f t="shared" si="4"/>
        <v>0.13929202357494219</v>
      </c>
      <c r="P41" s="95">
        <f t="shared" si="5"/>
        <v>13.929202357494219</v>
      </c>
      <c r="R41" s="96">
        <f t="shared" si="8"/>
        <v>2.3025850929940459</v>
      </c>
      <c r="S41" s="180">
        <f t="shared" si="9"/>
        <v>-4.6001492267765789</v>
      </c>
      <c r="T41" s="94">
        <f t="shared" si="12"/>
        <v>1.3459661505257792E-2</v>
      </c>
      <c r="U41" s="94">
        <f t="shared" si="13"/>
        <v>-4.3012902226539476</v>
      </c>
      <c r="V41" s="95">
        <f t="shared" si="14"/>
        <v>1.0694812460104661</v>
      </c>
      <c r="AJ41" s="85"/>
    </row>
    <row r="42" spans="3:36" ht="15.75">
      <c r="C42" s="96">
        <f t="shared" si="10"/>
        <v>11</v>
      </c>
      <c r="D42" s="94">
        <v>13</v>
      </c>
      <c r="E42" s="162">
        <f t="shared" si="11"/>
        <v>23</v>
      </c>
      <c r="F42" s="166">
        <f t="shared" si="1"/>
        <v>2.3E-2</v>
      </c>
      <c r="G42" s="111"/>
      <c r="H42" s="152"/>
      <c r="I42" s="199">
        <f t="shared" si="2"/>
        <v>143</v>
      </c>
      <c r="J42" s="162">
        <f t="shared" si="3"/>
        <v>0.39788683769916544</v>
      </c>
      <c r="K42" s="166">
        <f t="shared" si="6"/>
        <v>17.29942772605067</v>
      </c>
      <c r="L42" s="111"/>
      <c r="M42" s="152"/>
      <c r="N42" s="199">
        <f t="shared" si="7"/>
        <v>0.97699999999999998</v>
      </c>
      <c r="O42" s="162">
        <f t="shared" si="4"/>
        <v>0.15210629591208413</v>
      </c>
      <c r="P42" s="95">
        <f t="shared" si="5"/>
        <v>6.6133172135688758</v>
      </c>
      <c r="R42" s="96">
        <f t="shared" si="8"/>
        <v>2.3978952727983707</v>
      </c>
      <c r="S42" s="180">
        <f t="shared" si="9"/>
        <v>-3.7606493090231754</v>
      </c>
      <c r="T42" s="94">
        <f t="shared" si="12"/>
        <v>1.9345257456555687E-2</v>
      </c>
      <c r="U42" s="94">
        <f t="shared" si="13"/>
        <v>-3.9355564696908152</v>
      </c>
      <c r="V42" s="95">
        <f t="shared" si="14"/>
        <v>0.95555719705341169</v>
      </c>
      <c r="AJ42" s="85"/>
    </row>
    <row r="43" spans="3:36" ht="15.75">
      <c r="C43" s="96">
        <f t="shared" si="10"/>
        <v>12</v>
      </c>
      <c r="D43" s="94">
        <v>2</v>
      </c>
      <c r="E43" s="162">
        <f t="shared" si="11"/>
        <v>25</v>
      </c>
      <c r="F43" s="166">
        <f t="shared" si="1"/>
        <v>2.5000000000000001E-2</v>
      </c>
      <c r="G43" s="111"/>
      <c r="H43" s="152"/>
      <c r="I43" s="199">
        <f t="shared" si="2"/>
        <v>24</v>
      </c>
      <c r="J43" s="162">
        <f t="shared" si="3"/>
        <v>0.42502513579023349</v>
      </c>
      <c r="K43" s="166">
        <f t="shared" si="6"/>
        <v>17.00100543160934</v>
      </c>
      <c r="L43" s="111"/>
      <c r="M43" s="152"/>
      <c r="N43" s="199">
        <f t="shared" si="7"/>
        <v>0.97499999999999998</v>
      </c>
      <c r="O43" s="162">
        <f t="shared" si="4"/>
        <v>0.164729788588728</v>
      </c>
      <c r="P43" s="95">
        <f t="shared" si="5"/>
        <v>6.58919154354912</v>
      </c>
      <c r="R43" s="96">
        <f t="shared" si="8"/>
        <v>2.4849066497880004</v>
      </c>
      <c r="S43" s="180">
        <f t="shared" si="9"/>
        <v>-3.6762472579541758</v>
      </c>
      <c r="T43" s="94">
        <f t="shared" si="12"/>
        <v>2.6909502419555253E-2</v>
      </c>
      <c r="U43" s="94">
        <f t="shared" si="13"/>
        <v>-3.6016677127685064</v>
      </c>
      <c r="V43" s="95">
        <f t="shared" si="14"/>
        <v>1.0207069477623583</v>
      </c>
      <c r="AJ43" s="85"/>
    </row>
    <row r="44" spans="3:36" ht="15.75">
      <c r="C44" s="96">
        <f t="shared" si="10"/>
        <v>13</v>
      </c>
      <c r="D44" s="94">
        <v>10</v>
      </c>
      <c r="E44" s="162">
        <f t="shared" si="11"/>
        <v>35</v>
      </c>
      <c r="F44" s="166">
        <f t="shared" si="1"/>
        <v>3.5000000000000003E-2</v>
      </c>
      <c r="G44" s="111"/>
      <c r="H44" s="152"/>
      <c r="I44" s="199">
        <f t="shared" si="2"/>
        <v>130</v>
      </c>
      <c r="J44" s="162">
        <f t="shared" si="3"/>
        <v>0.4509402631064503</v>
      </c>
      <c r="K44" s="166">
        <f t="shared" si="6"/>
        <v>12.88400751732715</v>
      </c>
      <c r="L44" s="111"/>
      <c r="M44" s="152"/>
      <c r="N44" s="199">
        <f t="shared" si="7"/>
        <v>0.96499999999999997</v>
      </c>
      <c r="O44" s="162">
        <f t="shared" si="4"/>
        <v>0.17716534194398159</v>
      </c>
      <c r="P44" s="95">
        <f t="shared" si="5"/>
        <v>5.0618669126851881</v>
      </c>
      <c r="R44" s="96">
        <f t="shared" si="8"/>
        <v>2.5649493574615367</v>
      </c>
      <c r="S44" s="180">
        <f t="shared" si="9"/>
        <v>-3.3346465154361948</v>
      </c>
      <c r="T44" s="94">
        <f t="shared" si="12"/>
        <v>3.6406591020913037E-2</v>
      </c>
      <c r="U44" s="94">
        <f t="shared" si="13"/>
        <v>-3.2945198306128449</v>
      </c>
      <c r="V44" s="95">
        <f t="shared" si="14"/>
        <v>1.0121798279829706</v>
      </c>
      <c r="AJ44" s="85"/>
    </row>
    <row r="45" spans="3:36" ht="15.75">
      <c r="C45" s="131">
        <f t="shared" si="10"/>
        <v>14</v>
      </c>
      <c r="D45" s="194">
        <v>11</v>
      </c>
      <c r="E45" s="162">
        <f t="shared" si="11"/>
        <v>46</v>
      </c>
      <c r="F45" s="166">
        <f t="shared" si="1"/>
        <v>4.5999999999999999E-2</v>
      </c>
      <c r="G45" s="111"/>
      <c r="H45" s="152"/>
      <c r="I45" s="199">
        <f t="shared" si="2"/>
        <v>154</v>
      </c>
      <c r="J45" s="162">
        <f t="shared" si="3"/>
        <v>0.47568735010365459</v>
      </c>
      <c r="K45" s="166">
        <f t="shared" si="6"/>
        <v>10.341029350079447</v>
      </c>
      <c r="L45" s="111"/>
      <c r="M45" s="152"/>
      <c r="N45" s="199">
        <f t="shared" si="7"/>
        <v>0.95399999999999996</v>
      </c>
      <c r="O45" s="162">
        <f t="shared" si="4"/>
        <v>0.18941575402981292</v>
      </c>
      <c r="P45" s="95">
        <f t="shared" si="5"/>
        <v>4.1177337832568028</v>
      </c>
      <c r="R45" s="96">
        <f t="shared" si="8"/>
        <v>2.6390573296152584</v>
      </c>
      <c r="S45" s="180">
        <f t="shared" si="9"/>
        <v>-3.0556604778310992</v>
      </c>
      <c r="T45" s="94">
        <f t="shared" si="12"/>
        <v>4.8089743248971195E-2</v>
      </c>
      <c r="U45" s="94">
        <f t="shared" si="13"/>
        <v>-3.0101453090673695</v>
      </c>
      <c r="V45" s="95">
        <f t="shared" si="14"/>
        <v>1.0151205885731249</v>
      </c>
      <c r="AJ45" s="85"/>
    </row>
    <row r="46" spans="3:36" ht="15.75">
      <c r="C46" s="96">
        <f t="shared" si="10"/>
        <v>15</v>
      </c>
      <c r="D46" s="94">
        <v>15</v>
      </c>
      <c r="E46" s="162">
        <f t="shared" si="11"/>
        <v>61</v>
      </c>
      <c r="F46" s="166">
        <f t="shared" si="1"/>
        <v>6.0999999999999999E-2</v>
      </c>
      <c r="G46" s="111"/>
      <c r="H46" s="152"/>
      <c r="I46" s="199">
        <f t="shared" si="2"/>
        <v>225</v>
      </c>
      <c r="J46" s="162">
        <f t="shared" si="3"/>
        <v>0.49931904241118064</v>
      </c>
      <c r="K46" s="166">
        <f t="shared" si="6"/>
        <v>8.1855580723144374</v>
      </c>
      <c r="L46" s="111"/>
      <c r="M46" s="152"/>
      <c r="N46" s="199">
        <f t="shared" si="7"/>
        <v>0.93900000000000006</v>
      </c>
      <c r="O46" s="162">
        <f t="shared" si="4"/>
        <v>0.20148378124062294</v>
      </c>
      <c r="P46" s="95">
        <f t="shared" si="5"/>
        <v>3.3030128072233271</v>
      </c>
      <c r="R46" s="96">
        <f t="shared" si="8"/>
        <v>2.7080502011022101</v>
      </c>
      <c r="S46" s="180">
        <f t="shared" si="9"/>
        <v>-2.7655765685731466</v>
      </c>
      <c r="T46" s="94">
        <f t="shared" si="12"/>
        <v>6.2203845924534429E-2</v>
      </c>
      <c r="U46" s="94">
        <f t="shared" si="13"/>
        <v>-2.7453989633104898</v>
      </c>
      <c r="V46" s="95">
        <f t="shared" si="14"/>
        <v>1.007349607664427</v>
      </c>
      <c r="AJ46" s="85"/>
    </row>
    <row r="47" spans="3:36" ht="15.75">
      <c r="C47" s="96">
        <f t="shared" si="10"/>
        <v>16</v>
      </c>
      <c r="D47" s="94">
        <v>25</v>
      </c>
      <c r="E47" s="162">
        <f t="shared" si="11"/>
        <v>86</v>
      </c>
      <c r="F47" s="166">
        <f t="shared" si="1"/>
        <v>8.5999999999999993E-2</v>
      </c>
      <c r="G47" s="111"/>
      <c r="H47" s="152"/>
      <c r="I47" s="199">
        <f t="shared" si="2"/>
        <v>400</v>
      </c>
      <c r="J47" s="162">
        <f t="shared" si="3"/>
        <v>0.52188561282735435</v>
      </c>
      <c r="K47" s="166">
        <f t="shared" si="6"/>
        <v>6.0684373584576088</v>
      </c>
      <c r="L47" s="111"/>
      <c r="M47" s="152"/>
      <c r="N47" s="199">
        <f t="shared" si="7"/>
        <v>0.91400000000000003</v>
      </c>
      <c r="O47" s="162">
        <f t="shared" si="4"/>
        <v>0.21337213893344653</v>
      </c>
      <c r="P47" s="95">
        <f t="shared" si="5"/>
        <v>2.4810713829470528</v>
      </c>
      <c r="R47" s="96">
        <f t="shared" si="8"/>
        <v>2.7725887222397811</v>
      </c>
      <c r="S47" s="180">
        <f t="shared" si="9"/>
        <v>-2.4087825418051043</v>
      </c>
      <c r="T47" s="94">
        <f t="shared" si="12"/>
        <v>7.8977013453888301E-2</v>
      </c>
      <c r="U47" s="94">
        <f t="shared" si="13"/>
        <v>-2.4977452961492879</v>
      </c>
      <c r="V47" s="95">
        <f t="shared" si="14"/>
        <v>0.96438277574525499</v>
      </c>
      <c r="AJ47" s="85"/>
    </row>
    <row r="48" spans="3:36" ht="15.75">
      <c r="C48" s="96">
        <f t="shared" si="10"/>
        <v>17</v>
      </c>
      <c r="D48" s="94">
        <v>12</v>
      </c>
      <c r="E48" s="162">
        <f t="shared" si="11"/>
        <v>98</v>
      </c>
      <c r="F48" s="166">
        <f t="shared" si="1"/>
        <v>9.8000000000000004E-2</v>
      </c>
      <c r="G48" s="111"/>
      <c r="H48" s="152"/>
      <c r="I48" s="199">
        <f t="shared" si="2"/>
        <v>204</v>
      </c>
      <c r="J48" s="162">
        <f t="shared" si="3"/>
        <v>0.5434350682671556</v>
      </c>
      <c r="K48" s="166">
        <f t="shared" si="6"/>
        <v>5.5452557986444448</v>
      </c>
      <c r="L48" s="111"/>
      <c r="M48" s="152"/>
      <c r="N48" s="199">
        <f t="shared" si="7"/>
        <v>0.90200000000000002</v>
      </c>
      <c r="O48" s="162">
        <f t="shared" si="4"/>
        <v>0.22508350203891903</v>
      </c>
      <c r="P48" s="95">
        <f t="shared" si="5"/>
        <v>2.2967704289685615</v>
      </c>
      <c r="R48" s="96">
        <f t="shared" si="8"/>
        <v>2.8332133440562162</v>
      </c>
      <c r="S48" s="180">
        <f t="shared" si="9"/>
        <v>-2.2716606322371478</v>
      </c>
      <c r="T48" s="94">
        <f t="shared" si="12"/>
        <v>9.8611177285042206E-2</v>
      </c>
      <c r="U48" s="94">
        <f t="shared" si="13"/>
        <v>-2.2651104348530824</v>
      </c>
      <c r="V48" s="95">
        <f t="shared" si="14"/>
        <v>1.0028917783801081</v>
      </c>
      <c r="AJ48" s="85"/>
    </row>
    <row r="49" spans="3:36" ht="15.75">
      <c r="C49" s="96">
        <f t="shared" si="10"/>
        <v>18</v>
      </c>
      <c r="D49" s="94">
        <v>16</v>
      </c>
      <c r="E49" s="162">
        <f t="shared" si="11"/>
        <v>114</v>
      </c>
      <c r="F49" s="166">
        <f t="shared" si="1"/>
        <v>0.114</v>
      </c>
      <c r="G49" s="111"/>
      <c r="H49" s="152"/>
      <c r="I49" s="199">
        <f t="shared" si="2"/>
        <v>288</v>
      </c>
      <c r="J49" s="162">
        <f t="shared" si="3"/>
        <v>0.56401325188956142</v>
      </c>
      <c r="K49" s="166">
        <f t="shared" si="6"/>
        <v>4.9474846656979068</v>
      </c>
      <c r="L49" s="111"/>
      <c r="M49" s="152"/>
      <c r="N49" s="199">
        <f t="shared" si="7"/>
        <v>0.88600000000000001</v>
      </c>
      <c r="O49" s="162">
        <f t="shared" si="4"/>
        <v>0.23662050566314685</v>
      </c>
      <c r="P49" s="95">
        <f t="shared" si="5"/>
        <v>2.0756184707293581</v>
      </c>
      <c r="R49" s="96">
        <f t="shared" si="8"/>
        <v>2.8903717578961645</v>
      </c>
      <c r="S49" s="180">
        <f t="shared" si="9"/>
        <v>-2.1116480200975998</v>
      </c>
      <c r="T49" s="94">
        <f t="shared" si="12"/>
        <v>0.12127191172602303</v>
      </c>
      <c r="U49" s="94">
        <f t="shared" si="13"/>
        <v>-2.0457764534250478</v>
      </c>
      <c r="V49" s="95">
        <f t="shared" si="14"/>
        <v>1.0321988096804369</v>
      </c>
      <c r="AJ49" s="85"/>
    </row>
    <row r="50" spans="3:36" ht="15.75">
      <c r="C50" s="96">
        <f t="shared" si="10"/>
        <v>19</v>
      </c>
      <c r="D50" s="94">
        <v>35</v>
      </c>
      <c r="E50" s="162">
        <f t="shared" si="11"/>
        <v>149</v>
      </c>
      <c r="F50" s="166">
        <f t="shared" si="1"/>
        <v>0.14899999999999999</v>
      </c>
      <c r="G50" s="111"/>
      <c r="H50" s="152"/>
      <c r="I50" s="199">
        <f t="shared" si="2"/>
        <v>665</v>
      </c>
      <c r="J50" s="162">
        <f t="shared" si="3"/>
        <v>0.58366394062183147</v>
      </c>
      <c r="K50" s="166">
        <f t="shared" si="6"/>
        <v>3.9172076551800772</v>
      </c>
      <c r="L50" s="111"/>
      <c r="M50" s="152"/>
      <c r="N50" s="199">
        <f t="shared" si="7"/>
        <v>0.85099999999999998</v>
      </c>
      <c r="O50" s="162">
        <f t="shared" si="4"/>
        <v>0.24798574568061738</v>
      </c>
      <c r="P50" s="95">
        <f t="shared" si="5"/>
        <v>1.6643338636283047</v>
      </c>
      <c r="R50" s="96">
        <f t="shared" si="8"/>
        <v>2.9444389791664403</v>
      </c>
      <c r="S50" s="180">
        <f t="shared" si="9"/>
        <v>-1.8242218131437868</v>
      </c>
      <c r="T50" s="94">
        <f t="shared" si="12"/>
        <v>0.14707781474683945</v>
      </c>
      <c r="U50" s="94">
        <f t="shared" si="13"/>
        <v>-1.8383043052446186</v>
      </c>
      <c r="V50" s="95">
        <f t="shared" si="14"/>
        <v>0.99233941189135288</v>
      </c>
      <c r="AJ50" s="85"/>
    </row>
    <row r="51" spans="3:36" ht="15.75">
      <c r="C51" s="96">
        <f t="shared" si="10"/>
        <v>20</v>
      </c>
      <c r="D51" s="94">
        <v>30</v>
      </c>
      <c r="E51" s="162">
        <f t="shared" si="11"/>
        <v>179</v>
      </c>
      <c r="F51" s="166">
        <f t="shared" si="1"/>
        <v>0.17899999999999999</v>
      </c>
      <c r="G51" s="111"/>
      <c r="H51" s="152"/>
      <c r="I51" s="199">
        <f t="shared" si="2"/>
        <v>600</v>
      </c>
      <c r="J51" s="162">
        <f t="shared" si="3"/>
        <v>0.60242893828820065</v>
      </c>
      <c r="K51" s="166">
        <f t="shared" si="6"/>
        <v>3.3655247949061491</v>
      </c>
      <c r="L51" s="111"/>
      <c r="M51" s="152"/>
      <c r="N51" s="199">
        <f t="shared" si="7"/>
        <v>0.82099999999999995</v>
      </c>
      <c r="O51" s="162">
        <f t="shared" si="4"/>
        <v>0.25918177931828212</v>
      </c>
      <c r="P51" s="95">
        <f t="shared" si="5"/>
        <v>1.4479429012194533</v>
      </c>
      <c r="R51" s="96">
        <f t="shared" si="8"/>
        <v>2.9957322735539909</v>
      </c>
      <c r="S51" s="180">
        <f t="shared" si="9"/>
        <v>-1.6233737186287005</v>
      </c>
      <c r="T51" s="94">
        <f t="shared" si="12"/>
        <v>0.17608988029821826</v>
      </c>
      <c r="U51" s="94">
        <f t="shared" si="13"/>
        <v>-1.6414765466912711</v>
      </c>
      <c r="V51" s="95">
        <f t="shared" si="14"/>
        <v>0.98897161942455991</v>
      </c>
      <c r="AJ51" s="85"/>
    </row>
    <row r="52" spans="3:36" ht="15.75">
      <c r="C52" s="96">
        <f t="shared" si="10"/>
        <v>21</v>
      </c>
      <c r="D52" s="94">
        <v>39</v>
      </c>
      <c r="E52" s="162">
        <f t="shared" si="11"/>
        <v>218</v>
      </c>
      <c r="F52" s="166">
        <f t="shared" si="1"/>
        <v>0.218</v>
      </c>
      <c r="G52" s="111"/>
      <c r="H52" s="152"/>
      <c r="I52" s="199">
        <f t="shared" si="2"/>
        <v>819</v>
      </c>
      <c r="J52" s="162">
        <f t="shared" si="3"/>
        <v>0.62034816454109976</v>
      </c>
      <c r="K52" s="166">
        <f t="shared" si="6"/>
        <v>2.8456337822986226</v>
      </c>
      <c r="L52" s="111"/>
      <c r="M52" s="152"/>
      <c r="N52" s="199">
        <f t="shared" si="7"/>
        <v>0.78200000000000003</v>
      </c>
      <c r="O52" s="162">
        <f t="shared" si="4"/>
        <v>0.27021112573094319</v>
      </c>
      <c r="P52" s="95">
        <f t="shared" si="5"/>
        <v>1.2395005767474458</v>
      </c>
      <c r="R52" s="96">
        <f t="shared" si="8"/>
        <v>3.044522437723423</v>
      </c>
      <c r="S52" s="180">
        <f t="shared" si="9"/>
        <v>-1.4028281401046976</v>
      </c>
      <c r="T52" s="94">
        <f t="shared" si="12"/>
        <v>0.20830141485792242</v>
      </c>
      <c r="U52" s="94">
        <f t="shared" si="13"/>
        <v>-1.4542540497239094</v>
      </c>
      <c r="V52" s="95">
        <f t="shared" si="14"/>
        <v>0.96463760260528408</v>
      </c>
      <c r="AJ52" s="85"/>
    </row>
    <row r="53" spans="3:36" ht="16.5" thickBot="1">
      <c r="C53" s="133">
        <f>C52+1</f>
        <v>22</v>
      </c>
      <c r="D53" s="101">
        <v>33</v>
      </c>
      <c r="E53" s="168">
        <f t="shared" si="11"/>
        <v>251</v>
      </c>
      <c r="F53" s="169">
        <f t="shared" si="1"/>
        <v>0.251</v>
      </c>
      <c r="G53" s="111"/>
      <c r="H53" s="152"/>
      <c r="I53" s="198">
        <f t="shared" si="2"/>
        <v>726</v>
      </c>
      <c r="J53" s="168">
        <f t="shared" si="3"/>
        <v>0.63745973978408887</v>
      </c>
      <c r="K53" s="169">
        <f t="shared" si="6"/>
        <v>2.539680238183621</v>
      </c>
      <c r="L53" s="111"/>
      <c r="M53" s="152"/>
      <c r="N53" s="198">
        <f t="shared" si="7"/>
        <v>0.749</v>
      </c>
      <c r="O53" s="168">
        <f t="shared" si="4"/>
        <v>0.28107626656807383</v>
      </c>
      <c r="P53" s="102">
        <f t="shared" si="5"/>
        <v>1.1198257632194177</v>
      </c>
      <c r="R53" s="133">
        <f t="shared" si="8"/>
        <v>3.0910424533583161</v>
      </c>
      <c r="S53" s="181">
        <f t="shared" si="9"/>
        <v>-1.2412722067675619</v>
      </c>
      <c r="T53" s="101">
        <f t="shared" si="12"/>
        <v>0.24362915375730176</v>
      </c>
      <c r="U53" s="101">
        <f t="shared" si="13"/>
        <v>-1.2757427937281349</v>
      </c>
      <c r="V53" s="102">
        <f t="shared" si="14"/>
        <v>0.97297998692993692</v>
      </c>
      <c r="AJ53" s="85"/>
    </row>
    <row r="54" spans="3:36" ht="15.75" customHeight="1" thickBot="1">
      <c r="D54" s="197"/>
      <c r="E54" s="239"/>
      <c r="F54" s="239"/>
      <c r="G54" s="152"/>
      <c r="H54" s="210" t="s">
        <v>138</v>
      </c>
      <c r="I54" s="209">
        <f>SUM(I32:I53)</f>
        <v>4456</v>
      </c>
      <c r="J54" s="210" t="s">
        <v>146</v>
      </c>
      <c r="K54" s="208">
        <f>AVERAGE(K36:K53)</f>
        <v>35.137890657540453</v>
      </c>
      <c r="L54" s="213"/>
      <c r="M54" s="211" t="s">
        <v>142</v>
      </c>
      <c r="N54" s="214">
        <v>1.4999999999999999E-2</v>
      </c>
      <c r="O54" s="210" t="s">
        <v>146</v>
      </c>
      <c r="P54" s="141">
        <f>AVERAGE(P36:P53)</f>
        <v>12.813403159616563</v>
      </c>
      <c r="R54" s="233" t="s">
        <v>153</v>
      </c>
      <c r="S54" s="203">
        <f>3.8373</f>
        <v>3.8372999999999999</v>
      </c>
      <c r="U54" s="233" t="s">
        <v>146</v>
      </c>
      <c r="V54" s="203">
        <f>AVERAGE(V36:V53)</f>
        <v>0.99828672651083616</v>
      </c>
    </row>
    <row r="55" spans="3:36" ht="16.5" thickBot="1">
      <c r="C55" s="49" t="s">
        <v>85</v>
      </c>
      <c r="D55" s="178"/>
      <c r="E55" s="178"/>
      <c r="F55" s="178"/>
      <c r="G55" s="152"/>
      <c r="H55" s="210" t="s">
        <v>139</v>
      </c>
      <c r="I55" s="206">
        <f>(C29-E53)*(C53+1)</f>
        <v>17227</v>
      </c>
      <c r="J55" s="210" t="s">
        <v>148</v>
      </c>
      <c r="K55" s="205">
        <f>_xlfn.STDEV.S(K36:K53)</f>
        <v>53.713543710378715</v>
      </c>
      <c r="L55" s="213"/>
      <c r="M55" s="211" t="s">
        <v>126</v>
      </c>
      <c r="N55" s="215">
        <f>1/N54</f>
        <v>66.666666666666671</v>
      </c>
      <c r="O55" s="210" t="s">
        <v>148</v>
      </c>
      <c r="P55" s="144">
        <f>_xlfn.STDEV.S(P36:P53)</f>
        <v>18.845314165665293</v>
      </c>
      <c r="R55" s="234" t="s">
        <v>152</v>
      </c>
      <c r="S55" s="231">
        <f>EXP(13.137/S54)</f>
        <v>30.676623010334684</v>
      </c>
      <c r="U55" s="236" t="s">
        <v>148</v>
      </c>
      <c r="V55" s="204">
        <f>_xlfn.STDEV.S(V36:V53)</f>
        <v>2.8987215869753783E-2</v>
      </c>
    </row>
    <row r="56" spans="3:36" ht="16.5" thickBot="1">
      <c r="D56" s="178"/>
      <c r="E56" s="239"/>
      <c r="F56" s="239"/>
      <c r="G56" s="152"/>
      <c r="H56" s="210" t="s">
        <v>140</v>
      </c>
      <c r="I56" s="206">
        <f>I54+I55</f>
        <v>21683</v>
      </c>
      <c r="K56" s="310" t="s">
        <v>217</v>
      </c>
      <c r="M56" s="153"/>
      <c r="P56" s="311" t="s">
        <v>217</v>
      </c>
      <c r="R56" s="234" t="s">
        <v>154</v>
      </c>
      <c r="S56" s="231">
        <v>0.90380000000000005</v>
      </c>
      <c r="V56" s="311" t="s">
        <v>218</v>
      </c>
      <c r="AJ56" s="85"/>
    </row>
    <row r="57" spans="3:36" ht="16.5" thickBot="1">
      <c r="D57" s="178"/>
      <c r="E57" s="239"/>
      <c r="F57" s="239"/>
      <c r="G57" s="152"/>
      <c r="H57" s="211" t="s">
        <v>141</v>
      </c>
      <c r="I57" s="207">
        <f>I56/C29</f>
        <v>21.683</v>
      </c>
      <c r="M57" s="153"/>
      <c r="R57" s="235" t="s">
        <v>126</v>
      </c>
      <c r="S57" s="232">
        <f>S55*S56</f>
        <v>27.72553187674049</v>
      </c>
      <c r="U57" s="241" t="s">
        <v>220</v>
      </c>
      <c r="V57" s="200">
        <f>S55*(LN(1/0.37))^(1/S54)</f>
        <v>30.630575850186737</v>
      </c>
      <c r="W57" s="348" t="s">
        <v>219</v>
      </c>
      <c r="X57" s="349"/>
      <c r="Y57" s="103"/>
      <c r="AJ57" s="85"/>
    </row>
    <row r="58" spans="3:36" ht="15.75" customHeight="1" thickBot="1">
      <c r="D58" s="178"/>
      <c r="E58" s="239"/>
      <c r="F58" s="239"/>
      <c r="G58" s="152"/>
      <c r="H58" s="211" t="s">
        <v>142</v>
      </c>
      <c r="I58" s="202">
        <f>1/I57</f>
        <v>4.6119079463173916E-2</v>
      </c>
      <c r="R58" s="152"/>
      <c r="S58" s="152"/>
      <c r="W58" s="349" t="s">
        <v>227</v>
      </c>
      <c r="X58" s="349"/>
      <c r="Y58" s="349"/>
    </row>
    <row r="59" spans="3:36" ht="15.75" thickBot="1"/>
    <row r="60" spans="3:36" ht="15.75" thickBot="1">
      <c r="X60" s="350" t="s">
        <v>201</v>
      </c>
      <c r="Y60" s="351"/>
      <c r="Z60" s="352"/>
    </row>
    <row r="61" spans="3:36" ht="15.75" thickBot="1">
      <c r="W61" s="286" t="s">
        <v>198</v>
      </c>
      <c r="X61" s="201" t="s">
        <v>221</v>
      </c>
      <c r="Y61" s="201" t="s">
        <v>222</v>
      </c>
      <c r="Z61" s="287" t="s">
        <v>200</v>
      </c>
    </row>
    <row r="62" spans="3:36">
      <c r="W62" s="256">
        <f>0</f>
        <v>0</v>
      </c>
      <c r="X62" s="98">
        <f>EXP(-$I$58*W62)</f>
        <v>1</v>
      </c>
      <c r="Y62" s="98">
        <f>EXP(-$N$54*W62)</f>
        <v>1</v>
      </c>
      <c r="Z62" s="99">
        <f>EXP(-((W62/$S$55)^$S$54))</f>
        <v>1</v>
      </c>
    </row>
    <row r="63" spans="3:36">
      <c r="W63" s="96">
        <f>1+W62</f>
        <v>1</v>
      </c>
      <c r="X63" s="288">
        <f t="shared" ref="X63:X76" si="15">EXP(-$I$58*W63)</f>
        <v>0.95492824307748825</v>
      </c>
      <c r="Y63" s="288">
        <f t="shared" ref="Y63:Y76" si="16">EXP(-$N$54*W63)</f>
        <v>0.98511193960306265</v>
      </c>
      <c r="Z63" s="95">
        <f t="shared" ref="Z63:Z76" si="17">EXP(-((W63/$S$55)^$S$54))</f>
        <v>0.99999802906199819</v>
      </c>
    </row>
    <row r="64" spans="3:36">
      <c r="W64" s="96">
        <f t="shared" ref="W64:W76" si="18">1+W63</f>
        <v>2</v>
      </c>
      <c r="X64" s="288">
        <f t="shared" si="15"/>
        <v>0.91188794942705853</v>
      </c>
      <c r="Y64" s="288">
        <f t="shared" si="16"/>
        <v>0.97044553354850815</v>
      </c>
      <c r="Z64" s="95">
        <f t="shared" si="17"/>
        <v>0.9999718285191731</v>
      </c>
    </row>
    <row r="65" spans="23:26">
      <c r="W65" s="96">
        <f t="shared" si="18"/>
        <v>3</v>
      </c>
      <c r="X65" s="288">
        <f t="shared" si="15"/>
        <v>0.87078755742991443</v>
      </c>
      <c r="Y65" s="288">
        <f t="shared" si="16"/>
        <v>0.95599748183309996</v>
      </c>
      <c r="Z65" s="95">
        <f t="shared" si="17"/>
        <v>0.99986649369083291</v>
      </c>
    </row>
    <row r="66" spans="23:26">
      <c r="W66" s="96">
        <f t="shared" si="18"/>
        <v>4</v>
      </c>
      <c r="X66" s="288">
        <f t="shared" si="15"/>
        <v>0.8315396323102856</v>
      </c>
      <c r="Y66" s="288">
        <f t="shared" si="16"/>
        <v>0.94176453358424872</v>
      </c>
      <c r="Z66" s="95">
        <f t="shared" si="17"/>
        <v>0.99959740279230136</v>
      </c>
    </row>
    <row r="67" spans="23:26">
      <c r="W67" s="96">
        <f t="shared" si="18"/>
        <v>5</v>
      </c>
      <c r="X67" s="288">
        <f t="shared" si="15"/>
        <v>0.79406068013136166</v>
      </c>
      <c r="Y67" s="288">
        <f t="shared" si="16"/>
        <v>0.92774348632855286</v>
      </c>
      <c r="Z67" s="95">
        <f t="shared" si="17"/>
        <v>0.99905239981067917</v>
      </c>
    </row>
    <row r="68" spans="23:26">
      <c r="W68" s="96">
        <f t="shared" si="18"/>
        <v>6</v>
      </c>
      <c r="X68" s="288">
        <f t="shared" si="15"/>
        <v>0.75827097017475653</v>
      </c>
      <c r="Y68" s="288">
        <f t="shared" si="16"/>
        <v>0.91393118527122819</v>
      </c>
      <c r="Z68" s="95">
        <f t="shared" si="17"/>
        <v>0.99809340327433771</v>
      </c>
    </row>
    <row r="69" spans="23:26">
      <c r="W69" s="96">
        <f t="shared" si="18"/>
        <v>7</v>
      </c>
      <c r="X69" s="288">
        <f t="shared" si="15"/>
        <v>0.72409436532564275</v>
      </c>
      <c r="Y69" s="288">
        <f t="shared" si="16"/>
        <v>0.90032452258626561</v>
      </c>
      <c r="Z69" s="95">
        <f t="shared" si="17"/>
        <v>0.99655793085578737</v>
      </c>
    </row>
    <row r="70" spans="23:26">
      <c r="W70" s="96">
        <f t="shared" si="18"/>
        <v>8</v>
      </c>
      <c r="X70" s="288">
        <f t="shared" si="15"/>
        <v>0.69145816010272498</v>
      </c>
      <c r="Y70" s="288">
        <f t="shared" si="16"/>
        <v>0.88692043671715748</v>
      </c>
      <c r="Z70" s="95">
        <f t="shared" si="17"/>
        <v>0.99426080003903361</v>
      </c>
    </row>
    <row r="71" spans="23:26">
      <c r="W71" s="96">
        <f t="shared" si="18"/>
        <v>9</v>
      </c>
      <c r="X71" s="288">
        <f t="shared" si="15"/>
        <v>0.66029292598848777</v>
      </c>
      <c r="Y71" s="288">
        <f t="shared" si="16"/>
        <v>0.87371591168803442</v>
      </c>
      <c r="Z71" s="95">
        <f t="shared" si="17"/>
        <v>0.99099620396102295</v>
      </c>
    </row>
    <row r="72" spans="23:26">
      <c r="W72" s="96">
        <f t="shared" si="18"/>
        <v>10</v>
      </c>
      <c r="X72" s="288">
        <f t="shared" si="15"/>
        <v>0.63053236373068056</v>
      </c>
      <c r="Y72" s="288">
        <f t="shared" si="16"/>
        <v>0.86070797642505781</v>
      </c>
      <c r="Z72" s="95">
        <f t="shared" si="17"/>
        <v>0.98654033849474221</v>
      </c>
    </row>
    <row r="73" spans="23:26">
      <c r="W73" s="96">
        <f t="shared" si="18"/>
        <v>11</v>
      </c>
      <c r="X73" s="288">
        <f t="shared" si="15"/>
        <v>0.60211316230083456</v>
      </c>
      <c r="Y73" s="288">
        <f t="shared" si="16"/>
        <v>0.84789370408791587</v>
      </c>
      <c r="Z73" s="95">
        <f t="shared" si="17"/>
        <v>0.98065474254344431</v>
      </c>
    </row>
    <row r="74" spans="23:26">
      <c r="W74" s="96">
        <f t="shared" si="18"/>
        <v>12</v>
      </c>
      <c r="X74" s="288">
        <f t="shared" si="15"/>
        <v>0.57497486420976651</v>
      </c>
      <c r="Y74" s="288">
        <f t="shared" si="16"/>
        <v>0.835270211411272</v>
      </c>
      <c r="Z74" s="95">
        <f t="shared" si="17"/>
        <v>0.97309049758044475</v>
      </c>
    </row>
    <row r="75" spans="23:26">
      <c r="W75" s="96">
        <f t="shared" si="18"/>
        <v>13</v>
      </c>
      <c r="X75" s="288">
        <f t="shared" si="15"/>
        <v>0.5490597368935497</v>
      </c>
      <c r="Y75" s="288">
        <f t="shared" si="16"/>
        <v>0.82283465805601841</v>
      </c>
      <c r="Z75" s="95">
        <f t="shared" si="17"/>
        <v>0.96359340897908696</v>
      </c>
    </row>
    <row r="76" spans="23:26" ht="15.75" thickBot="1">
      <c r="W76" s="133">
        <f t="shared" si="18"/>
        <v>14</v>
      </c>
      <c r="X76" s="101">
        <f t="shared" si="15"/>
        <v>0.52431264989634541</v>
      </c>
      <c r="Y76" s="101">
        <f t="shared" si="16"/>
        <v>0.81058424597018708</v>
      </c>
      <c r="Z76" s="312">
        <f t="shared" si="17"/>
        <v>0.9519102567510288</v>
      </c>
    </row>
  </sheetData>
  <mergeCells count="39">
    <mergeCell ref="N30:P30"/>
    <mergeCell ref="R30:V30"/>
    <mergeCell ref="C2:D2"/>
    <mergeCell ref="J2:K2"/>
    <mergeCell ref="I30:K30"/>
    <mergeCell ref="I17:K17"/>
    <mergeCell ref="I18:K18"/>
    <mergeCell ref="I19:K19"/>
    <mergeCell ref="I20:K20"/>
    <mergeCell ref="I21:K21"/>
    <mergeCell ref="I22:K22"/>
    <mergeCell ref="I24:K24"/>
    <mergeCell ref="I25:K25"/>
    <mergeCell ref="I27:K27"/>
    <mergeCell ref="I28:K28"/>
    <mergeCell ref="E29:F29"/>
    <mergeCell ref="N25:P25"/>
    <mergeCell ref="N28:P28"/>
    <mergeCell ref="N27:P27"/>
    <mergeCell ref="N24:P24"/>
    <mergeCell ref="N21:P21"/>
    <mergeCell ref="N22:P22"/>
    <mergeCell ref="N20:P20"/>
    <mergeCell ref="R13:V13"/>
    <mergeCell ref="R14:V14"/>
    <mergeCell ref="R15:V15"/>
    <mergeCell ref="R16:V16"/>
    <mergeCell ref="R17:V17"/>
    <mergeCell ref="R18:V18"/>
    <mergeCell ref="R19:V19"/>
    <mergeCell ref="W57:X57"/>
    <mergeCell ref="W58:Y58"/>
    <mergeCell ref="X60:Z60"/>
    <mergeCell ref="R21:V21"/>
    <mergeCell ref="R23:V23"/>
    <mergeCell ref="R25:V25"/>
    <mergeCell ref="R26:V26"/>
    <mergeCell ref="R28:V28"/>
    <mergeCell ref="R22:V22"/>
  </mergeCells>
  <pageMargins left="0.7" right="0.7" top="0.75" bottom="0.75" header="0.3" footer="0.3"/>
  <pageSetup paperSize="9" scale="84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4</vt:i4>
      </vt:variant>
    </vt:vector>
  </HeadingPairs>
  <TitlesOfParts>
    <vt:vector size="15" baseType="lpstr">
      <vt:lpstr>Ex 1.1</vt:lpstr>
      <vt:lpstr>Ex 1.2</vt:lpstr>
      <vt:lpstr>Ex 1.3</vt:lpstr>
      <vt:lpstr>Ex 1.4</vt:lpstr>
      <vt:lpstr>Ex 2.1</vt:lpstr>
      <vt:lpstr>Ex 2.2</vt:lpstr>
      <vt:lpstr>Ex 2.3</vt:lpstr>
      <vt:lpstr>Ex 2.4</vt:lpstr>
      <vt:lpstr>Ex 2.5</vt:lpstr>
      <vt:lpstr>Ex 2.6</vt:lpstr>
      <vt:lpstr>Ex 2.7</vt:lpstr>
      <vt:lpstr>'Ex 1.1'!Zone_d_impression</vt:lpstr>
      <vt:lpstr>'Ex 1.2'!Zone_d_impression</vt:lpstr>
      <vt:lpstr>'Ex 1.3'!Zone_d_impression</vt:lpstr>
      <vt:lpstr>'Ex 1.4'!Zone_d_impression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BOUILLAUT Laurent</dc:creator>
  <cp:lastModifiedBy>Romain Ducrocq</cp:lastModifiedBy>
  <cp:lastPrinted>2021-01-13T17:40:27Z</cp:lastPrinted>
  <dcterms:created xsi:type="dcterms:W3CDTF">2021-01-07T09:33:23Z</dcterms:created>
  <dcterms:modified xsi:type="dcterms:W3CDTF">2021-03-29T15:17:25Z</dcterms:modified>
</cp:coreProperties>
</file>