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anane\Downloads\Telegram Desktop\"/>
    </mc:Choice>
  </mc:AlternateContent>
  <xr:revisionPtr revIDLastSave="0" documentId="13_ncr:1_{83424D60-B581-4BBC-909D-6FAAFF8BE704}" xr6:coauthVersionLast="38" xr6:coauthVersionMax="47" xr10:uidLastSave="{00000000-0000-0000-0000-000000000000}"/>
  <bookViews>
    <workbookView xWindow="0" yWindow="0" windowWidth="23040" windowHeight="10404" activeTab="1" xr2:uid="{00000000-000D-0000-FFFF-FFFF00000000}"/>
  </bookViews>
  <sheets>
    <sheet name="Скан документов" sheetId="1" r:id="rId1"/>
    <sheet name="Общее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2" l="1"/>
  <c r="L16" i="2"/>
  <c r="I16" i="2"/>
  <c r="H16" i="2"/>
  <c r="J16" i="2" s="1"/>
  <c r="K16" i="2" s="1"/>
  <c r="G16" i="2"/>
  <c r="F16" i="2"/>
  <c r="E16" i="2"/>
  <c r="C13" i="2"/>
  <c r="C12" i="2"/>
  <c r="D8" i="2"/>
  <c r="E8" i="2"/>
  <c r="F8" i="2"/>
  <c r="G8" i="2"/>
  <c r="H8" i="2"/>
  <c r="I8" i="2"/>
  <c r="J8" i="2"/>
  <c r="K8" i="2"/>
  <c r="L8" i="2"/>
  <c r="M8" i="2"/>
  <c r="AA14" i="2"/>
  <c r="AA10" i="2"/>
  <c r="AA11" i="2"/>
  <c r="AA9" i="2"/>
  <c r="AA8" i="2"/>
  <c r="U27" i="2"/>
  <c r="U22" i="2" l="1"/>
  <c r="U23" i="2"/>
  <c r="U24" i="2"/>
  <c r="U25" i="2"/>
  <c r="U26" i="2"/>
  <c r="U28" i="2"/>
  <c r="U21" i="2"/>
  <c r="U20" i="2"/>
  <c r="U19" i="2"/>
  <c r="T16" i="2"/>
  <c r="U16" i="2" s="1"/>
  <c r="T15" i="2"/>
  <c r="U15" i="2" s="1"/>
  <c r="T12" i="2"/>
  <c r="T10" i="2"/>
  <c r="U10" i="2"/>
  <c r="U11" i="2"/>
  <c r="U12" i="2"/>
  <c r="U13" i="2"/>
  <c r="U14" i="2"/>
  <c r="T8" i="2"/>
  <c r="U8" i="2" s="1"/>
  <c r="T9" i="2"/>
  <c r="U9" i="2" s="1"/>
  <c r="U18" i="2"/>
  <c r="U17" i="2"/>
  <c r="M11" i="2"/>
  <c r="M12" i="2" s="1"/>
  <c r="L11" i="2"/>
  <c r="L12" i="2" s="1"/>
  <c r="K11" i="2"/>
  <c r="K12" i="2" s="1"/>
  <c r="J11" i="2"/>
  <c r="J12" i="2" s="1"/>
  <c r="I11" i="2"/>
  <c r="I12" i="2" s="1"/>
  <c r="H11" i="2"/>
  <c r="G11" i="2"/>
  <c r="F11" i="2"/>
  <c r="E11" i="2"/>
  <c r="D11" i="2"/>
  <c r="Y23" i="1"/>
  <c r="Z22" i="1"/>
  <c r="AA19" i="1"/>
  <c r="AB19" i="1"/>
  <c r="AC19" i="1"/>
  <c r="AD19" i="1"/>
  <c r="Z19" i="1"/>
  <c r="Y20" i="1"/>
  <c r="AD22" i="1"/>
  <c r="AD23" i="1" s="1"/>
  <c r="AC22" i="1"/>
  <c r="AC23" i="1" s="1"/>
  <c r="AB22" i="1"/>
  <c r="AB23" i="1" s="1"/>
  <c r="AA22" i="1"/>
  <c r="AA23" i="1" s="1"/>
  <c r="E12" i="2" l="1"/>
  <c r="F12" i="2"/>
  <c r="G12" i="2"/>
  <c r="H12" i="2"/>
  <c r="D12" i="2"/>
  <c r="Z23" i="1"/>
  <c r="Y29" i="1" s="1"/>
  <c r="Y25" i="1"/>
  <c r="L8" i="1"/>
  <c r="L7" i="1"/>
  <c r="L6" i="1"/>
  <c r="L5" i="1"/>
  <c r="L4" i="1"/>
  <c r="M11" i="1"/>
  <c r="L11" i="1" s="1"/>
  <c r="M10" i="1"/>
  <c r="L10" i="1" s="1"/>
  <c r="M9" i="1"/>
  <c r="L9" i="1" s="1"/>
  <c r="Q10" i="1"/>
  <c r="S10" i="1" s="1"/>
  <c r="Q21" i="1"/>
  <c r="S21" i="1" s="1"/>
  <c r="Q16" i="1"/>
  <c r="S16" i="1" s="1"/>
  <c r="Q11" i="1"/>
  <c r="S11" i="1" s="1"/>
  <c r="M8" i="1"/>
  <c r="Q12" i="1" s="1"/>
  <c r="S12" i="1" s="1"/>
  <c r="M6" i="1"/>
  <c r="Q6" i="1" s="1"/>
  <c r="S6" i="1" s="1"/>
  <c r="M7" i="1"/>
  <c r="Q7" i="1" s="1"/>
  <c r="S7" i="1" s="1"/>
  <c r="M5" i="1"/>
  <c r="Q5" i="1" s="1"/>
  <c r="S5" i="1" s="1"/>
  <c r="S8" i="1" s="1"/>
  <c r="S13" i="1" l="1"/>
  <c r="Q17" i="1"/>
  <c r="S17" i="1" s="1"/>
  <c r="Q22" i="1"/>
  <c r="S22" i="1" s="1"/>
  <c r="Q23" i="1"/>
  <c r="S23" i="1" s="1"/>
  <c r="Z26" i="1"/>
  <c r="AA26" i="1" s="1"/>
  <c r="AB26" i="1" s="1"/>
  <c r="AC26" i="1" s="1"/>
  <c r="AD26" i="1" s="1"/>
  <c r="Y24" i="1"/>
  <c r="Y27" i="1" s="1"/>
  <c r="Y30" i="1"/>
  <c r="Q15" i="1"/>
  <c r="S15" i="1" s="1"/>
  <c r="S18" i="1"/>
  <c r="Q20" i="1"/>
  <c r="S20" i="1" s="1"/>
  <c r="S24" i="1"/>
  <c r="S25" i="1" s="1"/>
  <c r="C18" i="2"/>
  <c r="C14" i="2"/>
  <c r="C16" i="2"/>
  <c r="C19" i="2"/>
  <c r="M15" i="2"/>
  <c r="L15" i="2"/>
  <c r="U30" i="2"/>
  <c r="C9" i="2"/>
  <c r="D15" i="2"/>
  <c r="E15" i="2"/>
  <c r="F15" i="2"/>
  <c r="G15" i="2"/>
  <c r="H15" i="2"/>
  <c r="I15" i="2"/>
  <c r="J15" i="2"/>
  <c r="K15" i="2"/>
</calcChain>
</file>

<file path=xl/sharedStrings.xml><?xml version="1.0" encoding="utf-8"?>
<sst xmlns="http://schemas.openxmlformats.org/spreadsheetml/2006/main" count="213" uniqueCount="110">
  <si>
    <t>Шаг</t>
  </si>
  <si>
    <t>Действие</t>
  </si>
  <si>
    <t>Время</t>
  </si>
  <si>
    <t>Въезд</t>
  </si>
  <si>
    <t>Водитель передает пакет документов (накладная, путевой лист и т.д.).</t>
  </si>
  <si>
    <t>Затраты</t>
  </si>
  <si>
    <t>Ввод данных</t>
  </si>
  <si>
    <t>Сотрудник проходной вручную просматривает документы, находит ключевые реквизиты (номер, объем, ФИО водителя) и вбивает их в электронную форму/базу данных.</t>
  </si>
  <si>
    <t>Ставки</t>
  </si>
  <si>
    <t>Ресурсная роль специалиста</t>
  </si>
  <si>
    <t>Ставка в час, руб.</t>
  </si>
  <si>
    <t>Ставка в день, руб.</t>
  </si>
  <si>
    <t>5 мин</t>
  </si>
  <si>
    <t xml:space="preserve">Охранник </t>
  </si>
  <si>
    <t>Ставка в месяц, руб.</t>
  </si>
  <si>
    <t>Заправка</t>
  </si>
  <si>
    <t>Бензовоз следует на эстакаду, происходит заправка.</t>
  </si>
  <si>
    <t>Выезд</t>
  </si>
  <si>
    <t>Водитель подъезжает к выездной проходной.</t>
  </si>
  <si>
    <t>Сверка и печать</t>
  </si>
  <si>
    <t>Сотрудник ищет запись в базе, сверяет данные, распечатывает пропуск или акт выполненных работ.</t>
  </si>
  <si>
    <t>2 мин</t>
  </si>
  <si>
    <t>-</t>
  </si>
  <si>
    <t>Сотрудник подносит документ к сканеру/камере. Происходит автоматическое захват изображения.</t>
  </si>
  <si>
    <t>7 сек</t>
  </si>
  <si>
    <t>5 сек</t>
  </si>
  <si>
    <t>Сотрудник запрашивает документ по номеру машины/накладной. Система мгновенно находит запись и автоматически отправляет на печать готовый пропуск.</t>
  </si>
  <si>
    <t>Ставка, руб.</t>
  </si>
  <si>
    <t>Руководитель проекта</t>
  </si>
  <si>
    <t>Бизнес-аналитик</t>
  </si>
  <si>
    <t>Стоимость работ, руб.</t>
  </si>
  <si>
    <t>ML-архитектор</t>
  </si>
  <si>
    <t>Срок, дней</t>
  </si>
  <si>
    <t>Проектирование, выбор технологий</t>
  </si>
  <si>
    <t>Итого</t>
  </si>
  <si>
    <t>Разработка ML-модели</t>
  </si>
  <si>
    <t>ML-инженер</t>
  </si>
  <si>
    <t>Data Scientist</t>
  </si>
  <si>
    <t>Интеграция с системой</t>
  </si>
  <si>
    <t>Backend-разработчик</t>
  </si>
  <si>
    <t>Тестирование и внедрение</t>
  </si>
  <si>
    <t>QA-инженер </t>
  </si>
  <si>
    <t>DevOps</t>
  </si>
  <si>
    <t>Общие затраты</t>
  </si>
  <si>
    <t>As is (ПОЕЗД)</t>
  </si>
  <si>
    <t>To be (ПОЕЗД)</t>
  </si>
  <si>
    <t>As is (БЕНЗОВОЗ)</t>
  </si>
  <si>
    <t>To be (БЕНЗОВОЗ)</t>
  </si>
  <si>
    <t>800 машин х 5 мин = 4000 мин  4000 х 188,8 = 755 200 руб/ день</t>
  </si>
  <si>
    <t>800 машин х 2 мин = 1600 мин  1600 х 94,4 = 302 080 руб/ день</t>
  </si>
  <si>
    <t>Итого: 1 057 280 руб в день</t>
  </si>
  <si>
    <t>800 машин х 7 сек = 93,3 мин  93,3 х 188,8 = 17 615 руб/ день</t>
  </si>
  <si>
    <t>800 машин х 5 сек = 66,6 мин  66,6 х 188,8 =12 574 руб/ день</t>
  </si>
  <si>
    <t>Итого: 30 187 руб в день</t>
  </si>
  <si>
    <t>Экономия: 1 027 093 х 30 = 30 812 790 руб/месяц</t>
  </si>
  <si>
    <t>30 поездов х 5 мин = 150 мин  150 х 188,8 = 28 320 руб/ день</t>
  </si>
  <si>
    <t>30 поездов х 2 мин = 60 мин  60 х 188,8 = 11 328руб/ день</t>
  </si>
  <si>
    <t>Итого: 39 648 руб в день</t>
  </si>
  <si>
    <t>30 поездов х 7 сек = 3,5 мин  3,5 х 188,8 = 660,8 руб/ день</t>
  </si>
  <si>
    <t>30 поездов х 5 сек = 2,5 мин  2,5 х 188,8 = 472 руб/ день</t>
  </si>
  <si>
    <t>Итого:1 132,8 руб в день</t>
  </si>
  <si>
    <t>Экономия: 39515,2 х 30 = 1 155 456 руб/месяц</t>
  </si>
  <si>
    <t>Год</t>
  </si>
  <si>
    <t>CF - денежный поток</t>
  </si>
  <si>
    <t>I - Инвестиции</t>
  </si>
  <si>
    <t>r - ставка дисконтирования</t>
  </si>
  <si>
    <t>Индекс дисконтирования</t>
  </si>
  <si>
    <t>Дисконтированные CF</t>
  </si>
  <si>
    <t>Сумма CF</t>
  </si>
  <si>
    <t>PB - срок окупаемости</t>
  </si>
  <si>
    <t>DPB - дисконтированный период окупаемости</t>
  </si>
  <si>
    <t>PI - индекс доходности</t>
  </si>
  <si>
    <t>IRR - внутренняя норма доходности</t>
  </si>
  <si>
    <t>NPV - чистая приведённая стоимость</t>
  </si>
  <si>
    <t>ARR - cредняя норма рентабельности</t>
  </si>
  <si>
    <t>Наименование</t>
  </si>
  <si>
    <t>Позиция</t>
  </si>
  <si>
    <t>Кол-во</t>
  </si>
  <si>
    <t>Цена (₽/шт)</t>
  </si>
  <si>
    <t>Итог (₽)</t>
  </si>
  <si>
    <t>Антивирус</t>
  </si>
  <si>
    <t>Kaspersky Endpoint Security Standard</t>
  </si>
  <si>
    <t>СХД</t>
  </si>
  <si>
    <t>Сумма</t>
  </si>
  <si>
    <t>224АС</t>
  </si>
  <si>
    <t>Серверы</t>
  </si>
  <si>
    <t>SSD Innodisk DES25-C12IC1KCCDL (30 ТБ)</t>
  </si>
  <si>
    <t>NVME SSD Innodisk DEM28-C12IB1KWAQF (6 ТБ)</t>
  </si>
  <si>
    <t>HDD Seagate Exos 7E10 (48 ТБ)</t>
  </si>
  <si>
    <t>RAM Innodisk M5UZ-BGM2K50Q-D (1 ТБ)</t>
  </si>
  <si>
    <t>A100</t>
  </si>
  <si>
    <t>A10</t>
  </si>
  <si>
    <t>коммутаторыAQ-N200-48T4X4</t>
  </si>
  <si>
    <t>аггрегирующие коммутаторы AQ-N5000-24X2C</t>
  </si>
  <si>
    <t>Телефонная связь</t>
  </si>
  <si>
    <t>Радиосвязь</t>
  </si>
  <si>
    <t>Селена</t>
  </si>
  <si>
    <t>Датафлоат</t>
  </si>
  <si>
    <t>Разработка ML</t>
  </si>
  <si>
    <t>Orion</t>
  </si>
  <si>
    <t>Лицензия на ПО «StarVault» на 100 клиентов</t>
  </si>
  <si>
    <t>Лицензия на ПО «Termit Apps and Desktops» на 1 пользователя, на срок действия исключительного права правообладателя, именная лицензия</t>
  </si>
  <si>
    <t>Лицензия на ПО «Система безопасного управления средой виртуализации Z|virt» на физический сервер с максимально 2 CPU</t>
  </si>
  <si>
    <t>PIX BI</t>
  </si>
  <si>
    <t>1C</t>
  </si>
  <si>
    <t>Лицензия</t>
  </si>
  <si>
    <t>Обучение сотрудников</t>
  </si>
  <si>
    <t>Сертификат на Техническую Поддержку уровня «Базовый» и доступ к обновлениям на ПО «Система безопасного управления средой виртуализации Z|virt» на физический сервер с максимально 2 CPU на 5 лет</t>
  </si>
  <si>
    <t>Сертификат на Техническую Поддержку уровня «Базовый» и доступ к обновлениям на именную лицензию ПО «Termit Apps and Desktops» на 1 пользователя, сроком на 5 лет</t>
  </si>
  <si>
    <t>Сертификат на Техническую Поддержку уровня «Базовый» и доступ к обновлениям на ПО «StarVault» на 100 клиентов на 5 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</si>
</sst>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1"/>
      <color rgb="FFFF0000"/>
      <name val="Calibri"/>
      <family val="2"/>
      <scheme val="minor"/>
    </font>
    <font>
      <sz val="9"/>
      <name val="Arial"/>
      <family val="2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9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rgb="FF92D05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b/>
      <sz val="12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u/>
      <sz val="12"/>
      <color theme="10"/>
      <name val="Times New Roman"/>
      <family val="1"/>
      <charset val="204"/>
    </font>
    <font>
      <sz val="8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07D"/>
        <bgColor theme="3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theme="3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127">
    <xf numFmtId="0" fontId="0" fillId="0" borderId="0" xfId="0"/>
    <xf numFmtId="0" fontId="6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/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wrapText="1"/>
    </xf>
    <xf numFmtId="49" fontId="2" fillId="4" borderId="1" xfId="0" applyNumberFormat="1" applyFont="1" applyFill="1" applyBorder="1" applyAlignment="1" applyProtection="1">
      <alignment horizontal="center" wrapText="1"/>
      <protection hidden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5" fillId="2" borderId="15" xfId="0" applyNumberFormat="1" applyFont="1" applyFill="1" applyBorder="1" applyAlignment="1" applyProtection="1">
      <alignment horizontal="center" vertical="center" wrapText="1"/>
      <protection hidden="1"/>
    </xf>
    <xf numFmtId="49" fontId="5" fillId="2" borderId="16" xfId="0" applyNumberFormat="1" applyFont="1" applyFill="1" applyBorder="1" applyAlignment="1" applyProtection="1">
      <alignment horizontal="center" vertical="center" wrapText="1"/>
      <protection hidden="1"/>
    </xf>
    <xf numFmtId="49" fontId="5" fillId="2" borderId="17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5" xfId="0" applyBorder="1"/>
    <xf numFmtId="0" fontId="0" fillId="0" borderId="0" xfId="0" applyBorder="1"/>
    <xf numFmtId="4" fontId="0" fillId="0" borderId="0" xfId="0" applyNumberFormat="1" applyBorder="1"/>
    <xf numFmtId="3" fontId="0" fillId="0" borderId="6" xfId="0" applyNumberFormat="1" applyBorder="1"/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0" fillId="0" borderId="8" xfId="0" applyBorder="1"/>
    <xf numFmtId="0" fontId="0" fillId="0" borderId="0" xfId="0" applyFill="1" applyBorder="1"/>
    <xf numFmtId="3" fontId="0" fillId="0" borderId="9" xfId="0" applyNumberFormat="1" applyBorder="1"/>
    <xf numFmtId="0" fontId="0" fillId="0" borderId="10" xfId="0" applyBorder="1" applyAlignment="1">
      <alignment horizontal="center" vertical="center"/>
    </xf>
    <xf numFmtId="0" fontId="0" fillId="5" borderId="13" xfId="0" applyFill="1" applyBorder="1"/>
    <xf numFmtId="0" fontId="7" fillId="0" borderId="0" xfId="0" applyFont="1"/>
    <xf numFmtId="0" fontId="8" fillId="0" borderId="0" xfId="0" applyFont="1" applyBorder="1" applyAlignment="1">
      <alignment horizontal="centerContinuous"/>
    </xf>
    <xf numFmtId="0" fontId="9" fillId="0" borderId="0" xfId="0" applyFont="1" applyBorder="1" applyAlignment="1">
      <alignment horizontal="center"/>
    </xf>
    <xf numFmtId="17" fontId="0" fillId="0" borderId="0" xfId="0" applyNumberForma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3" fillId="0" borderId="1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/>
    </xf>
    <xf numFmtId="2" fontId="14" fillId="0" borderId="26" xfId="0" applyNumberFormat="1" applyFont="1" applyBorder="1"/>
    <xf numFmtId="2" fontId="15" fillId="0" borderId="19" xfId="0" applyNumberFormat="1" applyFont="1" applyBorder="1"/>
    <xf numFmtId="2" fontId="15" fillId="0" borderId="1" xfId="0" applyNumberFormat="1" applyFont="1" applyBorder="1"/>
    <xf numFmtId="0" fontId="13" fillId="0" borderId="25" xfId="0" applyFont="1" applyBorder="1"/>
    <xf numFmtId="0" fontId="15" fillId="0" borderId="19" xfId="0" applyFont="1" applyBorder="1"/>
    <xf numFmtId="0" fontId="15" fillId="0" borderId="1" xfId="0" applyFont="1" applyBorder="1"/>
    <xf numFmtId="0" fontId="13" fillId="0" borderId="27" xfId="0" applyFont="1" applyBorder="1" applyAlignment="1">
      <alignment horizontal="left" vertical="center"/>
    </xf>
    <xf numFmtId="2" fontId="15" fillId="0" borderId="21" xfId="0" applyNumberFormat="1" applyFont="1" applyBorder="1"/>
    <xf numFmtId="2" fontId="15" fillId="0" borderId="0" xfId="0" applyNumberFormat="1" applyFont="1"/>
    <xf numFmtId="0" fontId="13" fillId="0" borderId="29" xfId="0" applyFont="1" applyBorder="1" applyAlignment="1">
      <alignment horizontal="left" vertical="center"/>
    </xf>
    <xf numFmtId="2" fontId="16" fillId="0" borderId="26" xfId="0" applyNumberFormat="1" applyFont="1" applyBorder="1"/>
    <xf numFmtId="2" fontId="15" fillId="5" borderId="28" xfId="0" applyNumberFormat="1" applyFont="1" applyFill="1" applyBorder="1"/>
    <xf numFmtId="2" fontId="15" fillId="5" borderId="21" xfId="0" applyNumberFormat="1" applyFont="1" applyFill="1" applyBorder="1"/>
    <xf numFmtId="2" fontId="15" fillId="0" borderId="21" xfId="0" applyNumberFormat="1" applyFont="1" applyFill="1" applyBorder="1"/>
    <xf numFmtId="2" fontId="16" fillId="0" borderId="6" xfId="0" applyNumberFormat="1" applyFont="1" applyBorder="1"/>
    <xf numFmtId="9" fontId="16" fillId="0" borderId="30" xfId="1" applyFont="1" applyBorder="1"/>
    <xf numFmtId="0" fontId="13" fillId="0" borderId="0" xfId="0" applyFont="1" applyBorder="1" applyAlignment="1">
      <alignment horizontal="center" vertical="center"/>
    </xf>
    <xf numFmtId="2" fontId="15" fillId="0" borderId="0" xfId="0" applyNumberFormat="1" applyFont="1" applyBorder="1"/>
    <xf numFmtId="0" fontId="15" fillId="0" borderId="0" xfId="0" applyFont="1" applyBorder="1"/>
    <xf numFmtId="2" fontId="15" fillId="0" borderId="0" xfId="0" applyNumberFormat="1" applyFont="1" applyFill="1" applyBorder="1"/>
    <xf numFmtId="0" fontId="17" fillId="0" borderId="17" xfId="0" applyFont="1" applyBorder="1" applyAlignment="1">
      <alignment horizontal="center" vertical="center"/>
    </xf>
    <xf numFmtId="0" fontId="10" fillId="0" borderId="0" xfId="0" applyFont="1" applyBorder="1"/>
    <xf numFmtId="0" fontId="7" fillId="0" borderId="0" xfId="0" applyFont="1" applyBorder="1"/>
    <xf numFmtId="10" fontId="0" fillId="0" borderId="0" xfId="0" applyNumberFormat="1" applyBorder="1"/>
    <xf numFmtId="0" fontId="8" fillId="0" borderId="0" xfId="0" applyFont="1" applyBorder="1" applyAlignment="1">
      <alignment vertical="center" wrapText="1"/>
    </xf>
    <xf numFmtId="0" fontId="8" fillId="0" borderId="0" xfId="0" applyFont="1" applyBorder="1" applyAlignment="1"/>
    <xf numFmtId="10" fontId="12" fillId="0" borderId="0" xfId="1" applyNumberFormat="1" applyFont="1" applyBorder="1" applyAlignment="1">
      <alignment horizont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/>
    <xf numFmtId="0" fontId="7" fillId="0" borderId="0" xfId="0" applyFont="1" applyFill="1" applyBorder="1"/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3" fontId="20" fillId="0" borderId="1" xfId="0" applyNumberFormat="1" applyFont="1" applyBorder="1" applyAlignment="1">
      <alignment horizontal="center" vertical="center" wrapText="1"/>
    </xf>
    <xf numFmtId="0" fontId="21" fillId="0" borderId="1" xfId="0" applyFont="1" applyBorder="1" applyAlignment="1">
      <alignment vertical="center" wrapText="1"/>
    </xf>
    <xf numFmtId="3" fontId="21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/>
    <xf numFmtId="3" fontId="22" fillId="0" borderId="1" xfId="0" applyNumberFormat="1" applyFont="1" applyBorder="1"/>
    <xf numFmtId="9" fontId="16" fillId="0" borderId="26" xfId="1" applyFont="1" applyBorder="1"/>
    <xf numFmtId="0" fontId="15" fillId="0" borderId="1" xfId="0" applyFont="1" applyBorder="1" applyAlignment="1">
      <alignment vertical="center"/>
    </xf>
    <xf numFmtId="0" fontId="15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vertical="center" wrapText="1"/>
    </xf>
    <xf numFmtId="0" fontId="23" fillId="0" borderId="1" xfId="2" applyFont="1" applyBorder="1" applyAlignment="1">
      <alignment horizontal="center" vertical="center"/>
    </xf>
    <xf numFmtId="0" fontId="23" fillId="0" borderId="1" xfId="2" applyFont="1" applyBorder="1" applyAlignment="1">
      <alignment horizontal="center" vertical="center" wrapText="1"/>
    </xf>
    <xf numFmtId="2" fontId="15" fillId="0" borderId="28" xfId="0" applyNumberFormat="1" applyFont="1" applyFill="1" applyBorder="1"/>
    <xf numFmtId="2" fontId="15" fillId="6" borderId="21" xfId="0" applyNumberFormat="1" applyFont="1" applyFill="1" applyBorder="1"/>
    <xf numFmtId="0" fontId="25" fillId="0" borderId="0" xfId="0" applyFont="1" applyFill="1" applyBorder="1"/>
    <xf numFmtId="0" fontId="1" fillId="0" borderId="0" xfId="0" applyFont="1" applyFill="1" applyBorder="1"/>
    <xf numFmtId="0" fontId="25" fillId="0" borderId="0" xfId="0" applyFont="1" applyFill="1" applyBorder="1" applyAlignment="1">
      <alignment horizontal="left" wrapText="1"/>
    </xf>
    <xf numFmtId="0" fontId="1" fillId="0" borderId="0" xfId="0" applyFont="1" applyFill="1" applyBorder="1" applyAlignment="1">
      <alignment horizontal="right" wrapText="1"/>
    </xf>
    <xf numFmtId="4" fontId="1" fillId="0" borderId="0" xfId="0" applyNumberFormat="1" applyFont="1" applyFill="1" applyBorder="1"/>
    <xf numFmtId="0" fontId="25" fillId="0" borderId="0" xfId="0" applyFont="1" applyFill="1" applyBorder="1" applyAlignment="1">
      <alignment horizontal="right" wrapText="1"/>
    </xf>
    <xf numFmtId="0" fontId="15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 wrapText="1"/>
    </xf>
    <xf numFmtId="0" fontId="20" fillId="0" borderId="0" xfId="0" applyFont="1" applyBorder="1" applyAlignment="1">
      <alignment horizontal="center" vertical="center" wrapText="1"/>
    </xf>
    <xf numFmtId="3" fontId="21" fillId="0" borderId="0" xfId="0" applyNumberFormat="1" applyFont="1" applyBorder="1" applyAlignment="1">
      <alignment horizontal="center" vertical="center" wrapText="1"/>
    </xf>
    <xf numFmtId="3" fontId="20" fillId="0" borderId="0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Процентный" xfId="1" builtinId="5"/>
  </cellStyles>
  <dxfs count="23"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  <dxf>
      <fill>
        <patternFill patternType="solid">
          <fgColor theme="6" tint="0.59996337778862885"/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Дисконтированный денежный поток нарастающим итогом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val>
            <c:numRef>
              <c:f>Общее!$D$16:$M$16</c:f>
              <c:numCache>
                <c:formatCode>0.00</c:formatCode>
                <c:ptCount val="10"/>
                <c:pt idx="0">
                  <c:v>-200444580.34</c:v>
                </c:pt>
                <c:pt idx="1">
                  <c:v>-43273760.330000013</c:v>
                </c:pt>
                <c:pt idx="2">
                  <c:v>74557277.559999987</c:v>
                </c:pt>
                <c:pt idx="3">
                  <c:v>156624877.15999997</c:v>
                </c:pt>
                <c:pt idx="4">
                  <c:v>206180260.12999997</c:v>
                </c:pt>
                <c:pt idx="5">
                  <c:v>226179082.52999997</c:v>
                </c:pt>
                <c:pt idx="6">
                  <c:v>233049860.64999998</c:v>
                </c:pt>
                <c:pt idx="7">
                  <c:v>264347548.32999998</c:v>
                </c:pt>
                <c:pt idx="8">
                  <c:v>317851517.43000001</c:v>
                </c:pt>
                <c:pt idx="9">
                  <c:v>391543015.09000003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E2-4411-AA19-7BCE98809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65646815"/>
        <c:axId val="565647231"/>
      </c:lineChart>
      <c:catAx>
        <c:axId val="56564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/>
                  <a:t>Год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47231"/>
        <c:crosses val="autoZero"/>
        <c:auto val="1"/>
        <c:lblAlgn val="ctr"/>
        <c:lblOffset val="100"/>
        <c:noMultiLvlLbl val="0"/>
      </c:catAx>
      <c:valAx>
        <c:axId val="565647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руб.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564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05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415208</xdr:colOff>
      <xdr:row>22</xdr:row>
      <xdr:rowOff>52453</xdr:rowOff>
    </xdr:from>
    <xdr:to>
      <xdr:col>9</xdr:col>
      <xdr:colOff>504421</xdr:colOff>
      <xdr:row>38</xdr:row>
      <xdr:rowOff>42929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D2AE838-DA15-4FC8-9C6C-1F901FF66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gard.ru/product/425470/zestkii-disk-8tb-sata-iii-seagate-exos-7e10-st8000nm017b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innodisk.ru/product/dem28-c12ib1kwaqf" TargetMode="External"/><Relationship Id="rId1" Type="http://schemas.openxmlformats.org/officeDocument/2006/relationships/hyperlink" Target="https://innodisk.ru/product/des25-c12ic1kccdl" TargetMode="External"/><Relationship Id="rId6" Type="http://schemas.openxmlformats.org/officeDocument/2006/relationships/hyperlink" Target="https://innodisk.ru/product/dem28-c12ib1kwaqf" TargetMode="External"/><Relationship Id="rId5" Type="http://schemas.openxmlformats.org/officeDocument/2006/relationships/hyperlink" Target="https://innodisk.ru/product/des25-c12ic1kccdl" TargetMode="External"/><Relationship Id="rId4" Type="http://schemas.openxmlformats.org/officeDocument/2006/relationships/hyperlink" Target="https://innodisk.ru/product/des25-c12ic1kccd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AV56"/>
  <sheetViews>
    <sheetView topLeftCell="K4" zoomScale="70" zoomScaleNormal="70" workbookViewId="0">
      <selection activeCell="Y25" sqref="Y25"/>
    </sheetView>
  </sheetViews>
  <sheetFormatPr defaultRowHeight="14.4" x14ac:dyDescent="0.3"/>
  <cols>
    <col min="3" max="3" width="13.88671875" bestFit="1" customWidth="1"/>
    <col min="4" max="4" width="61.21875" bestFit="1" customWidth="1"/>
    <col min="6" max="6" width="27.77734375" customWidth="1"/>
    <col min="7" max="7" width="8.77734375" bestFit="1" customWidth="1"/>
    <col min="11" max="11" width="19" bestFit="1" customWidth="1"/>
    <col min="13" max="13" width="9.5546875" customWidth="1"/>
    <col min="14" max="14" width="10.44140625" customWidth="1"/>
    <col min="16" max="16" width="19" bestFit="1" customWidth="1"/>
    <col min="19" max="19" width="10.88671875" customWidth="1"/>
    <col min="20" max="20" width="12.77734375" customWidth="1"/>
    <col min="24" max="24" width="38.44140625" bestFit="1" customWidth="1"/>
    <col min="25" max="25" width="14.88671875" customWidth="1"/>
    <col min="26" max="26" width="13.21875" bestFit="1" customWidth="1"/>
    <col min="27" max="30" width="14.109375" bestFit="1" customWidth="1"/>
    <col min="31" max="31" width="13.21875" bestFit="1" customWidth="1"/>
    <col min="32" max="35" width="14.44140625" bestFit="1" customWidth="1"/>
    <col min="45" max="45" width="12.33203125" bestFit="1" customWidth="1"/>
  </cols>
  <sheetData>
    <row r="2" spans="3:48" ht="15" thickBot="1" x14ac:dyDescent="0.35">
      <c r="C2" t="s">
        <v>46</v>
      </c>
      <c r="Y2" s="44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</row>
    <row r="3" spans="3:48" ht="43.2" x14ac:dyDescent="0.3">
      <c r="C3" s="5" t="s">
        <v>0</v>
      </c>
      <c r="D3" s="6" t="s">
        <v>1</v>
      </c>
      <c r="E3" s="6" t="s">
        <v>2</v>
      </c>
      <c r="F3" s="7" t="s">
        <v>5</v>
      </c>
      <c r="J3" s="1" t="s">
        <v>8</v>
      </c>
      <c r="K3" s="26" t="s">
        <v>9</v>
      </c>
      <c r="L3" s="27" t="s">
        <v>10</v>
      </c>
      <c r="M3" s="27" t="s">
        <v>11</v>
      </c>
      <c r="N3" s="28" t="s">
        <v>14</v>
      </c>
      <c r="P3" s="21" t="s">
        <v>9</v>
      </c>
      <c r="Q3" s="22" t="s">
        <v>27</v>
      </c>
      <c r="R3" s="22" t="s">
        <v>32</v>
      </c>
      <c r="S3" s="21" t="s">
        <v>30</v>
      </c>
      <c r="T3" s="20"/>
      <c r="X3" s="74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41"/>
      <c r="AT3" s="41"/>
      <c r="AU3" s="41"/>
      <c r="AV3" s="41"/>
    </row>
    <row r="4" spans="3:48" ht="28.5" customHeight="1" x14ac:dyDescent="0.3">
      <c r="C4" s="8" t="s">
        <v>3</v>
      </c>
      <c r="D4" s="9" t="s">
        <v>4</v>
      </c>
      <c r="E4" s="10" t="s">
        <v>22</v>
      </c>
      <c r="F4" s="11" t="s">
        <v>22</v>
      </c>
      <c r="K4" s="29" t="s">
        <v>13</v>
      </c>
      <c r="L4" s="30">
        <f>94.4*2</f>
        <v>188.8</v>
      </c>
      <c r="M4" s="31">
        <v>2266.6999999999998</v>
      </c>
      <c r="N4" s="32">
        <v>68000</v>
      </c>
      <c r="P4" s="123" t="s">
        <v>33</v>
      </c>
      <c r="Q4" s="123"/>
      <c r="R4" s="123"/>
      <c r="S4" s="123"/>
      <c r="T4" s="19"/>
      <c r="X4" s="74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</row>
    <row r="5" spans="3:48" ht="43.2" x14ac:dyDescent="0.3">
      <c r="C5" s="8" t="s">
        <v>6</v>
      </c>
      <c r="D5" s="9" t="s">
        <v>7</v>
      </c>
      <c r="E5" s="10" t="s">
        <v>12</v>
      </c>
      <c r="F5" s="12" t="s">
        <v>48</v>
      </c>
      <c r="K5" s="33" t="s">
        <v>28</v>
      </c>
      <c r="L5" s="30">
        <f t="shared" ref="L5:L11" si="0">M5/8</f>
        <v>1458.3333333333333</v>
      </c>
      <c r="M5" s="30">
        <f>N5/30</f>
        <v>11666.666666666666</v>
      </c>
      <c r="N5" s="32">
        <v>350000</v>
      </c>
      <c r="P5" s="23" t="s">
        <v>28</v>
      </c>
      <c r="Q5" s="24">
        <f>M5</f>
        <v>11666.666666666666</v>
      </c>
      <c r="R5" s="113">
        <v>30</v>
      </c>
      <c r="S5" s="24">
        <f>Q5*$R$5</f>
        <v>350000</v>
      </c>
      <c r="X5" s="71"/>
      <c r="Y5" s="72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</row>
    <row r="6" spans="3:48" x14ac:dyDescent="0.3">
      <c r="C6" s="8" t="s">
        <v>15</v>
      </c>
      <c r="D6" s="9" t="s">
        <v>16</v>
      </c>
      <c r="E6" s="10" t="s">
        <v>22</v>
      </c>
      <c r="F6" s="11" t="s">
        <v>22</v>
      </c>
      <c r="K6" s="34" t="s">
        <v>29</v>
      </c>
      <c r="L6" s="30">
        <f t="shared" si="0"/>
        <v>1250</v>
      </c>
      <c r="M6" s="30">
        <f t="shared" ref="M6:M11" si="1">N6/30</f>
        <v>10000</v>
      </c>
      <c r="N6" s="32">
        <v>300000</v>
      </c>
      <c r="P6" s="25" t="s">
        <v>29</v>
      </c>
      <c r="Q6" s="24">
        <f t="shared" ref="Q6" si="2">M6</f>
        <v>10000</v>
      </c>
      <c r="R6" s="113"/>
      <c r="S6" s="24">
        <f t="shared" ref="S6" si="3">Q6*$R$5</f>
        <v>300000</v>
      </c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</row>
    <row r="7" spans="3:48" x14ac:dyDescent="0.3">
      <c r="C7" s="8" t="s">
        <v>17</v>
      </c>
      <c r="D7" s="9" t="s">
        <v>18</v>
      </c>
      <c r="E7" s="10" t="s">
        <v>22</v>
      </c>
      <c r="F7" s="11" t="s">
        <v>22</v>
      </c>
      <c r="K7" s="33" t="s">
        <v>31</v>
      </c>
      <c r="L7" s="30">
        <f t="shared" si="0"/>
        <v>1666.6666666666667</v>
      </c>
      <c r="M7" s="30">
        <f t="shared" si="1"/>
        <v>13333.333333333334</v>
      </c>
      <c r="N7" s="32">
        <v>400000</v>
      </c>
      <c r="P7" s="23" t="s">
        <v>31</v>
      </c>
      <c r="Q7" s="24">
        <f>M7</f>
        <v>13333.333333333334</v>
      </c>
      <c r="R7" s="113"/>
      <c r="S7" s="24">
        <f>Q7*$R$5</f>
        <v>400000</v>
      </c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</row>
    <row r="8" spans="3:48" ht="29.4" thickBot="1" x14ac:dyDescent="0.35">
      <c r="C8" s="13" t="s">
        <v>19</v>
      </c>
      <c r="D8" s="14" t="s">
        <v>20</v>
      </c>
      <c r="E8" s="15" t="s">
        <v>21</v>
      </c>
      <c r="F8" s="16" t="s">
        <v>49</v>
      </c>
      <c r="K8" s="29" t="s">
        <v>37</v>
      </c>
      <c r="L8" s="30">
        <f t="shared" si="0"/>
        <v>1250</v>
      </c>
      <c r="M8" s="30">
        <f t="shared" si="1"/>
        <v>10000</v>
      </c>
      <c r="N8" s="32">
        <v>300000</v>
      </c>
      <c r="P8" s="124" t="s">
        <v>34</v>
      </c>
      <c r="Q8" s="124"/>
      <c r="R8" s="124"/>
      <c r="S8" s="24">
        <f>S5+S6+S7</f>
        <v>1050000</v>
      </c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</row>
    <row r="9" spans="3:48" x14ac:dyDescent="0.3">
      <c r="F9" s="4" t="s">
        <v>50</v>
      </c>
      <c r="K9" s="8" t="s">
        <v>39</v>
      </c>
      <c r="L9" s="30">
        <f t="shared" si="0"/>
        <v>1041.6666666666667</v>
      </c>
      <c r="M9" s="30">
        <f t="shared" si="1"/>
        <v>8333.3333333333339</v>
      </c>
      <c r="N9" s="32">
        <v>250000</v>
      </c>
      <c r="P9" s="113" t="s">
        <v>35</v>
      </c>
      <c r="Q9" s="113"/>
      <c r="R9" s="113"/>
      <c r="S9" s="113"/>
      <c r="X9" s="30"/>
      <c r="Y9" s="36"/>
      <c r="Z9" s="36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</row>
    <row r="10" spans="3:48" ht="28.8" x14ac:dyDescent="0.3">
      <c r="K10" s="8" t="s">
        <v>41</v>
      </c>
      <c r="L10" s="36">
        <f t="shared" si="0"/>
        <v>833.33333333333337</v>
      </c>
      <c r="M10" s="36">
        <f t="shared" si="1"/>
        <v>6666.666666666667</v>
      </c>
      <c r="N10" s="32">
        <v>200000</v>
      </c>
      <c r="P10" s="23" t="s">
        <v>28</v>
      </c>
      <c r="Q10" s="24">
        <f>M5</f>
        <v>11666.666666666666</v>
      </c>
      <c r="R10" s="113">
        <v>20</v>
      </c>
      <c r="S10" s="24">
        <f>Q10*R10</f>
        <v>233333.33333333331</v>
      </c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</row>
    <row r="11" spans="3:48" ht="15" thickBot="1" x14ac:dyDescent="0.35">
      <c r="K11" s="13" t="s">
        <v>42</v>
      </c>
      <c r="L11" s="35">
        <f t="shared" si="0"/>
        <v>1250</v>
      </c>
      <c r="M11" s="35">
        <f t="shared" si="1"/>
        <v>10000</v>
      </c>
      <c r="N11" s="37">
        <v>300000</v>
      </c>
      <c r="P11" s="24" t="s">
        <v>36</v>
      </c>
      <c r="Q11" s="24">
        <f>M7</f>
        <v>13333.333333333334</v>
      </c>
      <c r="R11" s="113"/>
      <c r="S11" s="24">
        <f>Q11*$R$10</f>
        <v>266666.66666666669</v>
      </c>
      <c r="X11" s="30"/>
      <c r="Y11" s="73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</row>
    <row r="12" spans="3:48" ht="15" thickBot="1" x14ac:dyDescent="0.35">
      <c r="C12" t="s">
        <v>47</v>
      </c>
      <c r="P12" s="24" t="s">
        <v>37</v>
      </c>
      <c r="Q12" s="24">
        <f>M8</f>
        <v>10000</v>
      </c>
      <c r="R12" s="113"/>
      <c r="S12" s="24">
        <f>Q12*$R$10</f>
        <v>200000</v>
      </c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</row>
    <row r="13" spans="3:48" x14ac:dyDescent="0.3">
      <c r="C13" s="5" t="s">
        <v>0</v>
      </c>
      <c r="D13" s="6" t="s">
        <v>1</v>
      </c>
      <c r="E13" s="6" t="s">
        <v>2</v>
      </c>
      <c r="F13" s="7" t="s">
        <v>5</v>
      </c>
      <c r="P13" s="117" t="s">
        <v>34</v>
      </c>
      <c r="Q13" s="118"/>
      <c r="R13" s="119"/>
      <c r="S13" s="24">
        <f>S11+S12+S10</f>
        <v>700000</v>
      </c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</row>
    <row r="14" spans="3:48" ht="28.8" x14ac:dyDescent="0.3">
      <c r="C14" s="8" t="s">
        <v>3</v>
      </c>
      <c r="D14" s="9" t="s">
        <v>4</v>
      </c>
      <c r="E14" s="10" t="s">
        <v>22</v>
      </c>
      <c r="F14" s="11" t="s">
        <v>22</v>
      </c>
      <c r="P14" s="113" t="s">
        <v>38</v>
      </c>
      <c r="Q14" s="113"/>
      <c r="R14" s="113"/>
      <c r="S14" s="113"/>
    </row>
    <row r="15" spans="3:48" ht="28.8" x14ac:dyDescent="0.3">
      <c r="C15" s="8" t="s">
        <v>6</v>
      </c>
      <c r="D15" s="17" t="s">
        <v>23</v>
      </c>
      <c r="E15" s="10" t="s">
        <v>24</v>
      </c>
      <c r="F15" s="12" t="s">
        <v>51</v>
      </c>
      <c r="P15" s="23" t="s">
        <v>28</v>
      </c>
      <c r="Q15" s="24">
        <f>M5</f>
        <v>11666.666666666666</v>
      </c>
      <c r="R15" s="113">
        <v>14</v>
      </c>
      <c r="S15" s="24">
        <f>Q15*$R$15</f>
        <v>163333.33333333331</v>
      </c>
    </row>
    <row r="16" spans="3:48" x14ac:dyDescent="0.3">
      <c r="C16" s="8" t="s">
        <v>15</v>
      </c>
      <c r="D16" s="9" t="s">
        <v>16</v>
      </c>
      <c r="E16" s="10" t="s">
        <v>22</v>
      </c>
      <c r="F16" s="11" t="s">
        <v>22</v>
      </c>
      <c r="P16" s="24" t="s">
        <v>36</v>
      </c>
      <c r="Q16" s="24">
        <f>M7</f>
        <v>13333.333333333334</v>
      </c>
      <c r="R16" s="113"/>
      <c r="S16" s="24">
        <f t="shared" ref="S16:S17" si="4">Q16*$R$15</f>
        <v>186666.66666666669</v>
      </c>
      <c r="Z16" s="2"/>
    </row>
    <row r="17" spans="3:40" ht="15" thickBot="1" x14ac:dyDescent="0.35">
      <c r="C17" s="8" t="s">
        <v>17</v>
      </c>
      <c r="D17" s="9" t="s">
        <v>18</v>
      </c>
      <c r="E17" s="10" t="s">
        <v>22</v>
      </c>
      <c r="F17" s="11" t="s">
        <v>22</v>
      </c>
      <c r="P17" s="24" t="s">
        <v>39</v>
      </c>
      <c r="Q17" s="24">
        <f>M9</f>
        <v>8333.3333333333339</v>
      </c>
      <c r="R17" s="113"/>
      <c r="S17" s="24">
        <f t="shared" si="4"/>
        <v>116666.66666666667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</row>
    <row r="18" spans="3:40" ht="43.8" thickBot="1" x14ac:dyDescent="0.35">
      <c r="C18" s="13" t="s">
        <v>19</v>
      </c>
      <c r="D18" s="14" t="s">
        <v>26</v>
      </c>
      <c r="E18" s="15" t="s">
        <v>25</v>
      </c>
      <c r="F18" s="16" t="s">
        <v>52</v>
      </c>
      <c r="J18" s="18"/>
      <c r="P18" s="117" t="s">
        <v>34</v>
      </c>
      <c r="Q18" s="118"/>
      <c r="R18" s="119"/>
      <c r="S18" s="24">
        <f>S16+S17+S15</f>
        <v>466666.66666666669</v>
      </c>
      <c r="X18" s="46" t="s">
        <v>62</v>
      </c>
      <c r="Y18" s="70">
        <v>0</v>
      </c>
      <c r="Z18" s="47">
        <v>1</v>
      </c>
      <c r="AA18" s="48">
        <v>2</v>
      </c>
      <c r="AB18" s="48">
        <v>3</v>
      </c>
      <c r="AC18" s="48">
        <v>4</v>
      </c>
      <c r="AD18" s="48">
        <v>5</v>
      </c>
      <c r="AE18" s="66"/>
      <c r="AF18" s="66"/>
      <c r="AG18" s="66"/>
      <c r="AH18" s="66"/>
      <c r="AI18" s="66"/>
      <c r="AJ18" s="2"/>
      <c r="AK18" s="2"/>
      <c r="AL18" s="2"/>
      <c r="AM18" s="2"/>
    </row>
    <row r="19" spans="3:40" ht="15.6" x14ac:dyDescent="0.3">
      <c r="F19" s="4" t="s">
        <v>53</v>
      </c>
      <c r="P19" s="113" t="s">
        <v>40</v>
      </c>
      <c r="Q19" s="113"/>
      <c r="R19" s="113"/>
      <c r="S19" s="113"/>
      <c r="X19" s="49" t="s">
        <v>63</v>
      </c>
      <c r="Y19" s="50"/>
      <c r="Z19" s="51">
        <f>32907840+939594</f>
        <v>33847434</v>
      </c>
      <c r="AA19" s="51">
        <f t="shared" ref="AA19:AD19" si="5">32907840+939594</f>
        <v>33847434</v>
      </c>
      <c r="AB19" s="51">
        <f t="shared" si="5"/>
        <v>33847434</v>
      </c>
      <c r="AC19" s="51">
        <f t="shared" si="5"/>
        <v>33847434</v>
      </c>
      <c r="AD19" s="52">
        <f t="shared" si="5"/>
        <v>33847434</v>
      </c>
      <c r="AE19" s="67"/>
      <c r="AF19" s="67"/>
      <c r="AG19" s="67"/>
      <c r="AH19" s="67"/>
      <c r="AI19" s="67"/>
    </row>
    <row r="20" spans="3:40" ht="28.8" x14ac:dyDescent="0.3">
      <c r="P20" s="23" t="s">
        <v>28</v>
      </c>
      <c r="Q20" s="24">
        <f>M5</f>
        <v>11666.666666666666</v>
      </c>
      <c r="R20" s="120">
        <v>14</v>
      </c>
      <c r="S20" s="24">
        <f>Q20*$R$20</f>
        <v>163333.33333333331</v>
      </c>
      <c r="X20" s="49" t="s">
        <v>64</v>
      </c>
      <c r="Y20" s="60">
        <f>30000000+2636666.67</f>
        <v>32636666.670000002</v>
      </c>
      <c r="Z20" s="51"/>
      <c r="AA20" s="52"/>
      <c r="AB20" s="52"/>
      <c r="AC20" s="52"/>
      <c r="AD20" s="52"/>
      <c r="AE20" s="67"/>
      <c r="AF20" s="67"/>
      <c r="AG20" s="67"/>
      <c r="AH20" s="67"/>
      <c r="AI20" s="67"/>
    </row>
    <row r="21" spans="3:40" ht="15.6" x14ac:dyDescent="0.3">
      <c r="F21" s="40" t="s">
        <v>54</v>
      </c>
      <c r="P21" s="24" t="s">
        <v>36</v>
      </c>
      <c r="Q21" s="24">
        <f>M7</f>
        <v>13333.333333333334</v>
      </c>
      <c r="R21" s="121"/>
      <c r="S21" s="24">
        <f t="shared" ref="S21:S23" si="6">Q21*$R$20</f>
        <v>186666.66666666669</v>
      </c>
      <c r="X21" s="49" t="s">
        <v>65</v>
      </c>
      <c r="Y21" s="60"/>
      <c r="Z21" s="51">
        <v>0.15</v>
      </c>
      <c r="AA21" s="52">
        <v>0.15</v>
      </c>
      <c r="AB21" s="52">
        <v>0.15</v>
      </c>
      <c r="AC21" s="52">
        <v>0.15</v>
      </c>
      <c r="AD21" s="52">
        <v>0.15</v>
      </c>
      <c r="AE21" s="67"/>
      <c r="AF21" s="67"/>
      <c r="AG21" s="67"/>
      <c r="AH21" s="67"/>
      <c r="AI21" s="67"/>
      <c r="AJ21" s="2"/>
      <c r="AK21" s="2"/>
      <c r="AL21" s="2"/>
      <c r="AM21" s="2"/>
    </row>
    <row r="22" spans="3:40" ht="15.6" x14ac:dyDescent="0.3">
      <c r="P22" s="24" t="s">
        <v>41</v>
      </c>
      <c r="Q22" s="24">
        <f>M10</f>
        <v>6666.666666666667</v>
      </c>
      <c r="R22" s="121"/>
      <c r="S22" s="24">
        <f t="shared" si="6"/>
        <v>93333.333333333343</v>
      </c>
      <c r="X22" s="49" t="s">
        <v>66</v>
      </c>
      <c r="Y22" s="50"/>
      <c r="Z22" s="51">
        <f>1/(1+Z21)^Z18</f>
        <v>0.86956521739130443</v>
      </c>
      <c r="AA22" s="52">
        <f>1/(1+AA21)^AA18</f>
        <v>0.7561436672967865</v>
      </c>
      <c r="AB22" s="52">
        <f>1/(1+AB21)^AB18</f>
        <v>0.65751623243198831</v>
      </c>
      <c r="AC22" s="52">
        <f>1/(1+AC21)^AC18</f>
        <v>0.57175324559303342</v>
      </c>
      <c r="AD22" s="52">
        <f>1/(1+AD21)^AD18</f>
        <v>0.49717673529828987</v>
      </c>
      <c r="AE22" s="67"/>
      <c r="AF22" s="67"/>
      <c r="AG22" s="67"/>
      <c r="AH22" s="67"/>
      <c r="AI22" s="67"/>
      <c r="AJ22" s="2"/>
      <c r="AK22" s="2"/>
      <c r="AL22" s="2"/>
      <c r="AM22" s="2"/>
    </row>
    <row r="23" spans="3:40" ht="15.6" x14ac:dyDescent="0.3">
      <c r="P23" s="24" t="s">
        <v>42</v>
      </c>
      <c r="Q23" s="24">
        <f>M11</f>
        <v>10000</v>
      </c>
      <c r="R23" s="122"/>
      <c r="S23" s="24">
        <f t="shared" si="6"/>
        <v>140000</v>
      </c>
      <c r="X23" s="49" t="s">
        <v>67</v>
      </c>
      <c r="Y23" s="60">
        <f>-30000000-2636666.67</f>
        <v>-32636666.670000002</v>
      </c>
      <c r="Z23" s="51">
        <f>Z19*Z22</f>
        <v>29432551.304347828</v>
      </c>
      <c r="AA23" s="52">
        <f>AA19*AA22</f>
        <v>25593522.873345941</v>
      </c>
      <c r="AB23" s="52">
        <f>AB19*AB22</f>
        <v>22255237.281170383</v>
      </c>
      <c r="AC23" s="52">
        <f>AC19*AC22</f>
        <v>19352380.244495988</v>
      </c>
      <c r="AD23" s="52">
        <f>AD19*AD22</f>
        <v>16828156.734344337</v>
      </c>
      <c r="AE23" s="67"/>
      <c r="AF23" s="67"/>
      <c r="AG23" s="67"/>
      <c r="AH23" s="67"/>
      <c r="AI23" s="67"/>
    </row>
    <row r="24" spans="3:40" ht="16.2" thickBot="1" x14ac:dyDescent="0.35">
      <c r="C24" t="s">
        <v>44</v>
      </c>
      <c r="P24" s="114" t="s">
        <v>34</v>
      </c>
      <c r="Q24" s="115"/>
      <c r="R24" s="116"/>
      <c r="S24" s="38">
        <f>S22+S23+S21</f>
        <v>420000</v>
      </c>
      <c r="X24" s="49" t="s">
        <v>68</v>
      </c>
      <c r="Y24" s="60">
        <f>SUM(Z23:AI23)</f>
        <v>113461848.43770447</v>
      </c>
      <c r="Z24" s="51"/>
      <c r="AA24" s="52"/>
      <c r="AB24" s="52"/>
      <c r="AC24" s="52"/>
      <c r="AD24" s="52"/>
      <c r="AE24" s="67"/>
      <c r="AF24" s="67"/>
      <c r="AG24" s="67"/>
      <c r="AH24" s="67"/>
      <c r="AI24" s="67"/>
      <c r="AN24" s="2"/>
    </row>
    <row r="25" spans="3:40" ht="16.2" thickBot="1" x14ac:dyDescent="0.35">
      <c r="C25" s="5" t="s">
        <v>0</v>
      </c>
      <c r="D25" s="6" t="s">
        <v>1</v>
      </c>
      <c r="E25" s="6" t="s">
        <v>2</v>
      </c>
      <c r="F25" s="7" t="s">
        <v>5</v>
      </c>
      <c r="P25" s="125" t="s">
        <v>43</v>
      </c>
      <c r="Q25" s="126"/>
      <c r="R25" s="126"/>
      <c r="S25" s="39">
        <f>S24+S18+S13+S8</f>
        <v>2636666.666666667</v>
      </c>
      <c r="X25" s="53" t="s">
        <v>69</v>
      </c>
      <c r="Y25" s="60">
        <f>Y20/Z19</f>
        <v>0.96422868185517407</v>
      </c>
      <c r="Z25" s="54"/>
      <c r="AA25" s="55"/>
      <c r="AB25" s="55"/>
      <c r="AC25" s="55"/>
      <c r="AD25" s="55"/>
      <c r="AE25" s="68"/>
      <c r="AF25" s="68"/>
      <c r="AG25" s="68"/>
      <c r="AH25" s="68"/>
      <c r="AI25" s="68"/>
      <c r="AN25" s="43"/>
    </row>
    <row r="26" spans="3:40" ht="28.8" x14ac:dyDescent="0.3">
      <c r="C26" s="8" t="s">
        <v>3</v>
      </c>
      <c r="D26" s="9" t="s">
        <v>4</v>
      </c>
      <c r="E26" s="10" t="s">
        <v>22</v>
      </c>
      <c r="F26" s="11" t="s">
        <v>22</v>
      </c>
      <c r="G26" s="3"/>
      <c r="X26" s="56" t="s">
        <v>70</v>
      </c>
      <c r="Y26" s="64">
        <v>1</v>
      </c>
      <c r="Z26" s="61">
        <f>-Y20+Z23</f>
        <v>-3204115.3656521738</v>
      </c>
      <c r="AA26" s="62">
        <f>Z26+AA23</f>
        <v>22389407.507693768</v>
      </c>
      <c r="AB26" s="57">
        <f>AA26+AB23</f>
        <v>44644644.788864151</v>
      </c>
      <c r="AC26" s="57">
        <f>AB26+AC23</f>
        <v>63997025.033360139</v>
      </c>
      <c r="AD26" s="52">
        <f>AC26+AD23</f>
        <v>80825181.767704472</v>
      </c>
      <c r="AE26" s="67"/>
      <c r="AF26" s="69"/>
      <c r="AG26" s="67"/>
      <c r="AH26" s="67"/>
      <c r="AI26" s="67"/>
    </row>
    <row r="27" spans="3:40" ht="43.2" x14ac:dyDescent="0.3">
      <c r="C27" s="8" t="s">
        <v>6</v>
      </c>
      <c r="D27" s="9" t="s">
        <v>7</v>
      </c>
      <c r="E27" s="10" t="s">
        <v>12</v>
      </c>
      <c r="F27" s="12" t="s">
        <v>55</v>
      </c>
      <c r="X27" s="49" t="s">
        <v>71</v>
      </c>
      <c r="Y27" s="60">
        <f>Y24/Y20</f>
        <v>3.4765146080926184</v>
      </c>
      <c r="Z27" s="51"/>
      <c r="AA27" s="52"/>
      <c r="AB27" s="52"/>
      <c r="AC27" s="52"/>
      <c r="AD27" s="52"/>
      <c r="AE27" s="67"/>
      <c r="AF27" s="67"/>
      <c r="AG27" s="67"/>
      <c r="AH27" s="67"/>
      <c r="AI27" s="67"/>
    </row>
    <row r="28" spans="3:40" ht="15.6" x14ac:dyDescent="0.3">
      <c r="C28" s="8" t="s">
        <v>15</v>
      </c>
      <c r="D28" s="9" t="s">
        <v>16</v>
      </c>
      <c r="E28" s="10" t="s">
        <v>22</v>
      </c>
      <c r="F28" s="11" t="s">
        <v>22</v>
      </c>
      <c r="X28" s="49" t="s">
        <v>72</v>
      </c>
      <c r="Y28" s="91">
        <v>1.05</v>
      </c>
      <c r="Z28" s="58"/>
      <c r="AA28" s="52"/>
      <c r="AB28" s="52"/>
      <c r="AC28" s="52"/>
      <c r="AD28" s="52"/>
      <c r="AE28" s="67"/>
      <c r="AF28" s="67"/>
      <c r="AG28" s="67"/>
      <c r="AH28" s="67"/>
      <c r="AI28" s="67"/>
    </row>
    <row r="29" spans="3:40" ht="15.6" x14ac:dyDescent="0.3">
      <c r="C29" s="8" t="s">
        <v>17</v>
      </c>
      <c r="D29" s="9" t="s">
        <v>18</v>
      </c>
      <c r="E29" s="10" t="s">
        <v>22</v>
      </c>
      <c r="F29" s="11" t="s">
        <v>22</v>
      </c>
      <c r="X29" s="49" t="s">
        <v>73</v>
      </c>
      <c r="Y29" s="60">
        <f>-Y20+SUM(Z23:AI23)</f>
        <v>80825181.767704472</v>
      </c>
      <c r="Z29" s="51"/>
      <c r="AA29" s="52"/>
      <c r="AB29" s="52"/>
      <c r="AC29" s="52"/>
      <c r="AD29" s="52"/>
      <c r="AE29" s="67"/>
      <c r="AF29" s="67"/>
      <c r="AG29" s="67"/>
      <c r="AH29" s="67"/>
      <c r="AI29" s="67"/>
    </row>
    <row r="30" spans="3:40" ht="29.4" thickBot="1" x14ac:dyDescent="0.35">
      <c r="C30" s="13" t="s">
        <v>19</v>
      </c>
      <c r="D30" s="14" t="s">
        <v>20</v>
      </c>
      <c r="E30" s="15" t="s">
        <v>21</v>
      </c>
      <c r="F30" s="16" t="s">
        <v>56</v>
      </c>
      <c r="X30" s="59" t="s">
        <v>74</v>
      </c>
      <c r="Y30" s="65">
        <f>(SUM(Z23:AI23)/(10*Y20))</f>
        <v>0.34765146080926179</v>
      </c>
      <c r="Z30" s="51"/>
      <c r="AA30" s="52"/>
      <c r="AB30" s="52"/>
      <c r="AC30" s="52"/>
      <c r="AD30" s="52"/>
      <c r="AE30" s="67"/>
      <c r="AF30" s="67"/>
      <c r="AG30" s="67"/>
      <c r="AH30" s="67"/>
      <c r="AI30" s="67"/>
    </row>
    <row r="31" spans="3:40" x14ac:dyDescent="0.3">
      <c r="F31" s="4" t="s">
        <v>57</v>
      </c>
    </row>
    <row r="34" spans="3:25" ht="15" thickBot="1" x14ac:dyDescent="0.35">
      <c r="C34" t="s">
        <v>45</v>
      </c>
    </row>
    <row r="35" spans="3:25" x14ac:dyDescent="0.3">
      <c r="C35" s="5" t="s">
        <v>0</v>
      </c>
      <c r="D35" s="6" t="s">
        <v>1</v>
      </c>
      <c r="E35" s="6" t="s">
        <v>2</v>
      </c>
      <c r="F35" s="7" t="s">
        <v>5</v>
      </c>
      <c r="X35" s="71"/>
      <c r="Y35" s="76"/>
    </row>
    <row r="36" spans="3:25" ht="28.8" x14ac:dyDescent="0.3">
      <c r="C36" s="8" t="s">
        <v>3</v>
      </c>
      <c r="D36" s="9" t="s">
        <v>4</v>
      </c>
      <c r="E36" s="10" t="s">
        <v>22</v>
      </c>
      <c r="F36" s="11" t="s">
        <v>22</v>
      </c>
    </row>
    <row r="37" spans="3:25" ht="28.8" x14ac:dyDescent="0.3">
      <c r="C37" s="8" t="s">
        <v>6</v>
      </c>
      <c r="D37" s="17" t="s">
        <v>23</v>
      </c>
      <c r="E37" s="10" t="s">
        <v>24</v>
      </c>
      <c r="F37" s="12" t="s">
        <v>58</v>
      </c>
    </row>
    <row r="38" spans="3:25" x14ac:dyDescent="0.3">
      <c r="C38" s="8" t="s">
        <v>15</v>
      </c>
      <c r="D38" s="9" t="s">
        <v>16</v>
      </c>
      <c r="E38" s="10" t="s">
        <v>22</v>
      </c>
      <c r="F38" s="11" t="s">
        <v>22</v>
      </c>
    </row>
    <row r="39" spans="3:25" x14ac:dyDescent="0.3">
      <c r="C39" s="8" t="s">
        <v>17</v>
      </c>
      <c r="D39" s="9" t="s">
        <v>18</v>
      </c>
      <c r="E39" s="10" t="s">
        <v>22</v>
      </c>
      <c r="F39" s="11" t="s">
        <v>22</v>
      </c>
    </row>
    <row r="40" spans="3:25" ht="43.8" thickBot="1" x14ac:dyDescent="0.35">
      <c r="C40" s="13" t="s">
        <v>19</v>
      </c>
      <c r="D40" s="14" t="s">
        <v>26</v>
      </c>
      <c r="E40" s="15" t="s">
        <v>25</v>
      </c>
      <c r="F40" s="16" t="s">
        <v>59</v>
      </c>
    </row>
    <row r="41" spans="3:25" x14ac:dyDescent="0.3">
      <c r="F41" s="4" t="s">
        <v>60</v>
      </c>
    </row>
    <row r="43" spans="3:25" x14ac:dyDescent="0.3">
      <c r="F43" s="40" t="s">
        <v>61</v>
      </c>
    </row>
    <row r="48" spans="3:25" ht="15.6" x14ac:dyDescent="0.3">
      <c r="C48" s="102"/>
      <c r="D48" s="102"/>
      <c r="E48" s="103"/>
      <c r="F48" s="103"/>
      <c r="G48" s="103"/>
    </row>
    <row r="49" spans="3:7" ht="15.6" x14ac:dyDescent="0.3">
      <c r="C49" s="104"/>
      <c r="D49" s="105"/>
      <c r="E49" s="106"/>
      <c r="F49" s="106"/>
      <c r="G49" s="106"/>
    </row>
    <row r="50" spans="3:7" ht="15.6" x14ac:dyDescent="0.3">
      <c r="C50" s="107"/>
      <c r="D50" s="105"/>
      <c r="E50" s="106"/>
      <c r="F50" s="106"/>
      <c r="G50" s="106"/>
    </row>
    <row r="51" spans="3:7" ht="15.6" x14ac:dyDescent="0.3">
      <c r="C51" s="107"/>
      <c r="D51" s="105"/>
      <c r="E51" s="106"/>
      <c r="F51" s="106"/>
      <c r="G51" s="106"/>
    </row>
    <row r="52" spans="3:7" x14ac:dyDescent="0.3">
      <c r="C52" s="105"/>
      <c r="D52" s="105"/>
      <c r="E52" s="106"/>
      <c r="F52" s="106"/>
      <c r="G52" s="106"/>
    </row>
    <row r="53" spans="3:7" x14ac:dyDescent="0.3">
      <c r="C53" s="105"/>
      <c r="D53" s="105"/>
      <c r="E53" s="106"/>
      <c r="F53" s="106"/>
      <c r="G53" s="106"/>
    </row>
    <row r="54" spans="3:7" x14ac:dyDescent="0.3">
      <c r="C54" s="105"/>
      <c r="D54" s="105"/>
      <c r="E54" s="106"/>
      <c r="F54" s="106"/>
      <c r="G54" s="106"/>
    </row>
    <row r="55" spans="3:7" x14ac:dyDescent="0.3">
      <c r="C55" s="105"/>
      <c r="D55" s="105"/>
      <c r="E55" s="106"/>
      <c r="F55" s="106"/>
      <c r="G55" s="106"/>
    </row>
    <row r="56" spans="3:7" x14ac:dyDescent="0.3">
      <c r="C56" s="105"/>
      <c r="D56" s="105"/>
      <c r="E56" s="106"/>
      <c r="F56" s="106"/>
      <c r="G56" s="106"/>
    </row>
  </sheetData>
  <mergeCells count="13">
    <mergeCell ref="P25:R25"/>
    <mergeCell ref="R10:R12"/>
    <mergeCell ref="P14:S14"/>
    <mergeCell ref="P13:R13"/>
    <mergeCell ref="P4:S4"/>
    <mergeCell ref="R5:R7"/>
    <mergeCell ref="P8:R8"/>
    <mergeCell ref="P9:S9"/>
    <mergeCell ref="R15:R17"/>
    <mergeCell ref="P19:S19"/>
    <mergeCell ref="P24:R24"/>
    <mergeCell ref="P18:R18"/>
    <mergeCell ref="R20:R23"/>
  </mergeCells>
  <conditionalFormatting sqref="P13">
    <cfRule type="expression" dxfId="22" priority="9">
      <formula>#REF!=#REF!</formula>
    </cfRule>
  </conditionalFormatting>
  <conditionalFormatting sqref="P4">
    <cfRule type="expression" dxfId="21" priority="23">
      <formula>#REF!=#REF!</formula>
    </cfRule>
  </conditionalFormatting>
  <conditionalFormatting sqref="P6">
    <cfRule type="expression" dxfId="20" priority="22">
      <formula>#REF!=#REF!</formula>
    </cfRule>
  </conditionalFormatting>
  <conditionalFormatting sqref="P5">
    <cfRule type="expression" dxfId="19" priority="21">
      <formula>#REF!=#REF!</formula>
    </cfRule>
  </conditionalFormatting>
  <conditionalFormatting sqref="P7">
    <cfRule type="expression" dxfId="18" priority="20">
      <formula>#REF!=#REF!</formula>
    </cfRule>
  </conditionalFormatting>
  <conditionalFormatting sqref="P5">
    <cfRule type="expression" dxfId="17" priority="19">
      <formula>#REF!=#REF!</formula>
    </cfRule>
  </conditionalFormatting>
  <conditionalFormatting sqref="P7">
    <cfRule type="expression" dxfId="16" priority="18">
      <formula>#REF!=#REF!</formula>
    </cfRule>
  </conditionalFormatting>
  <conditionalFormatting sqref="P6">
    <cfRule type="expression" dxfId="15" priority="17">
      <formula>#REF!=#REF!</formula>
    </cfRule>
  </conditionalFormatting>
  <conditionalFormatting sqref="P8">
    <cfRule type="expression" dxfId="14" priority="16">
      <formula>#REF!=#REF!</formula>
    </cfRule>
  </conditionalFormatting>
  <conditionalFormatting sqref="K6">
    <cfRule type="expression" dxfId="13" priority="15">
      <formula>#REF!=#REF!</formula>
    </cfRule>
  </conditionalFormatting>
  <conditionalFormatting sqref="K5">
    <cfRule type="expression" dxfId="12" priority="14">
      <formula>#REF!=#REF!</formula>
    </cfRule>
  </conditionalFormatting>
  <conditionalFormatting sqref="K7">
    <cfRule type="expression" dxfId="11" priority="13">
      <formula>#REF!=#REF!</formula>
    </cfRule>
  </conditionalFormatting>
  <conditionalFormatting sqref="K5">
    <cfRule type="expression" dxfId="10" priority="12">
      <formula>#REF!=#REF!</formula>
    </cfRule>
  </conditionalFormatting>
  <conditionalFormatting sqref="K7">
    <cfRule type="expression" dxfId="9" priority="11">
      <formula>#REF!=#REF!</formula>
    </cfRule>
  </conditionalFormatting>
  <conditionalFormatting sqref="K6">
    <cfRule type="expression" dxfId="8" priority="10">
      <formula>#REF!=#REF!</formula>
    </cfRule>
  </conditionalFormatting>
  <conditionalFormatting sqref="P10">
    <cfRule type="expression" dxfId="7" priority="8">
      <formula>#REF!=#REF!</formula>
    </cfRule>
  </conditionalFormatting>
  <conditionalFormatting sqref="P10">
    <cfRule type="expression" dxfId="6" priority="7">
      <formula>#REF!=#REF!</formula>
    </cfRule>
  </conditionalFormatting>
  <conditionalFormatting sqref="P15">
    <cfRule type="expression" dxfId="5" priority="6">
      <formula>#REF!=#REF!</formula>
    </cfRule>
  </conditionalFormatting>
  <conditionalFormatting sqref="P15">
    <cfRule type="expression" dxfId="4" priority="5">
      <formula>#REF!=#REF!</formula>
    </cfRule>
  </conditionalFormatting>
  <conditionalFormatting sqref="P20">
    <cfRule type="expression" dxfId="3" priority="4">
      <formula>#REF!=#REF!</formula>
    </cfRule>
  </conditionalFormatting>
  <conditionalFormatting sqref="P20">
    <cfRule type="expression" dxfId="2" priority="3">
      <formula>#REF!=#REF!</formula>
    </cfRule>
  </conditionalFormatting>
  <conditionalFormatting sqref="P18">
    <cfRule type="expression" dxfId="1" priority="2">
      <formula>#REF!=#REF!</formula>
    </cfRule>
  </conditionalFormatting>
  <conditionalFormatting sqref="P24">
    <cfRule type="expression" dxfId="0" priority="1">
      <formula>#REF!=#REF!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48184-AC4A-487F-A2B9-21F3895FAF0E}">
  <dimension ref="B2:AA33"/>
  <sheetViews>
    <sheetView tabSelected="1" topLeftCell="B10" zoomScale="71" zoomScaleNormal="94" workbookViewId="0">
      <selection activeCell="E20" sqref="E20"/>
    </sheetView>
  </sheetViews>
  <sheetFormatPr defaultRowHeight="14.4" x14ac:dyDescent="0.3"/>
  <cols>
    <col min="2" max="2" width="46.21875" bestFit="1" customWidth="1"/>
    <col min="3" max="3" width="13.88671875" bestFit="1" customWidth="1"/>
    <col min="4" max="4" width="18.88671875" customWidth="1"/>
    <col min="5" max="6" width="14.6640625" bestFit="1" customWidth="1"/>
    <col min="7" max="13" width="13.88671875" bestFit="1" customWidth="1"/>
    <col min="17" max="17" width="21.88671875" bestFit="1" customWidth="1"/>
    <col min="18" max="18" width="48.33203125" bestFit="1" customWidth="1"/>
    <col min="19" max="19" width="5.33203125" bestFit="1" customWidth="1"/>
    <col min="20" max="20" width="12.5546875" bestFit="1" customWidth="1"/>
    <col min="21" max="21" width="12.109375" bestFit="1" customWidth="1"/>
    <col min="23" max="23" width="21.88671875" bestFit="1" customWidth="1"/>
    <col min="24" max="24" width="48.33203125" bestFit="1" customWidth="1"/>
    <col min="26" max="26" width="9.33203125" bestFit="1" customWidth="1"/>
    <col min="27" max="27" width="10.33203125" bestFit="1" customWidth="1"/>
  </cols>
  <sheetData>
    <row r="2" spans="2:27" x14ac:dyDescent="0.3">
      <c r="B2" s="77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9"/>
    </row>
    <row r="3" spans="2:27" x14ac:dyDescent="0.3">
      <c r="B3" s="77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spans="2:27" x14ac:dyDescent="0.3">
      <c r="B4" s="81"/>
      <c r="C4" s="82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2:27" x14ac:dyDescent="0.3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</row>
    <row r="6" spans="2:27" ht="15" thickBot="1" x14ac:dyDescent="0.35"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</row>
    <row r="7" spans="2:27" ht="31.2" x14ac:dyDescent="0.3">
      <c r="B7" s="46" t="s">
        <v>62</v>
      </c>
      <c r="C7" s="70">
        <v>0</v>
      </c>
      <c r="D7" s="47">
        <v>1</v>
      </c>
      <c r="E7" s="48">
        <v>2</v>
      </c>
      <c r="F7" s="48">
        <v>3</v>
      </c>
      <c r="G7" s="48">
        <v>4</v>
      </c>
      <c r="H7" s="48">
        <v>5</v>
      </c>
      <c r="I7" s="48">
        <v>6</v>
      </c>
      <c r="J7" s="48">
        <v>7</v>
      </c>
      <c r="K7" s="48">
        <v>8</v>
      </c>
      <c r="L7" s="48">
        <v>9</v>
      </c>
      <c r="M7" s="48">
        <v>10</v>
      </c>
      <c r="N7" s="36"/>
      <c r="O7" s="36"/>
      <c r="P7" s="36"/>
      <c r="Q7" s="48" t="s">
        <v>75</v>
      </c>
      <c r="R7" s="83" t="s">
        <v>76</v>
      </c>
      <c r="S7" s="83" t="s">
        <v>77</v>
      </c>
      <c r="T7" s="83" t="s">
        <v>78</v>
      </c>
      <c r="U7" s="83" t="s">
        <v>79</v>
      </c>
      <c r="V7" s="36"/>
      <c r="W7" s="48" t="s">
        <v>75</v>
      </c>
      <c r="X7" s="83" t="s">
        <v>76</v>
      </c>
      <c r="Y7" s="83" t="s">
        <v>77</v>
      </c>
      <c r="Z7" s="83" t="s">
        <v>78</v>
      </c>
      <c r="AA7" s="83" t="s">
        <v>79</v>
      </c>
    </row>
    <row r="8" spans="2:27" ht="15.6" x14ac:dyDescent="0.3">
      <c r="B8" s="49" t="s">
        <v>63</v>
      </c>
      <c r="C8" s="50"/>
      <c r="D8" s="51">
        <f>$AA$14*5</f>
        <v>52361250</v>
      </c>
      <c r="E8" s="51">
        <f t="shared" ref="E8:M8" si="0">$AA$14*5</f>
        <v>52361250</v>
      </c>
      <c r="F8" s="51">
        <f t="shared" si="0"/>
        <v>52361250</v>
      </c>
      <c r="G8" s="51">
        <f t="shared" si="0"/>
        <v>52361250</v>
      </c>
      <c r="H8" s="51">
        <f t="shared" si="0"/>
        <v>52361250</v>
      </c>
      <c r="I8" s="51">
        <f t="shared" si="0"/>
        <v>52361250</v>
      </c>
      <c r="J8" s="51">
        <f t="shared" si="0"/>
        <v>52361250</v>
      </c>
      <c r="K8" s="51">
        <f t="shared" si="0"/>
        <v>52361250</v>
      </c>
      <c r="L8" s="51">
        <f t="shared" si="0"/>
        <v>52361250</v>
      </c>
      <c r="M8" s="51">
        <f t="shared" si="0"/>
        <v>52361250</v>
      </c>
      <c r="N8" s="36"/>
      <c r="O8" s="36"/>
      <c r="P8" s="36"/>
      <c r="Q8" s="93" t="s">
        <v>85</v>
      </c>
      <c r="R8" s="94" t="s">
        <v>84</v>
      </c>
      <c r="S8" s="85">
        <v>4</v>
      </c>
      <c r="T8" s="86">
        <f xml:space="preserve"> 140000*85</f>
        <v>11900000</v>
      </c>
      <c r="U8" s="86">
        <f>S8*T8</f>
        <v>47600000</v>
      </c>
      <c r="V8" s="36"/>
      <c r="W8" s="93" t="s">
        <v>106</v>
      </c>
      <c r="X8" s="96"/>
      <c r="Y8" s="85">
        <v>1</v>
      </c>
      <c r="Z8" s="86">
        <v>1200000</v>
      </c>
      <c r="AA8" s="86">
        <f>Y8*Z8</f>
        <v>1200000</v>
      </c>
    </row>
    <row r="9" spans="2:27" ht="78" x14ac:dyDescent="0.3">
      <c r="B9" s="49" t="s">
        <v>64</v>
      </c>
      <c r="C9" s="60">
        <f ca="1">U30</f>
        <v>248045716.69999999</v>
      </c>
      <c r="D9" s="51"/>
      <c r="E9" s="52"/>
      <c r="F9" s="52"/>
      <c r="G9" s="52"/>
      <c r="H9" s="52"/>
      <c r="I9" s="52"/>
      <c r="J9" s="52"/>
      <c r="K9" s="52"/>
      <c r="L9" s="52"/>
      <c r="M9" s="52"/>
      <c r="N9" s="36"/>
      <c r="O9" s="36"/>
      <c r="P9" s="36"/>
      <c r="Q9" s="48"/>
      <c r="R9" s="95" t="s">
        <v>86</v>
      </c>
      <c r="S9" s="96">
        <v>60</v>
      </c>
      <c r="T9" s="96">
        <f>9600*85</f>
        <v>816000</v>
      </c>
      <c r="U9" s="86">
        <f t="shared" ref="U9:U16" si="1">S9*T9</f>
        <v>48960000</v>
      </c>
      <c r="V9" s="36"/>
      <c r="W9" s="96" t="s">
        <v>99</v>
      </c>
      <c r="X9" s="99" t="s">
        <v>107</v>
      </c>
      <c r="Y9" s="96">
        <v>10</v>
      </c>
      <c r="Z9" s="96">
        <v>733920</v>
      </c>
      <c r="AA9" s="86">
        <f t="shared" ref="AA9" si="2">Y9*Z9</f>
        <v>7339200</v>
      </c>
    </row>
    <row r="10" spans="2:27" ht="62.4" x14ac:dyDescent="0.3">
      <c r="B10" s="49" t="s">
        <v>65</v>
      </c>
      <c r="C10" s="60"/>
      <c r="D10" s="51">
        <v>0.1</v>
      </c>
      <c r="E10" s="51">
        <v>0.1</v>
      </c>
      <c r="F10" s="51">
        <v>0.1</v>
      </c>
      <c r="G10" s="51">
        <v>0.1</v>
      </c>
      <c r="H10" s="51">
        <v>0.1</v>
      </c>
      <c r="I10" s="51">
        <v>0.1</v>
      </c>
      <c r="J10" s="51">
        <v>0.1</v>
      </c>
      <c r="K10" s="51">
        <v>0.1</v>
      </c>
      <c r="L10" s="51">
        <v>0.1</v>
      </c>
      <c r="M10" s="51">
        <v>0.1</v>
      </c>
      <c r="N10" s="36"/>
      <c r="O10" s="36"/>
      <c r="P10" s="36"/>
      <c r="Q10" s="96"/>
      <c r="R10" s="95" t="s">
        <v>87</v>
      </c>
      <c r="S10" s="96">
        <v>12</v>
      </c>
      <c r="T10" s="96">
        <f>3100*85</f>
        <v>263500</v>
      </c>
      <c r="U10" s="86">
        <f t="shared" si="1"/>
        <v>3162000</v>
      </c>
      <c r="V10" s="36"/>
      <c r="W10" s="48"/>
      <c r="X10" s="99" t="s">
        <v>108</v>
      </c>
      <c r="Y10" s="96">
        <v>30</v>
      </c>
      <c r="Z10" s="96">
        <v>14435</v>
      </c>
      <c r="AA10" s="86">
        <f t="shared" ref="AA10:AA11" si="3">Y10*Z10</f>
        <v>433050</v>
      </c>
    </row>
    <row r="11" spans="2:27" ht="46.8" x14ac:dyDescent="0.3">
      <c r="B11" s="49" t="s">
        <v>66</v>
      </c>
      <c r="C11" s="50"/>
      <c r="D11" s="51">
        <f>1/(1+D10)^D7</f>
        <v>0.90909090909090906</v>
      </c>
      <c r="E11" s="52">
        <f>1/(1+E10)^E7</f>
        <v>0.82644628099173545</v>
      </c>
      <c r="F11" s="52">
        <f>1/(1+F10)^F7</f>
        <v>0.75131480090157754</v>
      </c>
      <c r="G11" s="52">
        <f>1/(1+G10)^G7</f>
        <v>0.68301345536507052</v>
      </c>
      <c r="H11" s="52">
        <f>1/(1+H10)^H7</f>
        <v>0.62092132305915493</v>
      </c>
      <c r="I11" s="52">
        <f t="shared" ref="I11:M11" si="4">1/(1+I10)^I7</f>
        <v>0.56447393005377722</v>
      </c>
      <c r="J11" s="52">
        <f t="shared" si="4"/>
        <v>0.51315811823070645</v>
      </c>
      <c r="K11" s="52">
        <f t="shared" si="4"/>
        <v>0.46650738020973315</v>
      </c>
      <c r="L11" s="52">
        <f t="shared" si="4"/>
        <v>0.42409761837248466</v>
      </c>
      <c r="M11" s="52">
        <f t="shared" si="4"/>
        <v>0.38554328942953148</v>
      </c>
      <c r="N11" s="36"/>
      <c r="O11" s="36"/>
      <c r="P11" s="36"/>
      <c r="Q11" s="96"/>
      <c r="R11" s="95" t="s">
        <v>88</v>
      </c>
      <c r="S11" s="96">
        <v>6</v>
      </c>
      <c r="T11" s="96">
        <v>96000</v>
      </c>
      <c r="U11" s="86">
        <f t="shared" si="1"/>
        <v>576000</v>
      </c>
      <c r="V11" s="36"/>
      <c r="W11" s="96"/>
      <c r="X11" s="99" t="s">
        <v>109</v>
      </c>
      <c r="Y11" s="96">
        <v>1</v>
      </c>
      <c r="Z11" s="96">
        <v>1500000</v>
      </c>
      <c r="AA11" s="86">
        <f t="shared" si="3"/>
        <v>1500000</v>
      </c>
    </row>
    <row r="12" spans="2:27" ht="15.6" x14ac:dyDescent="0.3">
      <c r="B12" s="49" t="s">
        <v>67</v>
      </c>
      <c r="C12" s="60">
        <f>-30000000-2636666.67</f>
        <v>-32636666.670000002</v>
      </c>
      <c r="D12" s="51">
        <f>D8*D11</f>
        <v>47601136.36363636</v>
      </c>
      <c r="E12" s="52">
        <f>E8*E11</f>
        <v>43273760.330578506</v>
      </c>
      <c r="F12" s="52">
        <f>F8*F11</f>
        <v>39339782.118707724</v>
      </c>
      <c r="G12" s="52">
        <f>G8*G11</f>
        <v>35763438.289734297</v>
      </c>
      <c r="H12" s="52">
        <f>H8*H11</f>
        <v>32512216.627031177</v>
      </c>
      <c r="I12" s="52">
        <f t="shared" ref="I12:M12" si="5">I8*I11</f>
        <v>29556560.570028342</v>
      </c>
      <c r="J12" s="52">
        <f t="shared" si="5"/>
        <v>26869600.51820758</v>
      </c>
      <c r="K12" s="52">
        <f t="shared" si="5"/>
        <v>24426909.562006891</v>
      </c>
      <c r="L12" s="52">
        <f t="shared" si="5"/>
        <v>22206281.420006264</v>
      </c>
      <c r="M12" s="52">
        <f t="shared" si="5"/>
        <v>20187528.563642055</v>
      </c>
      <c r="N12" s="36"/>
      <c r="O12" s="36"/>
      <c r="P12" s="36"/>
      <c r="Q12" s="96"/>
      <c r="R12" s="96" t="s">
        <v>89</v>
      </c>
      <c r="S12" s="96">
        <v>32</v>
      </c>
      <c r="T12" s="96">
        <f>12500*85</f>
        <v>1062500</v>
      </c>
      <c r="U12" s="86">
        <f t="shared" si="1"/>
        <v>34000000</v>
      </c>
      <c r="V12" s="36"/>
      <c r="W12" s="96"/>
      <c r="X12" s="98"/>
      <c r="Y12" s="96"/>
      <c r="Z12" s="96"/>
      <c r="AA12" s="86"/>
    </row>
    <row r="13" spans="2:27" ht="15.6" x14ac:dyDescent="0.3">
      <c r="B13" s="49" t="s">
        <v>68</v>
      </c>
      <c r="C13" s="60">
        <f>SUM(D12:M12)</f>
        <v>321737214.36357915</v>
      </c>
      <c r="D13" s="51"/>
      <c r="E13" s="52"/>
      <c r="F13" s="52"/>
      <c r="G13" s="52"/>
      <c r="H13" s="52"/>
      <c r="I13" s="52"/>
      <c r="J13" s="52"/>
      <c r="K13" s="52"/>
      <c r="L13" s="52"/>
      <c r="M13" s="52"/>
      <c r="Q13" s="96"/>
      <c r="R13" s="96" t="s">
        <v>90</v>
      </c>
      <c r="S13" s="96">
        <v>2</v>
      </c>
      <c r="T13" s="96">
        <v>5000000</v>
      </c>
      <c r="U13" s="86">
        <f t="shared" si="1"/>
        <v>10000000</v>
      </c>
    </row>
    <row r="14" spans="2:27" ht="15.6" x14ac:dyDescent="0.3">
      <c r="B14" s="53" t="s">
        <v>69</v>
      </c>
      <c r="C14" s="60">
        <f ca="1">C9/D8</f>
        <v>4.7372000611138958</v>
      </c>
      <c r="D14" s="54"/>
      <c r="E14" s="55"/>
      <c r="F14" s="55"/>
      <c r="G14" s="55"/>
      <c r="H14" s="55"/>
      <c r="I14" s="55"/>
      <c r="J14" s="55"/>
      <c r="K14" s="55"/>
      <c r="L14" s="55"/>
      <c r="M14" s="55"/>
      <c r="Q14" s="96"/>
      <c r="R14" s="96" t="s">
        <v>91</v>
      </c>
      <c r="S14" s="96">
        <v>1</v>
      </c>
      <c r="T14" s="96">
        <v>300000</v>
      </c>
      <c r="U14" s="86">
        <f t="shared" si="1"/>
        <v>300000</v>
      </c>
      <c r="AA14" s="2">
        <f>SUM(AA8:AA11)</f>
        <v>10472250</v>
      </c>
    </row>
    <row r="15" spans="2:27" ht="15.6" x14ac:dyDescent="0.3">
      <c r="B15" s="56" t="s">
        <v>70</v>
      </c>
      <c r="C15" s="64">
        <v>7</v>
      </c>
      <c r="D15" s="100">
        <f ca="1">-C9+D12</f>
        <v>-200444580.33636361</v>
      </c>
      <c r="E15" s="63">
        <f ca="1">D15+E12</f>
        <v>-157170820.00578511</v>
      </c>
      <c r="F15" s="57">
        <f ca="1">E15+F12</f>
        <v>-117831037.88707739</v>
      </c>
      <c r="G15" s="57">
        <f ca="1">F15+G12</f>
        <v>-82067599.597343087</v>
      </c>
      <c r="H15" s="52">
        <f ca="1">G15+H12</f>
        <v>-49555382.97031191</v>
      </c>
      <c r="I15" s="101">
        <f t="shared" ref="I15:M15" ca="1" si="6">H15+I12</f>
        <v>-19998822.400283568</v>
      </c>
      <c r="J15" s="101">
        <f t="shared" ca="1" si="6"/>
        <v>6870778.1179240122</v>
      </c>
      <c r="K15" s="57">
        <f t="shared" ca="1" si="6"/>
        <v>31297687.679930903</v>
      </c>
      <c r="L15" s="57">
        <f t="shared" ca="1" si="6"/>
        <v>53503969.099937171</v>
      </c>
      <c r="M15" s="57">
        <f t="shared" ca="1" si="6"/>
        <v>73691497.663579226</v>
      </c>
      <c r="Q15" s="96"/>
      <c r="R15" s="94" t="s">
        <v>92</v>
      </c>
      <c r="S15" s="96">
        <v>4</v>
      </c>
      <c r="T15" s="96">
        <f>30000*85</f>
        <v>2550000</v>
      </c>
      <c r="U15" s="86">
        <f t="shared" si="1"/>
        <v>10200000</v>
      </c>
    </row>
    <row r="16" spans="2:27" ht="15.6" x14ac:dyDescent="0.3">
      <c r="B16" s="49" t="s">
        <v>71</v>
      </c>
      <c r="C16" s="60">
        <f ca="1">C13/C9</f>
        <v>1.2970883700148941</v>
      </c>
      <c r="D16" s="100">
        <v>-200444580.34</v>
      </c>
      <c r="E16" s="63">
        <f>D16+(157170820.01)</f>
        <v>-43273760.330000013</v>
      </c>
      <c r="F16" s="63">
        <f>E16+(117831037.89)</f>
        <v>74557277.559999987</v>
      </c>
      <c r="G16" s="63">
        <f>F16+(82067599.6)</f>
        <v>156624877.15999997</v>
      </c>
      <c r="H16" s="63">
        <f>G16+49555382.97</f>
        <v>206180260.12999997</v>
      </c>
      <c r="I16" s="63">
        <f>H16+19998822.4</f>
        <v>226179082.52999997</v>
      </c>
      <c r="J16" s="63">
        <f>I16+6870778.12</f>
        <v>233049860.64999998</v>
      </c>
      <c r="K16" s="63">
        <f>J16+31297687.68</f>
        <v>264347548.32999998</v>
      </c>
      <c r="L16" s="63">
        <f>K16+53503969.1</f>
        <v>317851517.43000001</v>
      </c>
      <c r="M16" s="63">
        <f>L16+73691497.66</f>
        <v>391543015.09000003</v>
      </c>
      <c r="Q16" s="96"/>
      <c r="R16" s="96" t="s">
        <v>93</v>
      </c>
      <c r="S16" s="96">
        <v>2</v>
      </c>
      <c r="T16" s="96">
        <f>25000*85</f>
        <v>2125000</v>
      </c>
      <c r="U16" s="86">
        <f t="shared" si="1"/>
        <v>4250000</v>
      </c>
    </row>
    <row r="17" spans="2:21" ht="15.6" x14ac:dyDescent="0.3">
      <c r="B17" s="49" t="s">
        <v>72</v>
      </c>
      <c r="C17" s="91">
        <v>0.17199999999999999</v>
      </c>
      <c r="D17" s="58"/>
      <c r="E17" s="52"/>
      <c r="F17" s="52"/>
      <c r="G17" s="52"/>
      <c r="H17" s="52"/>
      <c r="I17" s="52"/>
      <c r="J17" s="52"/>
      <c r="K17" s="52"/>
      <c r="L17" s="52"/>
      <c r="M17" s="52"/>
      <c r="Q17" s="96" t="s">
        <v>80</v>
      </c>
      <c r="R17" s="85" t="s">
        <v>81</v>
      </c>
      <c r="S17" s="85">
        <v>1</v>
      </c>
      <c r="T17" s="86">
        <v>5000000</v>
      </c>
      <c r="U17" s="86">
        <f>S17*T17</f>
        <v>5000000</v>
      </c>
    </row>
    <row r="18" spans="2:21" ht="15.6" x14ac:dyDescent="0.3">
      <c r="B18" s="49" t="s">
        <v>73</v>
      </c>
      <c r="C18" s="60">
        <f ca="1">-C9+SUM(D12:M12)</f>
        <v>73691497.663579166</v>
      </c>
      <c r="D18" s="51"/>
      <c r="E18" s="52"/>
      <c r="F18" s="52"/>
      <c r="G18" s="52"/>
      <c r="H18" s="52"/>
      <c r="I18" s="52"/>
      <c r="J18" s="52"/>
      <c r="K18" s="52"/>
      <c r="L18" s="52"/>
      <c r="M18" s="52"/>
      <c r="Q18" s="96" t="s">
        <v>82</v>
      </c>
      <c r="R18" s="85"/>
      <c r="S18" s="85">
        <v>3</v>
      </c>
      <c r="T18" s="86">
        <v>12000000</v>
      </c>
      <c r="U18" s="86">
        <f>S18*T18</f>
        <v>36000000</v>
      </c>
    </row>
    <row r="19" spans="2:21" ht="16.2" thickBot="1" x14ac:dyDescent="0.35">
      <c r="B19" s="59" t="s">
        <v>74</v>
      </c>
      <c r="C19" s="65">
        <f ca="1">(SUM(D12:M12)/(10*C9))</f>
        <v>0.12970883700148939</v>
      </c>
      <c r="D19" s="51"/>
      <c r="E19" s="52"/>
      <c r="F19" s="52"/>
      <c r="G19" s="52"/>
      <c r="H19" s="52"/>
      <c r="I19" s="52"/>
      <c r="J19" s="52"/>
      <c r="K19" s="52"/>
      <c r="L19" s="52"/>
      <c r="M19" s="52"/>
      <c r="Q19" s="96" t="s">
        <v>94</v>
      </c>
      <c r="R19" s="96"/>
      <c r="S19" s="96">
        <v>1</v>
      </c>
      <c r="T19" s="96">
        <v>153000</v>
      </c>
      <c r="U19" s="96">
        <f>S19*T19</f>
        <v>153000</v>
      </c>
    </row>
    <row r="20" spans="2:21" ht="15.6" x14ac:dyDescent="0.3">
      <c r="Q20" s="96" t="s">
        <v>95</v>
      </c>
      <c r="R20" s="85"/>
      <c r="S20" s="85">
        <v>1</v>
      </c>
      <c r="T20" s="94">
        <v>1778500</v>
      </c>
      <c r="U20" s="86">
        <f>T20*S20</f>
        <v>1778500</v>
      </c>
    </row>
    <row r="21" spans="2:21" ht="15.6" x14ac:dyDescent="0.3">
      <c r="Q21" s="96" t="s">
        <v>96</v>
      </c>
      <c r="R21" s="84"/>
      <c r="S21" s="85">
        <v>1</v>
      </c>
      <c r="T21" s="86">
        <v>3000000</v>
      </c>
      <c r="U21" s="86">
        <f>T21*S21</f>
        <v>3000000</v>
      </c>
    </row>
    <row r="22" spans="2:21" ht="15.6" x14ac:dyDescent="0.3">
      <c r="Q22" s="96" t="s">
        <v>97</v>
      </c>
      <c r="R22" s="84"/>
      <c r="S22" s="85">
        <v>1</v>
      </c>
      <c r="T22" s="86">
        <v>3000000</v>
      </c>
      <c r="U22" s="86">
        <f t="shared" ref="U22:U27" si="7">T22*S22</f>
        <v>3000000</v>
      </c>
    </row>
    <row r="23" spans="2:21" ht="15.6" x14ac:dyDescent="0.3">
      <c r="Q23" s="92" t="s">
        <v>98</v>
      </c>
      <c r="R23" s="84"/>
      <c r="S23" s="85">
        <v>1</v>
      </c>
      <c r="T23" s="86">
        <v>2636666.7000000002</v>
      </c>
      <c r="U23" s="86">
        <f t="shared" si="7"/>
        <v>2636666.7000000002</v>
      </c>
    </row>
    <row r="24" spans="2:21" ht="15.6" x14ac:dyDescent="0.3">
      <c r="Q24" s="92" t="s">
        <v>99</v>
      </c>
      <c r="R24" s="84" t="s">
        <v>100</v>
      </c>
      <c r="S24" s="85">
        <v>1</v>
      </c>
      <c r="T24" s="86">
        <v>1600000</v>
      </c>
      <c r="U24" s="86">
        <f t="shared" si="7"/>
        <v>1600000</v>
      </c>
    </row>
    <row r="25" spans="2:21" ht="62.4" x14ac:dyDescent="0.3">
      <c r="Q25" s="92"/>
      <c r="R25" s="97" t="s">
        <v>101</v>
      </c>
      <c r="S25" s="92">
        <v>30</v>
      </c>
      <c r="T25" s="92">
        <v>8885</v>
      </c>
      <c r="U25" s="86">
        <f t="shared" si="7"/>
        <v>266550</v>
      </c>
    </row>
    <row r="26" spans="2:21" ht="46.8" x14ac:dyDescent="0.3">
      <c r="Q26" s="92"/>
      <c r="R26" s="87" t="s">
        <v>102</v>
      </c>
      <c r="S26" s="85">
        <v>10</v>
      </c>
      <c r="T26" s="88">
        <v>538800</v>
      </c>
      <c r="U26" s="86">
        <f t="shared" si="7"/>
        <v>5388000</v>
      </c>
    </row>
    <row r="27" spans="2:21" ht="15.6" x14ac:dyDescent="0.3">
      <c r="Q27" s="92" t="s">
        <v>104</v>
      </c>
      <c r="R27" s="87" t="s">
        <v>105</v>
      </c>
      <c r="S27" s="85">
        <v>1</v>
      </c>
      <c r="T27" s="88">
        <v>30000000</v>
      </c>
      <c r="U27" s="86">
        <f t="shared" si="7"/>
        <v>30000000</v>
      </c>
    </row>
    <row r="28" spans="2:21" ht="15.6" x14ac:dyDescent="0.3">
      <c r="Q28" s="92" t="s">
        <v>103</v>
      </c>
      <c r="R28" s="87" t="s">
        <v>105</v>
      </c>
      <c r="S28" s="85">
        <v>1</v>
      </c>
      <c r="T28" s="88">
        <v>175000</v>
      </c>
      <c r="U28" s="86">
        <f>T28*S28</f>
        <v>175000</v>
      </c>
    </row>
    <row r="29" spans="2:21" ht="15.6" x14ac:dyDescent="0.3">
      <c r="Q29" s="108"/>
      <c r="R29" s="109"/>
      <c r="S29" s="110"/>
      <c r="T29" s="111"/>
      <c r="U29" s="112"/>
    </row>
    <row r="30" spans="2:21" ht="15.6" x14ac:dyDescent="0.3">
      <c r="Q30" s="108"/>
      <c r="R30" s="109"/>
      <c r="S30" s="110"/>
      <c r="T30" s="89" t="s">
        <v>83</v>
      </c>
      <c r="U30" s="90">
        <f ca="1">SUM(U8:U33)</f>
        <v>248045716.69999999</v>
      </c>
    </row>
    <row r="31" spans="2:21" ht="15.6" x14ac:dyDescent="0.3">
      <c r="Q31" s="108"/>
      <c r="R31" s="109"/>
      <c r="S31" s="110"/>
      <c r="T31" s="111"/>
      <c r="U31" s="112"/>
    </row>
    <row r="32" spans="2:21" ht="15.6" x14ac:dyDescent="0.3">
      <c r="Q32" s="108"/>
      <c r="R32" s="109"/>
      <c r="S32" s="110"/>
      <c r="T32" s="111"/>
      <c r="U32" s="112"/>
    </row>
    <row r="33" spans="17:21" ht="15.6" x14ac:dyDescent="0.3">
      <c r="Q33" s="108"/>
      <c r="R33" s="109"/>
      <c r="S33" s="110"/>
      <c r="T33" s="111"/>
      <c r="U33" s="112"/>
    </row>
  </sheetData>
  <phoneticPr fontId="24" type="noConversion"/>
  <hyperlinks>
    <hyperlink ref="R9" r:id="rId1" display="https://innodisk.ru/product/des25-c12ic1kccdl" xr:uid="{B086EB8F-66F2-4947-A2C2-04B5E1BD0611}"/>
    <hyperlink ref="R10" r:id="rId2" display="https://innodisk.ru/product/dem28-c12ib1kwaqf" xr:uid="{79630CB5-336A-4420-AC37-55BDFCCC2343}"/>
    <hyperlink ref="R11" r:id="rId3" display="https://www.regard.ru/product/425470/zestkii-disk-8tb-sata-iii-seagate-exos-7e10-st8000nm017b" xr:uid="{05683DFE-814A-44B2-9921-32A774E2693F}"/>
    <hyperlink ref="X9" r:id="rId4" display="https://innodisk.ru/product/des25-c12ic1kccdl" xr:uid="{14DBB82D-FB32-470B-B70E-1E6A50963B21}"/>
    <hyperlink ref="X10" r:id="rId5" display="https://innodisk.ru/product/des25-c12ic1kccdl" xr:uid="{D92D9309-1FB1-43E9-8F14-40A74BBF3DCF}"/>
    <hyperlink ref="X11" r:id="rId6" display="https://innodisk.ru/product/dem28-c12ib1kwaqf" xr:uid="{6F4736C0-A46D-42A8-9E16-55223AB213B4}"/>
  </hyperlinks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Скан документов</vt:lpstr>
      <vt:lpstr>Общее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Анастасия Ананьева</cp:lastModifiedBy>
  <dcterms:created xsi:type="dcterms:W3CDTF">2015-06-05T18:19:34Z</dcterms:created>
  <dcterms:modified xsi:type="dcterms:W3CDTF">2025-08-27T20:14:22Z</dcterms:modified>
</cp:coreProperties>
</file>