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ownloads\"/>
    </mc:Choice>
  </mc:AlternateContent>
  <bookViews>
    <workbookView xWindow="0" yWindow="0" windowWidth="23850" windowHeight="8145" activeTab="2"/>
  </bookViews>
  <sheets>
    <sheet name="Лист1" sheetId="1" r:id="rId1"/>
    <sheet name="Лист2" sheetId="2" r:id="rId2"/>
    <sheet name="Лист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L76" i="3" l="1"/>
  <c r="K85" i="3" s="1"/>
  <c r="L75" i="3"/>
  <c r="K84" i="3" s="1"/>
  <c r="L74" i="3"/>
  <c r="K83" i="3" s="1"/>
  <c r="L73" i="3"/>
  <c r="K82" i="3" s="1"/>
  <c r="L72" i="3"/>
  <c r="K81" i="3" s="1"/>
  <c r="K68" i="3"/>
  <c r="M66" i="3"/>
  <c r="M65" i="3"/>
  <c r="M64" i="3"/>
  <c r="M63" i="3"/>
  <c r="M62" i="3"/>
  <c r="N57" i="3"/>
  <c r="K25" i="3"/>
  <c r="K24" i="3"/>
  <c r="K23" i="3"/>
  <c r="K22" i="3"/>
  <c r="K21" i="3"/>
  <c r="K16" i="3"/>
  <c r="K15" i="3"/>
  <c r="K14" i="3"/>
  <c r="K13" i="3"/>
  <c r="K12" i="3"/>
  <c r="M7" i="3"/>
  <c r="L7" i="3"/>
  <c r="K7" i="3"/>
  <c r="M6" i="3"/>
  <c r="L6" i="3"/>
  <c r="K6" i="3"/>
  <c r="G6" i="3"/>
  <c r="M5" i="3"/>
  <c r="L5" i="3"/>
  <c r="K5" i="3"/>
  <c r="G5" i="3"/>
  <c r="N65" i="3" s="1"/>
  <c r="O65" i="3" s="1"/>
  <c r="Q65" i="3" s="1"/>
  <c r="M4" i="3"/>
  <c r="L4" i="3"/>
  <c r="K4" i="3"/>
  <c r="G4" i="3"/>
  <c r="N64" i="3" s="1"/>
  <c r="O64" i="3" s="1"/>
  <c r="Q64" i="3" s="1"/>
  <c r="M3" i="3"/>
  <c r="L3" i="3"/>
  <c r="K3" i="3"/>
  <c r="G3" i="3"/>
  <c r="N4" i="3" s="1"/>
  <c r="C3" i="3"/>
  <c r="G2" i="3"/>
  <c r="C2" i="3"/>
  <c r="G1" i="3"/>
  <c r="N62" i="3" l="1"/>
  <c r="O62" i="3" s="1"/>
  <c r="Q62" i="3" s="1"/>
  <c r="G8" i="3"/>
  <c r="H8" i="3" s="1"/>
  <c r="O3" i="3" s="1"/>
  <c r="N55" i="3"/>
  <c r="K79" i="3" s="1"/>
  <c r="K55" i="3"/>
  <c r="K56" i="3" s="1"/>
  <c r="N5" i="3"/>
  <c r="K86" i="3"/>
  <c r="K87" i="3" s="1"/>
  <c r="K88" i="3" s="1"/>
  <c r="M73" i="3"/>
  <c r="O73" i="3" s="1"/>
  <c r="N63" i="3"/>
  <c r="O63" i="3" s="1"/>
  <c r="Q63" i="3" s="1"/>
  <c r="N66" i="3"/>
  <c r="O66" i="3" s="1"/>
  <c r="Q66" i="3" s="1"/>
  <c r="M74" i="3"/>
  <c r="O74" i="3" s="1"/>
  <c r="G9" i="3"/>
  <c r="H9" i="3"/>
  <c r="O4" i="3" s="1"/>
  <c r="N6" i="3"/>
  <c r="G10" i="3"/>
  <c r="H10" i="3" s="1"/>
  <c r="O5" i="3" s="1"/>
  <c r="M75" i="3"/>
  <c r="O75" i="3" s="1"/>
  <c r="G11" i="3"/>
  <c r="H11" i="3" s="1"/>
  <c r="O6" i="3" s="1"/>
  <c r="M72" i="3"/>
  <c r="O72" i="3" s="1"/>
  <c r="M76" i="3"/>
  <c r="O76" i="3" s="1"/>
  <c r="G12" i="3"/>
  <c r="H12" i="3" s="1"/>
  <c r="O7" i="3" s="1"/>
  <c r="N3" i="3"/>
  <c r="N7" i="3"/>
  <c r="L76" i="2"/>
  <c r="K85" i="2" s="1"/>
  <c r="L75" i="2"/>
  <c r="K84" i="2" s="1"/>
  <c r="L74" i="2"/>
  <c r="K83" i="2" s="1"/>
  <c r="L73" i="2"/>
  <c r="K82" i="2" s="1"/>
  <c r="L72" i="2"/>
  <c r="K81" i="2" s="1"/>
  <c r="K68" i="2"/>
  <c r="M66" i="2"/>
  <c r="M65" i="2"/>
  <c r="M64" i="2"/>
  <c r="M63" i="2"/>
  <c r="M62" i="2"/>
  <c r="N57" i="2"/>
  <c r="K25" i="2"/>
  <c r="K24" i="2"/>
  <c r="K23" i="2"/>
  <c r="K22" i="2"/>
  <c r="K21" i="2"/>
  <c r="K16" i="2"/>
  <c r="K15" i="2"/>
  <c r="K14" i="2"/>
  <c r="K13" i="2"/>
  <c r="K12" i="2"/>
  <c r="M7" i="2"/>
  <c r="L7" i="2"/>
  <c r="K7" i="2"/>
  <c r="M6" i="2"/>
  <c r="L6" i="2"/>
  <c r="K6" i="2"/>
  <c r="G6" i="2"/>
  <c r="M5" i="2"/>
  <c r="L5" i="2"/>
  <c r="K5" i="2"/>
  <c r="G5" i="2"/>
  <c r="N65" i="2" s="1"/>
  <c r="O65" i="2" s="1"/>
  <c r="Q65" i="2" s="1"/>
  <c r="M4" i="2"/>
  <c r="L4" i="2"/>
  <c r="K4" i="2"/>
  <c r="G4" i="2"/>
  <c r="N64" i="2" s="1"/>
  <c r="O64" i="2" s="1"/>
  <c r="Q64" i="2" s="1"/>
  <c r="C4" i="2"/>
  <c r="M3" i="2"/>
  <c r="L3" i="2"/>
  <c r="K3" i="2"/>
  <c r="G3" i="2"/>
  <c r="N4" i="2" s="1"/>
  <c r="C3" i="2"/>
  <c r="G2" i="2"/>
  <c r="M72" i="2" s="1"/>
  <c r="O72" i="2" s="1"/>
  <c r="C2" i="2"/>
  <c r="N55" i="2" s="1"/>
  <c r="G1" i="2"/>
  <c r="K80" i="3" l="1"/>
  <c r="M59" i="3"/>
  <c r="K58" i="3"/>
  <c r="K57" i="3"/>
  <c r="Q67" i="3"/>
  <c r="L25" i="3"/>
  <c r="M16" i="3"/>
  <c r="N16" i="3" s="1"/>
  <c r="M43" i="3" s="1"/>
  <c r="O43" i="3" s="1"/>
  <c r="L21" i="3"/>
  <c r="O8" i="3"/>
  <c r="M12" i="3"/>
  <c r="N12" i="3" s="1"/>
  <c r="M39" i="3" s="1"/>
  <c r="M15" i="3"/>
  <c r="N15" i="3" s="1"/>
  <c r="M42" i="3" s="1"/>
  <c r="O42" i="3" s="1"/>
  <c r="L24" i="3"/>
  <c r="N56" i="3"/>
  <c r="N58" i="3" s="1"/>
  <c r="Q55" i="3"/>
  <c r="Q56" i="3" s="1"/>
  <c r="L23" i="3"/>
  <c r="M14" i="3"/>
  <c r="N14" i="3" s="1"/>
  <c r="M41" i="3" s="1"/>
  <c r="O41" i="3" s="1"/>
  <c r="O77" i="3"/>
  <c r="L22" i="3"/>
  <c r="M13" i="3"/>
  <c r="N13" i="3" s="1"/>
  <c r="M40" i="3" s="1"/>
  <c r="O40" i="3" s="1"/>
  <c r="K86" i="2"/>
  <c r="K55" i="2"/>
  <c r="K56" i="2" s="1"/>
  <c r="K57" i="2" s="1"/>
  <c r="N62" i="2"/>
  <c r="O62" i="2" s="1"/>
  <c r="Q62" i="2" s="1"/>
  <c r="N3" i="2"/>
  <c r="N6" i="2"/>
  <c r="M75" i="2"/>
  <c r="O75" i="2" s="1"/>
  <c r="G8" i="2"/>
  <c r="H8" i="2" s="1"/>
  <c r="O3" i="2" s="1"/>
  <c r="M12" i="2" s="1"/>
  <c r="N12" i="2" s="1"/>
  <c r="N5" i="2"/>
  <c r="M73" i="2"/>
  <c r="O73" i="2" s="1"/>
  <c r="N63" i="2"/>
  <c r="O63" i="2" s="1"/>
  <c r="Q63" i="2" s="1"/>
  <c r="N66" i="2"/>
  <c r="O66" i="2" s="1"/>
  <c r="Q66" i="2" s="1"/>
  <c r="M74" i="2"/>
  <c r="O74" i="2" s="1"/>
  <c r="G9" i="2"/>
  <c r="H9" i="2"/>
  <c r="O4" i="2" s="1"/>
  <c r="G10" i="2"/>
  <c r="H10" i="2" s="1"/>
  <c r="O5" i="2" s="1"/>
  <c r="G11" i="2"/>
  <c r="H11" i="2"/>
  <c r="O6" i="2" s="1"/>
  <c r="M76" i="2"/>
  <c r="O76" i="2" s="1"/>
  <c r="G12" i="2"/>
  <c r="H12" i="2" s="1"/>
  <c r="O7" i="2" s="1"/>
  <c r="N7" i="2"/>
  <c r="L73" i="1"/>
  <c r="L74" i="1"/>
  <c r="L75" i="1"/>
  <c r="L76" i="1"/>
  <c r="L72" i="1"/>
  <c r="M63" i="1"/>
  <c r="M64" i="1"/>
  <c r="M65" i="1"/>
  <c r="M66" i="1"/>
  <c r="M62" i="1"/>
  <c r="O77" i="2" l="1"/>
  <c r="K58" i="2"/>
  <c r="K59" i="3"/>
  <c r="O59" i="3" s="1"/>
  <c r="L42" i="3"/>
  <c r="L52" i="3" s="1"/>
  <c r="O24" i="3"/>
  <c r="L41" i="3"/>
  <c r="L51" i="3" s="1"/>
  <c r="O23" i="3"/>
  <c r="O21" i="3"/>
  <c r="L39" i="3"/>
  <c r="L49" i="3" s="1"/>
  <c r="O22" i="3"/>
  <c r="L40" i="3"/>
  <c r="L50" i="3" s="1"/>
  <c r="O39" i="3"/>
  <c r="N17" i="3"/>
  <c r="L31" i="3" s="1"/>
  <c r="O25" i="3"/>
  <c r="L43" i="3"/>
  <c r="L53" i="3" s="1"/>
  <c r="L21" i="2"/>
  <c r="O21" i="2" s="1"/>
  <c r="Q67" i="2"/>
  <c r="M16" i="2"/>
  <c r="N16" i="2" s="1"/>
  <c r="M43" i="2" s="1"/>
  <c r="O43" i="2" s="1"/>
  <c r="L25" i="2"/>
  <c r="L23" i="2"/>
  <c r="M14" i="2"/>
  <c r="N14" i="2" s="1"/>
  <c r="M41" i="2" s="1"/>
  <c r="O41" i="2" s="1"/>
  <c r="L22" i="2"/>
  <c r="M13" i="2"/>
  <c r="N13" i="2" s="1"/>
  <c r="M40" i="2" s="1"/>
  <c r="O40" i="2" s="1"/>
  <c r="O8" i="2"/>
  <c r="M39" i="2"/>
  <c r="O39" i="2" s="1"/>
  <c r="N56" i="2"/>
  <c r="N58" i="2" s="1"/>
  <c r="Q55" i="2"/>
  <c r="Q56" i="2" s="1"/>
  <c r="K79" i="2"/>
  <c r="K80" i="2" s="1"/>
  <c r="K59" i="2"/>
  <c r="M15" i="2"/>
  <c r="N15" i="2" s="1"/>
  <c r="M42" i="2" s="1"/>
  <c r="O42" i="2" s="1"/>
  <c r="L24" i="2"/>
  <c r="K82" i="1"/>
  <c r="K83" i="1"/>
  <c r="K84" i="1"/>
  <c r="K85" i="1"/>
  <c r="K81" i="1"/>
  <c r="L3" i="1"/>
  <c r="L4" i="1"/>
  <c r="L5" i="1"/>
  <c r="L6" i="1"/>
  <c r="L7" i="1"/>
  <c r="K68" i="1"/>
  <c r="N57" i="1"/>
  <c r="C3" i="1"/>
  <c r="C4" i="1"/>
  <c r="C2" i="1"/>
  <c r="N55" i="1" s="1"/>
  <c r="L39" i="2" l="1"/>
  <c r="L49" i="2" s="1"/>
  <c r="N50" i="3"/>
  <c r="M50" i="3"/>
  <c r="O26" i="3"/>
  <c r="L33" i="3"/>
  <c r="L32" i="3"/>
  <c r="L34" i="3"/>
  <c r="M49" i="3"/>
  <c r="N49" i="3"/>
  <c r="M52" i="3"/>
  <c r="N52" i="3"/>
  <c r="M51" i="3"/>
  <c r="N51" i="3"/>
  <c r="M53" i="3"/>
  <c r="N53" i="3"/>
  <c r="N79" i="3"/>
  <c r="N80" i="3" s="1"/>
  <c r="N17" i="2"/>
  <c r="L31" i="2" s="1"/>
  <c r="L33" i="2" s="1"/>
  <c r="L32" i="2"/>
  <c r="L34" i="2"/>
  <c r="M49" i="2"/>
  <c r="N49" i="2"/>
  <c r="O22" i="2"/>
  <c r="L40" i="2"/>
  <c r="L50" i="2" s="1"/>
  <c r="L41" i="2"/>
  <c r="L51" i="2" s="1"/>
  <c r="O23" i="2"/>
  <c r="L42" i="2"/>
  <c r="L52" i="2" s="1"/>
  <c r="O24" i="2"/>
  <c r="O25" i="2"/>
  <c r="L43" i="2"/>
  <c r="L53" i="2" s="1"/>
  <c r="N79" i="2"/>
  <c r="N80" i="2" s="1"/>
  <c r="K55" i="1"/>
  <c r="K79" i="1"/>
  <c r="K80" i="1" s="1"/>
  <c r="K86" i="1"/>
  <c r="K22" i="1"/>
  <c r="K23" i="1"/>
  <c r="K24" i="1"/>
  <c r="K25" i="1"/>
  <c r="K21" i="1"/>
  <c r="K13" i="1"/>
  <c r="K14" i="1"/>
  <c r="K15" i="1"/>
  <c r="K16" i="1"/>
  <c r="K12" i="1"/>
  <c r="M3" i="1"/>
  <c r="M4" i="1"/>
  <c r="M5" i="1"/>
  <c r="M6" i="1"/>
  <c r="M7" i="1"/>
  <c r="K4" i="1"/>
  <c r="K5" i="1"/>
  <c r="K6" i="1"/>
  <c r="K7" i="1"/>
  <c r="K3" i="1"/>
  <c r="G3" i="1"/>
  <c r="G4" i="1"/>
  <c r="G5" i="1"/>
  <c r="M75" i="1" s="1"/>
  <c r="O75" i="1" s="1"/>
  <c r="G6" i="1"/>
  <c r="G2" i="1"/>
  <c r="G1" i="1"/>
  <c r="K56" i="1" l="1"/>
  <c r="K58" i="1"/>
  <c r="L30" i="3"/>
  <c r="L35" i="3" s="1"/>
  <c r="P26" i="3"/>
  <c r="M44" i="3"/>
  <c r="O44" i="3" s="1"/>
  <c r="O26" i="2"/>
  <c r="L30" i="2" s="1"/>
  <c r="M44" i="2" s="1"/>
  <c r="O44" i="2" s="1"/>
  <c r="L35" i="2"/>
  <c r="M52" i="2"/>
  <c r="N52" i="2"/>
  <c r="M51" i="2"/>
  <c r="N51" i="2"/>
  <c r="M50" i="2"/>
  <c r="N50" i="2"/>
  <c r="M53" i="2"/>
  <c r="N53" i="2"/>
  <c r="N56" i="1"/>
  <c r="N58" i="1" s="1"/>
  <c r="Q55" i="1"/>
  <c r="Q56" i="1" s="1"/>
  <c r="N62" i="1"/>
  <c r="O62" i="1" s="1"/>
  <c r="Q62" i="1" s="1"/>
  <c r="M72" i="1"/>
  <c r="O72" i="1" s="1"/>
  <c r="N63" i="1"/>
  <c r="M73" i="1"/>
  <c r="O73" i="1" s="1"/>
  <c r="N7" i="1"/>
  <c r="M76" i="1"/>
  <c r="O76" i="1" s="1"/>
  <c r="N5" i="1"/>
  <c r="M74" i="1"/>
  <c r="O74" i="1" s="1"/>
  <c r="G11" i="1"/>
  <c r="H11" i="1" s="1"/>
  <c r="O6" i="1" s="1"/>
  <c r="L24" i="1" s="1"/>
  <c r="L42" i="1" s="1"/>
  <c r="L52" i="1" s="1"/>
  <c r="N65" i="1"/>
  <c r="O65" i="1" s="1"/>
  <c r="Q65" i="1" s="1"/>
  <c r="G12" i="1"/>
  <c r="N66" i="1"/>
  <c r="O66" i="1" s="1"/>
  <c r="Q66" i="1" s="1"/>
  <c r="G10" i="1"/>
  <c r="H10" i="1" s="1"/>
  <c r="O5" i="1" s="1"/>
  <c r="L23" i="1" s="1"/>
  <c r="L41" i="1" s="1"/>
  <c r="L51" i="1" s="1"/>
  <c r="N64" i="1"/>
  <c r="O64" i="1" s="1"/>
  <c r="Q64" i="1" s="1"/>
  <c r="G9" i="1"/>
  <c r="H9" i="1" s="1"/>
  <c r="O4" i="1" s="1"/>
  <c r="L22" i="1" s="1"/>
  <c r="L40" i="1" s="1"/>
  <c r="L50" i="1" s="1"/>
  <c r="G8" i="1"/>
  <c r="H8" i="1" s="1"/>
  <c r="O3" i="1" s="1"/>
  <c r="L21" i="1" s="1"/>
  <c r="L39" i="1" s="1"/>
  <c r="L49" i="1" s="1"/>
  <c r="N3" i="1"/>
  <c r="N6" i="1"/>
  <c r="N4" i="1"/>
  <c r="K57" i="1"/>
  <c r="N81" i="3" l="1"/>
  <c r="N82" i="3" s="1"/>
  <c r="M86" i="3" s="1"/>
  <c r="O45" i="3"/>
  <c r="N81" i="2"/>
  <c r="N82" i="2" s="1"/>
  <c r="O45" i="2"/>
  <c r="O63" i="1"/>
  <c r="Q63" i="1" s="1"/>
  <c r="Q67" i="1" s="1"/>
  <c r="O77" i="1"/>
  <c r="K59" i="1"/>
  <c r="H12" i="1"/>
  <c r="O7" i="1" s="1"/>
  <c r="M12" i="1"/>
  <c r="N12" i="1" s="1"/>
  <c r="M13" i="1"/>
  <c r="N13" i="1" s="1"/>
  <c r="M40" i="1" s="1"/>
  <c r="O40" i="1" s="1"/>
  <c r="M14" i="1"/>
  <c r="N14" i="1" s="1"/>
  <c r="M41" i="1" s="1"/>
  <c r="O41" i="1" s="1"/>
  <c r="M15" i="1"/>
  <c r="N15" i="1" s="1"/>
  <c r="M42" i="1" s="1"/>
  <c r="O42" i="1" s="1"/>
  <c r="M16" i="1" l="1"/>
  <c r="N16" i="1" s="1"/>
  <c r="M43" i="1" s="1"/>
  <c r="O43" i="1" s="1"/>
  <c r="L25" i="1"/>
  <c r="L43" i="1" s="1"/>
  <c r="L53" i="1" s="1"/>
  <c r="O8" i="1"/>
  <c r="M39" i="1"/>
  <c r="O39" i="1" s="1"/>
  <c r="N17" i="1"/>
  <c r="L31" i="1" s="1"/>
  <c r="O24" i="1"/>
  <c r="O23" i="1"/>
  <c r="O22" i="1"/>
  <c r="O21" i="1"/>
  <c r="O25" i="1"/>
  <c r="N79" i="1" l="1"/>
  <c r="N80" i="1" s="1"/>
  <c r="L32" i="1"/>
  <c r="L34" i="1"/>
  <c r="L33" i="1"/>
  <c r="M49" i="1"/>
  <c r="N49" i="1"/>
  <c r="O26" i="1"/>
  <c r="L30" i="1" s="1"/>
  <c r="N53" i="1"/>
  <c r="M53" i="1"/>
  <c r="M50" i="1"/>
  <c r="N50" i="1"/>
  <c r="N51" i="1"/>
  <c r="M51" i="1"/>
  <c r="M52" i="1"/>
  <c r="N52" i="1"/>
  <c r="L35" i="1" l="1"/>
  <c r="M44" i="1"/>
  <c r="O44" i="1" s="1"/>
  <c r="O45" i="1" l="1"/>
  <c r="N81" i="1"/>
  <c r="N82" i="1" s="1"/>
</calcChain>
</file>

<file path=xl/sharedStrings.xml><?xml version="1.0" encoding="utf-8"?>
<sst xmlns="http://schemas.openxmlformats.org/spreadsheetml/2006/main" count="465" uniqueCount="128">
  <si>
    <t>Годовая программа выпуска</t>
  </si>
  <si>
    <t>Размеры заготовки</t>
  </si>
  <si>
    <t>Коэффициент использования металла</t>
  </si>
  <si>
    <t>Фрезерование</t>
  </si>
  <si>
    <t>Сверление</t>
  </si>
  <si>
    <t>Расточка</t>
  </si>
  <si>
    <t>Шлифование</t>
  </si>
  <si>
    <t>Токарный</t>
  </si>
  <si>
    <t>Fэф</t>
  </si>
  <si>
    <t>Приложения</t>
  </si>
  <si>
    <t>Рабочих дней в году</t>
  </si>
  <si>
    <t>Сменность работы</t>
  </si>
  <si>
    <t>Продолжительность смены</t>
  </si>
  <si>
    <t>Плановый простой оборудования за год</t>
  </si>
  <si>
    <t>Плановые потери рабочего времени в год</t>
  </si>
  <si>
    <t>Средний % выполнения норм</t>
  </si>
  <si>
    <t>Поставка сырья</t>
  </si>
  <si>
    <t>Длительность производственного цикла</t>
  </si>
  <si>
    <t>Периодичность отгрузки</t>
  </si>
  <si>
    <t>Цена материала</t>
  </si>
  <si>
    <t>Плотность материала</t>
  </si>
  <si>
    <t xml:space="preserve">Цена реализации отходов </t>
  </si>
  <si>
    <t>Стоимость 1м2 площади</t>
  </si>
  <si>
    <t>Дополнительная зп</t>
  </si>
  <si>
    <t>Начисления на зп</t>
  </si>
  <si>
    <t>Годовая норма амортизации оборудоования</t>
  </si>
  <si>
    <t>Годовая норма амортизации здания</t>
  </si>
  <si>
    <t>Удельный вес стоимости</t>
  </si>
  <si>
    <t>Тгод фрезер</t>
  </si>
  <si>
    <t>Тгод сверл</t>
  </si>
  <si>
    <t>Тгод расточка</t>
  </si>
  <si>
    <t>Тгод шлиф</t>
  </si>
  <si>
    <t>Тгод токар</t>
  </si>
  <si>
    <t>C фрезер</t>
  </si>
  <si>
    <t>C сверл</t>
  </si>
  <si>
    <t>C расточка</t>
  </si>
  <si>
    <t>C шлиф</t>
  </si>
  <si>
    <t>C токар</t>
  </si>
  <si>
    <t>Таблица 1</t>
  </si>
  <si>
    <t xml:space="preserve">№ </t>
  </si>
  <si>
    <t>Наименование</t>
  </si>
  <si>
    <t>Норма времени</t>
  </si>
  <si>
    <t>Год. Объем производства</t>
  </si>
  <si>
    <t>Трудоемкость</t>
  </si>
  <si>
    <t>Кол-во ед. обор</t>
  </si>
  <si>
    <t>Итого</t>
  </si>
  <si>
    <t>Таблица 2</t>
  </si>
  <si>
    <t>Цена за ед. обор.</t>
  </si>
  <si>
    <t>Кол-во ед. обор.</t>
  </si>
  <si>
    <t>Общая стоимость</t>
  </si>
  <si>
    <t>Таблица 3</t>
  </si>
  <si>
    <t>Площадь</t>
  </si>
  <si>
    <t>Основная</t>
  </si>
  <si>
    <t>Дополнительная</t>
  </si>
  <si>
    <t>Общая площадь</t>
  </si>
  <si>
    <t>Таблица 4</t>
  </si>
  <si>
    <t>Группа</t>
  </si>
  <si>
    <t>Здание</t>
  </si>
  <si>
    <t>Рабочие машины</t>
  </si>
  <si>
    <t>Транспорт</t>
  </si>
  <si>
    <t>Производственный инвентарь</t>
  </si>
  <si>
    <t>Инструменты</t>
  </si>
  <si>
    <t>Стоимость</t>
  </si>
  <si>
    <t>Таблица 5</t>
  </si>
  <si>
    <t>Виды фондов</t>
  </si>
  <si>
    <t>Фрезерный</t>
  </si>
  <si>
    <t>Сверлильный</t>
  </si>
  <si>
    <t>Расточный</t>
  </si>
  <si>
    <t>Шлифовальный</t>
  </si>
  <si>
    <t>Кол-во</t>
  </si>
  <si>
    <t>Норма амортиз</t>
  </si>
  <si>
    <t>Сумма амортиз</t>
  </si>
  <si>
    <t>Таблица 6</t>
  </si>
  <si>
    <t>Виды оборуд</t>
  </si>
  <si>
    <t>Мощность</t>
  </si>
  <si>
    <t>Коэфф. Загрузки</t>
  </si>
  <si>
    <t>Таблица 7</t>
  </si>
  <si>
    <t>Gсут</t>
  </si>
  <si>
    <t>Зmaxтек</t>
  </si>
  <si>
    <t>Зсредтек</t>
  </si>
  <si>
    <t>Зстрах</t>
  </si>
  <si>
    <t>Нпр.зап.</t>
  </si>
  <si>
    <t>Sm</t>
  </si>
  <si>
    <t>Sср.сут</t>
  </si>
  <si>
    <t>Кнз</t>
  </si>
  <si>
    <t>Ннп</t>
  </si>
  <si>
    <t>Sдет</t>
  </si>
  <si>
    <t>Нг.п</t>
  </si>
  <si>
    <t>Норма времени на операцию</t>
  </si>
  <si>
    <t>Численность рабочих</t>
  </si>
  <si>
    <t>Fэф.раб.</t>
  </si>
  <si>
    <t>ИТОГО</t>
  </si>
  <si>
    <t>Таблица 8</t>
  </si>
  <si>
    <t>III</t>
  </si>
  <si>
    <t>IV</t>
  </si>
  <si>
    <t>V</t>
  </si>
  <si>
    <t>Разряд работы</t>
  </si>
  <si>
    <t>Часовая тарифная ставка</t>
  </si>
  <si>
    <t>Фонд ОЗП</t>
  </si>
  <si>
    <t>Пм</t>
  </si>
  <si>
    <t>Sотх.возвр</t>
  </si>
  <si>
    <t>Зосн.i</t>
  </si>
  <si>
    <t>Зосн.</t>
  </si>
  <si>
    <t>Крсо</t>
  </si>
  <si>
    <t>Sрсо</t>
  </si>
  <si>
    <t>Кцнр</t>
  </si>
  <si>
    <t>Sцнр</t>
  </si>
  <si>
    <t>П4. Т10</t>
  </si>
  <si>
    <t>П5 Т10 (наиб,)</t>
  </si>
  <si>
    <t>П6 Т10- все меньше 1</t>
  </si>
  <si>
    <t>П7 Т10</t>
  </si>
  <si>
    <t>П12 Т10</t>
  </si>
  <si>
    <t>П11 Т10</t>
  </si>
  <si>
    <t>П9 Т10</t>
  </si>
  <si>
    <t>П8 Т10</t>
  </si>
  <si>
    <t>П1 Т9</t>
  </si>
  <si>
    <t>П3 Т10</t>
  </si>
  <si>
    <t>П1 Т10</t>
  </si>
  <si>
    <t>П2 Т10</t>
  </si>
  <si>
    <t>П5 Т9</t>
  </si>
  <si>
    <t>П6 Т9</t>
  </si>
  <si>
    <t>П9 Т9</t>
  </si>
  <si>
    <t>П10 Т9</t>
  </si>
  <si>
    <t>П3 Т9</t>
  </si>
  <si>
    <t>П7 Т9</t>
  </si>
  <si>
    <t>П8 Т9</t>
  </si>
  <si>
    <t>П10 Т10</t>
  </si>
  <si>
    <t>П13 Т10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</si>
</sst>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B51" zoomScale="85" zoomScaleNormal="85" workbookViewId="0">
      <selection activeCell="M64" sqref="M64"/>
    </sheetView>
  </sheetViews>
  <sheetFormatPr defaultRowHeight="15" x14ac:dyDescent="0.25"/>
  <cols>
    <col min="1" max="1" width="40.42578125" customWidth="1"/>
    <col min="6" max="6" width="12.5703125" customWidth="1"/>
    <col min="7" max="7" width="11.140625" customWidth="1"/>
    <col min="11" max="11" width="18.5703125" customWidth="1"/>
    <col min="12" max="12" width="16.140625" customWidth="1"/>
    <col min="13" max="13" width="25.28515625" customWidth="1"/>
    <col min="14" max="14" width="16.7109375" customWidth="1"/>
    <col min="15" max="15" width="24.5703125" customWidth="1"/>
    <col min="17" max="17" width="11" bestFit="1" customWidth="1"/>
  </cols>
  <sheetData>
    <row r="1" spans="1:15" x14ac:dyDescent="0.25">
      <c r="A1" t="s">
        <v>0</v>
      </c>
      <c r="B1">
        <v>200000</v>
      </c>
      <c r="F1" t="s">
        <v>8</v>
      </c>
      <c r="G1">
        <f>B13*B14*B15*(1-B16)</f>
        <v>3760</v>
      </c>
      <c r="J1" t="s">
        <v>38</v>
      </c>
    </row>
    <row r="2" spans="1:15" x14ac:dyDescent="0.25">
      <c r="A2" t="s">
        <v>1</v>
      </c>
      <c r="B2">
        <v>30</v>
      </c>
      <c r="C2">
        <f>B2/1000</f>
        <v>0.03</v>
      </c>
      <c r="F2" t="s">
        <v>28</v>
      </c>
      <c r="G2">
        <f>ROUND(B$1*B6/60,0)</f>
        <v>5333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</row>
    <row r="3" spans="1:15" x14ac:dyDescent="0.25">
      <c r="B3">
        <v>25</v>
      </c>
      <c r="C3">
        <f t="shared" ref="C3:C4" si="0">B3/1000</f>
        <v>2.5000000000000001E-2</v>
      </c>
      <c r="F3" t="s">
        <v>29</v>
      </c>
      <c r="G3">
        <f t="shared" ref="G3:G6" si="1">ROUND(B$1*B7/60,0)</f>
        <v>4000</v>
      </c>
      <c r="J3" s="2">
        <v>1</v>
      </c>
      <c r="K3" s="2" t="str">
        <f t="shared" ref="K3:L7" si="2">A6</f>
        <v>Фрезерование</v>
      </c>
      <c r="L3" s="2">
        <f t="shared" si="2"/>
        <v>1.6</v>
      </c>
      <c r="M3" s="2">
        <f>B$1</f>
        <v>200000</v>
      </c>
      <c r="N3" s="2">
        <f>G2</f>
        <v>5333</v>
      </c>
      <c r="O3" s="2">
        <f>H8</f>
        <v>2</v>
      </c>
    </row>
    <row r="4" spans="1:15" x14ac:dyDescent="0.25">
      <c r="B4">
        <v>10</v>
      </c>
      <c r="C4">
        <f t="shared" si="0"/>
        <v>0.01</v>
      </c>
      <c r="F4" t="s">
        <v>30</v>
      </c>
      <c r="G4">
        <f t="shared" si="1"/>
        <v>5000</v>
      </c>
      <c r="J4" s="2">
        <v>2</v>
      </c>
      <c r="K4" s="2" t="str">
        <f t="shared" si="2"/>
        <v>Сверление</v>
      </c>
      <c r="L4" s="2">
        <f t="shared" si="2"/>
        <v>1.2</v>
      </c>
      <c r="M4" s="2">
        <f>B$1</f>
        <v>200000</v>
      </c>
      <c r="N4" s="2">
        <f>G3</f>
        <v>4000</v>
      </c>
      <c r="O4" s="2">
        <f>H9</f>
        <v>1</v>
      </c>
    </row>
    <row r="5" spans="1:15" x14ac:dyDescent="0.25">
      <c r="A5" t="s">
        <v>2</v>
      </c>
      <c r="B5">
        <v>0.8</v>
      </c>
      <c r="F5" t="s">
        <v>31</v>
      </c>
      <c r="G5">
        <f t="shared" si="1"/>
        <v>4000</v>
      </c>
      <c r="J5" s="2">
        <v>3</v>
      </c>
      <c r="K5" s="2" t="str">
        <f t="shared" si="2"/>
        <v>Расточка</v>
      </c>
      <c r="L5" s="2">
        <f t="shared" si="2"/>
        <v>1.5</v>
      </c>
      <c r="M5" s="2">
        <f>B$1</f>
        <v>200000</v>
      </c>
      <c r="N5" s="2">
        <f>G4</f>
        <v>5000</v>
      </c>
      <c r="O5" s="2">
        <f>H10</f>
        <v>2</v>
      </c>
    </row>
    <row r="6" spans="1:15" x14ac:dyDescent="0.25">
      <c r="A6" t="s">
        <v>3</v>
      </c>
      <c r="B6">
        <v>1.6</v>
      </c>
      <c r="F6" t="s">
        <v>32</v>
      </c>
      <c r="G6">
        <f t="shared" si="1"/>
        <v>4333</v>
      </c>
      <c r="J6" s="2">
        <v>4</v>
      </c>
      <c r="K6" s="2" t="str">
        <f t="shared" si="2"/>
        <v>Шлифование</v>
      </c>
      <c r="L6" s="2">
        <f t="shared" si="2"/>
        <v>1.2</v>
      </c>
      <c r="M6" s="2">
        <f>B$1</f>
        <v>200000</v>
      </c>
      <c r="N6" s="2">
        <f>G5</f>
        <v>4000</v>
      </c>
      <c r="O6" s="2">
        <f>H11</f>
        <v>1</v>
      </c>
    </row>
    <row r="7" spans="1:15" x14ac:dyDescent="0.25">
      <c r="A7" t="s">
        <v>4</v>
      </c>
      <c r="B7">
        <v>1.2</v>
      </c>
      <c r="J7" s="2">
        <v>5</v>
      </c>
      <c r="K7" s="2" t="str">
        <f t="shared" si="2"/>
        <v>Токарный</v>
      </c>
      <c r="L7" s="2">
        <f t="shared" si="2"/>
        <v>1.3</v>
      </c>
      <c r="M7" s="2">
        <f>B$1</f>
        <v>200000</v>
      </c>
      <c r="N7" s="2">
        <f>G6</f>
        <v>4333</v>
      </c>
      <c r="O7" s="2">
        <f>H12</f>
        <v>2</v>
      </c>
    </row>
    <row r="8" spans="1:15" x14ac:dyDescent="0.25">
      <c r="A8" t="s">
        <v>5</v>
      </c>
      <c r="B8">
        <v>1.5</v>
      </c>
      <c r="F8" t="s">
        <v>33</v>
      </c>
      <c r="G8">
        <f>G2/G$1</f>
        <v>1.4183510638297872</v>
      </c>
      <c r="H8">
        <f>IF(MOD(G2/G$1,1) &gt; 0.15,ROUNDUP(G8,0),ROUNDDOWN(G8,0))</f>
        <v>2</v>
      </c>
      <c r="J8" s="11" t="s">
        <v>45</v>
      </c>
      <c r="K8" s="11"/>
      <c r="L8" s="11"/>
      <c r="M8" s="11"/>
      <c r="N8" s="11"/>
      <c r="O8" s="2">
        <f>SUM(O3:O7)</f>
        <v>8</v>
      </c>
    </row>
    <row r="9" spans="1:15" x14ac:dyDescent="0.25">
      <c r="A9" t="s">
        <v>6</v>
      </c>
      <c r="B9">
        <v>1.2</v>
      </c>
      <c r="F9" t="s">
        <v>34</v>
      </c>
      <c r="G9">
        <f t="shared" ref="G9:G12" si="3">G3/G$1</f>
        <v>1.0638297872340425</v>
      </c>
      <c r="H9">
        <f t="shared" ref="H9:H12" si="4">IF(MOD(G3/G$1,1) &gt; 0.15,ROUNDUP(G9,0),ROUNDDOWN(G9,0))</f>
        <v>1</v>
      </c>
    </row>
    <row r="10" spans="1:15" x14ac:dyDescent="0.25">
      <c r="A10" t="s">
        <v>7</v>
      </c>
      <c r="B10">
        <v>1.3</v>
      </c>
      <c r="F10" t="s">
        <v>35</v>
      </c>
      <c r="G10">
        <f t="shared" si="3"/>
        <v>1.3297872340425532</v>
      </c>
      <c r="H10">
        <f t="shared" si="4"/>
        <v>2</v>
      </c>
      <c r="J10" t="s">
        <v>46</v>
      </c>
    </row>
    <row r="11" spans="1:15" x14ac:dyDescent="0.25">
      <c r="F11" t="s">
        <v>36</v>
      </c>
      <c r="G11">
        <f t="shared" si="3"/>
        <v>1.0638297872340425</v>
      </c>
      <c r="H11">
        <f t="shared" si="4"/>
        <v>1</v>
      </c>
      <c r="J11" s="1" t="s">
        <v>39</v>
      </c>
      <c r="K11" s="1" t="s">
        <v>40</v>
      </c>
      <c r="L11" s="1" t="s">
        <v>47</v>
      </c>
      <c r="M11" s="1" t="s">
        <v>48</v>
      </c>
      <c r="N11" s="1" t="s">
        <v>49</v>
      </c>
    </row>
    <row r="12" spans="1:15" x14ac:dyDescent="0.25">
      <c r="A12" t="s">
        <v>9</v>
      </c>
      <c r="F12" t="s">
        <v>37</v>
      </c>
      <c r="G12">
        <f t="shared" si="3"/>
        <v>1.1523936170212765</v>
      </c>
      <c r="H12">
        <f t="shared" si="4"/>
        <v>2</v>
      </c>
      <c r="J12" s="2">
        <v>1</v>
      </c>
      <c r="K12" s="2" t="str">
        <f>A6</f>
        <v>Фрезерование</v>
      </c>
      <c r="L12" s="2">
        <v>239800</v>
      </c>
      <c r="M12" s="2">
        <f>O3</f>
        <v>2</v>
      </c>
      <c r="N12" s="2">
        <f>M12*L12</f>
        <v>479600</v>
      </c>
    </row>
    <row r="13" spans="1:15" x14ac:dyDescent="0.25">
      <c r="A13" t="s">
        <v>10</v>
      </c>
      <c r="B13">
        <v>250</v>
      </c>
      <c r="J13" s="2">
        <v>2</v>
      </c>
      <c r="K13" s="2" t="str">
        <f>A7</f>
        <v>Сверление</v>
      </c>
      <c r="L13" s="2">
        <v>186500</v>
      </c>
      <c r="M13" s="2">
        <f t="shared" ref="M13:M16" si="5">O4</f>
        <v>1</v>
      </c>
      <c r="N13" s="2">
        <f>M13*L13</f>
        <v>186500</v>
      </c>
    </row>
    <row r="14" spans="1:15" x14ac:dyDescent="0.25">
      <c r="A14" t="s">
        <v>11</v>
      </c>
      <c r="B14">
        <v>2</v>
      </c>
      <c r="J14" s="2">
        <v>3</v>
      </c>
      <c r="K14" s="2" t="str">
        <f>A8</f>
        <v>Расточка</v>
      </c>
      <c r="L14" s="2">
        <v>166950</v>
      </c>
      <c r="M14" s="2">
        <f t="shared" si="5"/>
        <v>2</v>
      </c>
      <c r="N14" s="2">
        <f>M14*L14</f>
        <v>333900</v>
      </c>
    </row>
    <row r="15" spans="1:15" x14ac:dyDescent="0.25">
      <c r="A15" t="s">
        <v>12</v>
      </c>
      <c r="B15">
        <v>8</v>
      </c>
      <c r="J15" s="2">
        <v>4</v>
      </c>
      <c r="K15" s="2" t="str">
        <f>A9</f>
        <v>Шлифование</v>
      </c>
      <c r="L15" s="2">
        <v>151000</v>
      </c>
      <c r="M15" s="2">
        <f t="shared" si="5"/>
        <v>1</v>
      </c>
      <c r="N15" s="2">
        <f>M15*L15</f>
        <v>151000</v>
      </c>
    </row>
    <row r="16" spans="1:15" x14ac:dyDescent="0.25">
      <c r="A16" t="s">
        <v>13</v>
      </c>
      <c r="B16">
        <v>0.06</v>
      </c>
      <c r="J16" s="2">
        <v>5</v>
      </c>
      <c r="K16" s="2" t="str">
        <f>A10</f>
        <v>Токарный</v>
      </c>
      <c r="L16" s="2">
        <v>181500</v>
      </c>
      <c r="M16" s="2">
        <f t="shared" si="5"/>
        <v>2</v>
      </c>
      <c r="N16" s="2">
        <f>M16*L16</f>
        <v>363000</v>
      </c>
    </row>
    <row r="17" spans="1:15" x14ac:dyDescent="0.25">
      <c r="A17" t="s">
        <v>14</v>
      </c>
      <c r="B17">
        <v>0.15</v>
      </c>
      <c r="J17" s="11" t="s">
        <v>45</v>
      </c>
      <c r="K17" s="11"/>
      <c r="L17" s="11"/>
      <c r="M17" s="11"/>
      <c r="N17" s="1">
        <f>SUM(N12:N16)</f>
        <v>1514000</v>
      </c>
    </row>
    <row r="18" spans="1:15" x14ac:dyDescent="0.25">
      <c r="A18" t="s">
        <v>15</v>
      </c>
      <c r="B18">
        <v>1.03</v>
      </c>
    </row>
    <row r="19" spans="1:15" x14ac:dyDescent="0.25">
      <c r="A19" t="s">
        <v>16</v>
      </c>
      <c r="J19" t="s">
        <v>50</v>
      </c>
      <c r="M19" s="11" t="s">
        <v>51</v>
      </c>
      <c r="N19" s="11"/>
      <c r="O19" s="3"/>
    </row>
    <row r="20" spans="1:15" x14ac:dyDescent="0.25">
      <c r="A20" t="s">
        <v>17</v>
      </c>
      <c r="J20" s="1" t="s">
        <v>39</v>
      </c>
      <c r="K20" s="1" t="s">
        <v>40</v>
      </c>
      <c r="L20" s="1" t="s">
        <v>48</v>
      </c>
      <c r="M20" s="1" t="s">
        <v>52</v>
      </c>
      <c r="N20" s="4" t="s">
        <v>53</v>
      </c>
      <c r="O20" s="4" t="s">
        <v>54</v>
      </c>
    </row>
    <row r="21" spans="1:15" x14ac:dyDescent="0.25">
      <c r="A21" t="s">
        <v>18</v>
      </c>
      <c r="J21" s="2">
        <v>1</v>
      </c>
      <c r="K21" s="2" t="str">
        <f>A6</f>
        <v>Фрезерование</v>
      </c>
      <c r="L21" s="2">
        <f>O3</f>
        <v>2</v>
      </c>
      <c r="M21" s="2">
        <v>3.7</v>
      </c>
      <c r="N21" s="2">
        <v>8</v>
      </c>
      <c r="O21" s="2">
        <f>(M21+N21)*L21</f>
        <v>23.4</v>
      </c>
    </row>
    <row r="22" spans="1:15" x14ac:dyDescent="0.25">
      <c r="A22" t="s">
        <v>19</v>
      </c>
      <c r="B22">
        <v>35</v>
      </c>
      <c r="J22" s="2">
        <v>2</v>
      </c>
      <c r="K22" s="2" t="str">
        <f>A7</f>
        <v>Сверление</v>
      </c>
      <c r="L22" s="2">
        <f t="shared" ref="L22:L25" si="6">O4</f>
        <v>1</v>
      </c>
      <c r="M22" s="2">
        <v>1</v>
      </c>
      <c r="N22" s="2">
        <v>4</v>
      </c>
      <c r="O22" s="2">
        <f>(M22+N22)*L22</f>
        <v>5</v>
      </c>
    </row>
    <row r="23" spans="1:15" x14ac:dyDescent="0.25">
      <c r="A23" t="s">
        <v>20</v>
      </c>
      <c r="B23">
        <v>7800</v>
      </c>
      <c r="J23" s="2">
        <v>3</v>
      </c>
      <c r="K23" s="2" t="str">
        <f>A8</f>
        <v>Расточка</v>
      </c>
      <c r="L23" s="2">
        <f t="shared" si="6"/>
        <v>2</v>
      </c>
      <c r="M23" s="2">
        <v>16.3</v>
      </c>
      <c r="N23" s="2">
        <v>34</v>
      </c>
      <c r="O23" s="2">
        <f>(M23+N23)*L23</f>
        <v>100.6</v>
      </c>
    </row>
    <row r="24" spans="1:15" x14ac:dyDescent="0.25">
      <c r="A24" t="s">
        <v>21</v>
      </c>
      <c r="B24">
        <v>1500</v>
      </c>
      <c r="J24" s="2">
        <v>4</v>
      </c>
      <c r="K24" s="2" t="str">
        <f>A9</f>
        <v>Шлифование</v>
      </c>
      <c r="L24" s="2">
        <f t="shared" si="6"/>
        <v>1</v>
      </c>
      <c r="M24" s="2">
        <v>4.8</v>
      </c>
      <c r="N24" s="2">
        <v>10</v>
      </c>
      <c r="O24" s="2">
        <f>(M24+N24)*L24</f>
        <v>14.8</v>
      </c>
    </row>
    <row r="25" spans="1:15" x14ac:dyDescent="0.25">
      <c r="A25" t="s">
        <v>27</v>
      </c>
      <c r="B25">
        <v>0.45</v>
      </c>
      <c r="J25" s="2">
        <v>5</v>
      </c>
      <c r="K25" s="2" t="str">
        <f>A10</f>
        <v>Токарный</v>
      </c>
      <c r="L25" s="2">
        <f t="shared" si="6"/>
        <v>2</v>
      </c>
      <c r="M25" s="2">
        <v>7.6</v>
      </c>
      <c r="N25" s="2">
        <v>16</v>
      </c>
      <c r="O25" s="2">
        <f>(M25+N25)*L25</f>
        <v>47.2</v>
      </c>
    </row>
    <row r="26" spans="1:15" x14ac:dyDescent="0.25">
      <c r="A26" t="s">
        <v>22</v>
      </c>
      <c r="B26">
        <v>9400</v>
      </c>
      <c r="J26" s="11" t="s">
        <v>45</v>
      </c>
      <c r="K26" s="11"/>
      <c r="L26" s="11"/>
      <c r="M26" s="11"/>
      <c r="N26" s="11"/>
      <c r="O26" s="2">
        <f>SUM(O21:O25)</f>
        <v>191</v>
      </c>
    </row>
    <row r="27" spans="1:15" x14ac:dyDescent="0.25">
      <c r="A27" t="s">
        <v>23</v>
      </c>
      <c r="B27">
        <v>0.15</v>
      </c>
    </row>
    <row r="28" spans="1:15" x14ac:dyDescent="0.25">
      <c r="A28" t="s">
        <v>24</v>
      </c>
      <c r="B28">
        <v>0.26</v>
      </c>
      <c r="J28" t="s">
        <v>55</v>
      </c>
    </row>
    <row r="29" spans="1:15" x14ac:dyDescent="0.25">
      <c r="A29" t="s">
        <v>25</v>
      </c>
      <c r="B29">
        <v>0.2</v>
      </c>
      <c r="J29" s="1" t="s">
        <v>39</v>
      </c>
      <c r="K29" s="1" t="s">
        <v>56</v>
      </c>
      <c r="L29" s="1" t="s">
        <v>62</v>
      </c>
    </row>
    <row r="30" spans="1:15" x14ac:dyDescent="0.25">
      <c r="A30" t="s">
        <v>26</v>
      </c>
      <c r="B30">
        <v>2.5000000000000001E-2</v>
      </c>
      <c r="J30" s="2">
        <v>1</v>
      </c>
      <c r="K30" s="2" t="s">
        <v>57</v>
      </c>
      <c r="L30" s="2">
        <f>O$26*B26</f>
        <v>1795400</v>
      </c>
    </row>
    <row r="31" spans="1:15" x14ac:dyDescent="0.25">
      <c r="J31" s="2">
        <v>2</v>
      </c>
      <c r="K31" s="2" t="s">
        <v>58</v>
      </c>
      <c r="L31" s="2">
        <f>N17</f>
        <v>1514000</v>
      </c>
    </row>
    <row r="32" spans="1:15" x14ac:dyDescent="0.25">
      <c r="J32" s="2">
        <v>3</v>
      </c>
      <c r="K32" s="2" t="s">
        <v>59</v>
      </c>
      <c r="L32" s="2">
        <f>L31*0.1</f>
        <v>151400</v>
      </c>
    </row>
    <row r="33" spans="10:15" x14ac:dyDescent="0.25">
      <c r="J33" s="2">
        <v>4</v>
      </c>
      <c r="K33" s="2" t="s">
        <v>60</v>
      </c>
      <c r="L33" s="2">
        <f>L31*0.04</f>
        <v>60560</v>
      </c>
    </row>
    <row r="34" spans="10:15" x14ac:dyDescent="0.25">
      <c r="J34" s="2">
        <v>5</v>
      </c>
      <c r="K34" s="2" t="s">
        <v>61</v>
      </c>
      <c r="L34" s="2">
        <f>L31*0.04</f>
        <v>60560</v>
      </c>
    </row>
    <row r="35" spans="10:15" x14ac:dyDescent="0.25">
      <c r="J35" s="11" t="s">
        <v>45</v>
      </c>
      <c r="K35" s="11"/>
      <c r="L35" s="2">
        <f>SUM(L30:L34)</f>
        <v>3581920</v>
      </c>
    </row>
    <row r="37" spans="10:15" x14ac:dyDescent="0.25">
      <c r="J37" t="s">
        <v>63</v>
      </c>
    </row>
    <row r="38" spans="10:15" x14ac:dyDescent="0.25">
      <c r="J38" s="1" t="s">
        <v>39</v>
      </c>
      <c r="K38" s="1" t="s">
        <v>64</v>
      </c>
      <c r="L38" s="1" t="s">
        <v>69</v>
      </c>
      <c r="M38" s="1" t="s">
        <v>62</v>
      </c>
      <c r="N38" s="1" t="s">
        <v>70</v>
      </c>
      <c r="O38" s="1" t="s">
        <v>71</v>
      </c>
    </row>
    <row r="39" spans="10:15" x14ac:dyDescent="0.25">
      <c r="J39" s="2">
        <v>1</v>
      </c>
      <c r="K39" s="2" t="s">
        <v>65</v>
      </c>
      <c r="L39" s="2">
        <f>L21</f>
        <v>2</v>
      </c>
      <c r="M39" s="2">
        <f>N12</f>
        <v>479600</v>
      </c>
      <c r="N39" s="2">
        <v>0.2</v>
      </c>
      <c r="O39" s="2">
        <f>ROUND(M39*N39,0)</f>
        <v>95920</v>
      </c>
    </row>
    <row r="40" spans="10:15" x14ac:dyDescent="0.25">
      <c r="J40" s="2">
        <v>2</v>
      </c>
      <c r="K40" s="2" t="s">
        <v>66</v>
      </c>
      <c r="L40" s="2">
        <f t="shared" ref="L40:L43" si="7">L22</f>
        <v>1</v>
      </c>
      <c r="M40" s="2">
        <f t="shared" ref="M40:M43" si="8">N13</f>
        <v>186500</v>
      </c>
      <c r="N40" s="2">
        <v>0.2</v>
      </c>
      <c r="O40" s="2">
        <f t="shared" ref="O40:O43" si="9">ROUND(M40*N40,0)</f>
        <v>37300</v>
      </c>
    </row>
    <row r="41" spans="10:15" x14ac:dyDescent="0.25">
      <c r="J41" s="2">
        <v>3</v>
      </c>
      <c r="K41" s="2" t="s">
        <v>67</v>
      </c>
      <c r="L41" s="2">
        <f t="shared" si="7"/>
        <v>2</v>
      </c>
      <c r="M41" s="2">
        <f t="shared" si="8"/>
        <v>333900</v>
      </c>
      <c r="N41" s="2">
        <v>0.2</v>
      </c>
      <c r="O41" s="2">
        <f t="shared" si="9"/>
        <v>66780</v>
      </c>
    </row>
    <row r="42" spans="10:15" x14ac:dyDescent="0.25">
      <c r="J42" s="2">
        <v>4</v>
      </c>
      <c r="K42" s="2" t="s">
        <v>68</v>
      </c>
      <c r="L42" s="2">
        <f t="shared" si="7"/>
        <v>1</v>
      </c>
      <c r="M42" s="2">
        <f t="shared" si="8"/>
        <v>151000</v>
      </c>
      <c r="N42" s="2">
        <v>0.2</v>
      </c>
      <c r="O42" s="2">
        <f t="shared" si="9"/>
        <v>30200</v>
      </c>
    </row>
    <row r="43" spans="10:15" x14ac:dyDescent="0.25">
      <c r="J43" s="2">
        <v>5</v>
      </c>
      <c r="K43" s="2" t="s">
        <v>7</v>
      </c>
      <c r="L43" s="2">
        <f t="shared" si="7"/>
        <v>2</v>
      </c>
      <c r="M43" s="2">
        <f t="shared" si="8"/>
        <v>363000</v>
      </c>
      <c r="N43" s="2">
        <v>0.2</v>
      </c>
      <c r="O43" s="2">
        <f t="shared" si="9"/>
        <v>72600</v>
      </c>
    </row>
    <row r="44" spans="10:15" x14ac:dyDescent="0.25">
      <c r="J44" s="6">
        <v>6</v>
      </c>
      <c r="K44" s="2" t="s">
        <v>57</v>
      </c>
      <c r="L44" s="2"/>
      <c r="M44" s="2">
        <f>L30</f>
        <v>1795400</v>
      </c>
      <c r="N44" s="2">
        <v>2.5000000000000001E-2</v>
      </c>
      <c r="O44" s="2">
        <f>ROUND(M44*N44,0)</f>
        <v>44885</v>
      </c>
    </row>
    <row r="45" spans="10:15" x14ac:dyDescent="0.25">
      <c r="J45" s="12" t="s">
        <v>45</v>
      </c>
      <c r="K45" s="13"/>
      <c r="L45" s="13"/>
      <c r="M45" s="13"/>
      <c r="N45" s="14"/>
      <c r="O45" s="2">
        <f>SUM(O39:O44)</f>
        <v>347685</v>
      </c>
    </row>
    <row r="47" spans="10:15" x14ac:dyDescent="0.25">
      <c r="J47" t="s">
        <v>72</v>
      </c>
    </row>
    <row r="48" spans="10:15" x14ac:dyDescent="0.25">
      <c r="J48" s="1" t="s">
        <v>39</v>
      </c>
      <c r="K48" s="1" t="s">
        <v>73</v>
      </c>
      <c r="L48" s="1" t="s">
        <v>69</v>
      </c>
      <c r="M48" s="4" t="s">
        <v>74</v>
      </c>
      <c r="N48" s="4" t="s">
        <v>75</v>
      </c>
    </row>
    <row r="49" spans="10:17" x14ac:dyDescent="0.25">
      <c r="J49" s="2">
        <v>1</v>
      </c>
      <c r="K49" s="2" t="s">
        <v>65</v>
      </c>
      <c r="L49" s="2">
        <f>L39</f>
        <v>2</v>
      </c>
      <c r="M49" s="2">
        <f>ROUND(G$1*L49*B$18/(B6/60),0)</f>
        <v>290460</v>
      </c>
      <c r="N49" s="2">
        <f>ROUND(N3/(G$1*L49*B$18),2)</f>
        <v>0.69</v>
      </c>
    </row>
    <row r="50" spans="10:17" x14ac:dyDescent="0.25">
      <c r="J50" s="2">
        <v>2</v>
      </c>
      <c r="K50" s="2" t="s">
        <v>66</v>
      </c>
      <c r="L50" s="2">
        <f t="shared" ref="L50:L53" si="10">L40</f>
        <v>1</v>
      </c>
      <c r="M50" s="2">
        <f>ROUND(G$1*L50*B$18/(B7/60),0)</f>
        <v>193640</v>
      </c>
      <c r="N50" s="2">
        <f>ROUND(N4/(G$1*L50*B$18),2)</f>
        <v>1.03</v>
      </c>
    </row>
    <row r="51" spans="10:17" x14ac:dyDescent="0.25">
      <c r="J51" s="2">
        <v>3</v>
      </c>
      <c r="K51" s="2" t="s">
        <v>67</v>
      </c>
      <c r="L51" s="2">
        <f t="shared" si="10"/>
        <v>2</v>
      </c>
      <c r="M51" s="2">
        <f>ROUND(G$1*L51*B$18/(B8/60),0)</f>
        <v>309824</v>
      </c>
      <c r="N51" s="2">
        <f>ROUND(N5/(G$1*L51*B$18),2)</f>
        <v>0.65</v>
      </c>
    </row>
    <row r="52" spans="10:17" x14ac:dyDescent="0.25">
      <c r="J52" s="2">
        <v>4</v>
      </c>
      <c r="K52" s="2" t="s">
        <v>68</v>
      </c>
      <c r="L52" s="2">
        <f t="shared" si="10"/>
        <v>1</v>
      </c>
      <c r="M52" s="2">
        <f>ROUND(G$1*L52*B$18/(B9/60),0)</f>
        <v>193640</v>
      </c>
      <c r="N52" s="2">
        <f>ROUND(N6/(G$1*L52*B$18),2)</f>
        <v>1.03</v>
      </c>
    </row>
    <row r="53" spans="10:17" x14ac:dyDescent="0.25">
      <c r="J53" s="2">
        <v>5</v>
      </c>
      <c r="K53" s="2" t="s">
        <v>7</v>
      </c>
      <c r="L53" s="2">
        <f t="shared" si="10"/>
        <v>2</v>
      </c>
      <c r="M53" s="2">
        <f>ROUND(G$1*L53*B$18/(B10/60),0)</f>
        <v>357489</v>
      </c>
      <c r="N53" s="2">
        <f>ROUND(N7/(G$1*L53*B$18),2)</f>
        <v>0.56000000000000005</v>
      </c>
    </row>
    <row r="55" spans="10:17" x14ac:dyDescent="0.25">
      <c r="J55" t="s">
        <v>77</v>
      </c>
      <c r="K55">
        <f>ROUND(((C2*C3*C4*7800*B1)/360),2)</f>
        <v>32.5</v>
      </c>
      <c r="M55" t="s">
        <v>82</v>
      </c>
      <c r="N55">
        <f>ROUND(C2*C3*C4*7800*35,2)</f>
        <v>2.0499999999999998</v>
      </c>
      <c r="P55" t="s">
        <v>86</v>
      </c>
      <c r="Q55">
        <f>ROUND(N55/0.45,2)</f>
        <v>4.5599999999999996</v>
      </c>
    </row>
    <row r="56" spans="10:17" x14ac:dyDescent="0.25">
      <c r="J56" t="s">
        <v>78</v>
      </c>
      <c r="K56">
        <f>ROUND(K55*35*35,0)</f>
        <v>39813</v>
      </c>
      <c r="M56" t="s">
        <v>83</v>
      </c>
      <c r="N56">
        <f>ROUND((N55*B1)/(0.45*360),0)</f>
        <v>2531</v>
      </c>
      <c r="P56" t="s">
        <v>87</v>
      </c>
      <c r="Q56">
        <f>ROUND(Q55*ROUND(B1/365,0)*3,0)</f>
        <v>7497</v>
      </c>
    </row>
    <row r="57" spans="10:17" x14ac:dyDescent="0.25">
      <c r="J57" t="s">
        <v>79</v>
      </c>
      <c r="K57">
        <f>ROUND(K56/2,0)</f>
        <v>19907</v>
      </c>
      <c r="M57" t="s">
        <v>84</v>
      </c>
      <c r="N57">
        <f>0.45+(1-0.45)/2</f>
        <v>0.72500000000000009</v>
      </c>
    </row>
    <row r="58" spans="10:17" x14ac:dyDescent="0.25">
      <c r="J58" t="s">
        <v>80</v>
      </c>
      <c r="K58">
        <f>ROUND(K55*5*35,0)</f>
        <v>5688</v>
      </c>
      <c r="M58" t="s">
        <v>85</v>
      </c>
      <c r="N58">
        <f>ROUND(N56*6*N57,0)</f>
        <v>11010</v>
      </c>
    </row>
    <row r="59" spans="10:17" x14ac:dyDescent="0.25">
      <c r="J59" t="s">
        <v>81</v>
      </c>
      <c r="K59">
        <f>K58+K57+0</f>
        <v>25595</v>
      </c>
    </row>
    <row r="60" spans="10:17" x14ac:dyDescent="0.25">
      <c r="J60" t="s">
        <v>76</v>
      </c>
    </row>
    <row r="61" spans="10:17" x14ac:dyDescent="0.25">
      <c r="J61" s="1" t="s">
        <v>39</v>
      </c>
      <c r="K61" s="1" t="s">
        <v>73</v>
      </c>
      <c r="L61" s="1" t="s">
        <v>96</v>
      </c>
      <c r="M61" s="4" t="s">
        <v>88</v>
      </c>
      <c r="N61" s="4" t="s">
        <v>43</v>
      </c>
      <c r="O61" s="15" t="s">
        <v>89</v>
      </c>
      <c r="P61" s="16"/>
      <c r="Q61" s="17"/>
    </row>
    <row r="62" spans="10:17" x14ac:dyDescent="0.25">
      <c r="J62" s="2">
        <v>1</v>
      </c>
      <c r="K62" s="2" t="s">
        <v>65</v>
      </c>
      <c r="L62" s="2" t="s">
        <v>94</v>
      </c>
      <c r="M62" s="2">
        <f>B6</f>
        <v>1.6</v>
      </c>
      <c r="N62" s="2">
        <f>G2</f>
        <v>5333</v>
      </c>
      <c r="O62" s="12">
        <f>N62/(K$68*1.03)</f>
        <v>3.0456881781838949</v>
      </c>
      <c r="P62" s="14"/>
      <c r="Q62" s="2">
        <f>IF(MOD(O62,1) &gt; 0.2,ROUNDUP(O62,0),ROUNDDOWN(O62,0))</f>
        <v>3</v>
      </c>
    </row>
    <row r="63" spans="10:17" x14ac:dyDescent="0.25">
      <c r="J63" s="2">
        <v>2</v>
      </c>
      <c r="K63" s="2" t="s">
        <v>66</v>
      </c>
      <c r="L63" s="2" t="s">
        <v>93</v>
      </c>
      <c r="M63" s="7">
        <f>B7</f>
        <v>1.2</v>
      </c>
      <c r="N63" s="2">
        <f>G3</f>
        <v>4000</v>
      </c>
      <c r="O63" s="11">
        <f>N63/(K$68*1.03)</f>
        <v>2.2844089091947457</v>
      </c>
      <c r="P63" s="11"/>
      <c r="Q63" s="2">
        <f t="shared" ref="Q63:Q66" si="11">IF(MOD(O63,1) &gt; 0.2,ROUNDUP(O63,0),ROUNDDOWN(O63,0))</f>
        <v>3</v>
      </c>
    </row>
    <row r="64" spans="10:17" x14ac:dyDescent="0.25">
      <c r="J64" s="2">
        <v>3</v>
      </c>
      <c r="K64" s="2" t="s">
        <v>67</v>
      </c>
      <c r="L64" s="2" t="s">
        <v>95</v>
      </c>
      <c r="M64" s="7">
        <f>B8</f>
        <v>1.5</v>
      </c>
      <c r="N64" s="2">
        <f>G4</f>
        <v>5000</v>
      </c>
      <c r="O64" s="11">
        <f>N64/(K$68*1.03)</f>
        <v>2.8555111364934325</v>
      </c>
      <c r="P64" s="11"/>
      <c r="Q64" s="2">
        <f t="shared" si="11"/>
        <v>3</v>
      </c>
    </row>
    <row r="65" spans="10:17" x14ac:dyDescent="0.25">
      <c r="J65" s="2">
        <v>4</v>
      </c>
      <c r="K65" s="2" t="s">
        <v>68</v>
      </c>
      <c r="L65" s="2" t="s">
        <v>95</v>
      </c>
      <c r="M65" s="7">
        <f>B9</f>
        <v>1.2</v>
      </c>
      <c r="N65" s="2">
        <f>G5</f>
        <v>4000</v>
      </c>
      <c r="O65" s="11">
        <f>N65/(K$68*1.03)</f>
        <v>2.2844089091947457</v>
      </c>
      <c r="P65" s="11"/>
      <c r="Q65" s="2">
        <f t="shared" si="11"/>
        <v>3</v>
      </c>
    </row>
    <row r="66" spans="10:17" x14ac:dyDescent="0.25">
      <c r="J66" s="2">
        <v>5</v>
      </c>
      <c r="K66" s="2" t="s">
        <v>7</v>
      </c>
      <c r="L66" s="2" t="s">
        <v>93</v>
      </c>
      <c r="M66" s="7">
        <f>B10</f>
        <v>1.3</v>
      </c>
      <c r="N66" s="2">
        <f>G6</f>
        <v>4333</v>
      </c>
      <c r="O66" s="11">
        <f>N66/(K$68*1.03)</f>
        <v>2.4745859508852086</v>
      </c>
      <c r="P66" s="11"/>
      <c r="Q66" s="2">
        <f t="shared" si="11"/>
        <v>3</v>
      </c>
    </row>
    <row r="67" spans="10:17" x14ac:dyDescent="0.25">
      <c r="J67" s="12" t="s">
        <v>91</v>
      </c>
      <c r="K67" s="13"/>
      <c r="L67" s="13"/>
      <c r="M67" s="13"/>
      <c r="N67" s="13"/>
      <c r="O67" s="13"/>
      <c r="P67" s="14"/>
      <c r="Q67" s="2">
        <f>SUM(Q62:Q66)</f>
        <v>15</v>
      </c>
    </row>
    <row r="68" spans="10:17" x14ac:dyDescent="0.25">
      <c r="J68" t="s">
        <v>90</v>
      </c>
      <c r="K68">
        <f>250*8*(1-0.15)</f>
        <v>1700</v>
      </c>
    </row>
    <row r="70" spans="10:17" x14ac:dyDescent="0.25">
      <c r="J70" t="s">
        <v>92</v>
      </c>
    </row>
    <row r="71" spans="10:17" x14ac:dyDescent="0.25">
      <c r="J71" s="1" t="s">
        <v>39</v>
      </c>
      <c r="K71" s="1" t="s">
        <v>73</v>
      </c>
      <c r="L71" s="4" t="s">
        <v>88</v>
      </c>
      <c r="M71" s="4" t="s">
        <v>43</v>
      </c>
      <c r="N71" s="4" t="s">
        <v>97</v>
      </c>
      <c r="O71" s="4" t="s">
        <v>98</v>
      </c>
    </row>
    <row r="72" spans="10:17" x14ac:dyDescent="0.25">
      <c r="J72" s="2">
        <v>1</v>
      </c>
      <c r="K72" s="2" t="s">
        <v>65</v>
      </c>
      <c r="L72" s="2">
        <f>B6</f>
        <v>1.6</v>
      </c>
      <c r="M72" s="2">
        <f>G2</f>
        <v>5333</v>
      </c>
      <c r="N72" s="2">
        <v>28</v>
      </c>
      <c r="O72" s="2">
        <f>M72*N72</f>
        <v>149324</v>
      </c>
    </row>
    <row r="73" spans="10:17" x14ac:dyDescent="0.25">
      <c r="J73" s="2">
        <v>2</v>
      </c>
      <c r="K73" s="2" t="s">
        <v>66</v>
      </c>
      <c r="L73" s="7">
        <f>B7</f>
        <v>1.2</v>
      </c>
      <c r="M73" s="2">
        <f>G3</f>
        <v>4000</v>
      </c>
      <c r="N73" s="2">
        <v>22</v>
      </c>
      <c r="O73" s="2">
        <f t="shared" ref="O73:O76" si="12">M73*N73</f>
        <v>88000</v>
      </c>
    </row>
    <row r="74" spans="10:17" x14ac:dyDescent="0.25">
      <c r="J74" s="2">
        <v>3</v>
      </c>
      <c r="K74" s="2" t="s">
        <v>67</v>
      </c>
      <c r="L74" s="7">
        <f>B8</f>
        <v>1.5</v>
      </c>
      <c r="M74" s="2">
        <f>G4</f>
        <v>5000</v>
      </c>
      <c r="N74" s="2">
        <v>35</v>
      </c>
      <c r="O74" s="2">
        <f t="shared" si="12"/>
        <v>175000</v>
      </c>
    </row>
    <row r="75" spans="10:17" x14ac:dyDescent="0.25">
      <c r="J75" s="2">
        <v>4</v>
      </c>
      <c r="K75" s="2" t="s">
        <v>68</v>
      </c>
      <c r="L75" s="7">
        <f>B9</f>
        <v>1.2</v>
      </c>
      <c r="M75" s="2">
        <f>G5</f>
        <v>4000</v>
      </c>
      <c r="N75" s="2">
        <v>35</v>
      </c>
      <c r="O75" s="2">
        <f t="shared" si="12"/>
        <v>140000</v>
      </c>
    </row>
    <row r="76" spans="10:17" x14ac:dyDescent="0.25">
      <c r="J76" s="2">
        <v>5</v>
      </c>
      <c r="K76" s="2" t="s">
        <v>7</v>
      </c>
      <c r="L76" s="7">
        <f>B10</f>
        <v>1.3</v>
      </c>
      <c r="M76" s="2">
        <f>G6</f>
        <v>4333</v>
      </c>
      <c r="N76" s="2">
        <v>22</v>
      </c>
      <c r="O76" s="2">
        <f t="shared" si="12"/>
        <v>95326</v>
      </c>
    </row>
    <row r="77" spans="10:17" x14ac:dyDescent="0.25">
      <c r="J77" s="12" t="s">
        <v>91</v>
      </c>
      <c r="K77" s="13"/>
      <c r="L77" s="13"/>
      <c r="M77" s="13"/>
      <c r="N77" s="14"/>
      <c r="O77" s="2">
        <f>SUM(O72:O76)</f>
        <v>647650</v>
      </c>
    </row>
    <row r="79" spans="10:17" x14ac:dyDescent="0.25">
      <c r="J79" t="s">
        <v>99</v>
      </c>
      <c r="K79">
        <f>ROUND(N55/350,3)</f>
        <v>6.0000000000000001E-3</v>
      </c>
      <c r="M79" t="s">
        <v>103</v>
      </c>
      <c r="N79">
        <f>ROUND(((SUM(O39:O43)+180000+450000+90000)/O77)*100,2)</f>
        <v>157.91999999999999</v>
      </c>
    </row>
    <row r="80" spans="10:17" x14ac:dyDescent="0.25">
      <c r="J80" t="s">
        <v>100</v>
      </c>
      <c r="K80">
        <f>ROUND(K79*(1-B5)*(B24/1000),2)</f>
        <v>0</v>
      </c>
      <c r="M80" t="s">
        <v>104</v>
      </c>
      <c r="N80">
        <f>ROUND((N79*K86)/100,2)</f>
        <v>5.13</v>
      </c>
    </row>
    <row r="81" spans="10:14" x14ac:dyDescent="0.25">
      <c r="J81" s="1" t="s">
        <v>101</v>
      </c>
      <c r="K81" s="1">
        <f>ROUND((L72*N72)/60,2)</f>
        <v>0.75</v>
      </c>
      <c r="M81" t="s">
        <v>105</v>
      </c>
      <c r="N81">
        <f>ROUND(((O44+98000+580000*1.15+(580000*1.15)*0.3+36000)/O77)*100,2)</f>
        <v>161.5</v>
      </c>
    </row>
    <row r="82" spans="10:14" x14ac:dyDescent="0.25">
      <c r="J82" s="1"/>
      <c r="K82" s="1">
        <f t="shared" ref="K82:K85" si="13">ROUND((L73*N73)/60,2)</f>
        <v>0.44</v>
      </c>
      <c r="M82" t="s">
        <v>106</v>
      </c>
      <c r="N82">
        <f>ROUND((N81*K86)/100,2)</f>
        <v>5.25</v>
      </c>
    </row>
    <row r="83" spans="10:14" x14ac:dyDescent="0.25">
      <c r="J83" s="1"/>
      <c r="K83" s="1">
        <f t="shared" si="13"/>
        <v>0.88</v>
      </c>
    </row>
    <row r="84" spans="10:14" x14ac:dyDescent="0.25">
      <c r="J84" s="1"/>
      <c r="K84" s="1">
        <f t="shared" si="13"/>
        <v>0.7</v>
      </c>
    </row>
    <row r="85" spans="10:14" x14ac:dyDescent="0.25">
      <c r="J85" s="1"/>
      <c r="K85" s="1">
        <f t="shared" si="13"/>
        <v>0.48</v>
      </c>
    </row>
    <row r="86" spans="10:14" x14ac:dyDescent="0.25">
      <c r="J86" t="s">
        <v>102</v>
      </c>
      <c r="K86" s="5">
        <f>SUM(K81:K85)</f>
        <v>3.2499999999999996</v>
      </c>
    </row>
  </sheetData>
  <mergeCells count="14">
    <mergeCell ref="J67:P67"/>
    <mergeCell ref="J77:N77"/>
    <mergeCell ref="J45:N45"/>
    <mergeCell ref="O62:P62"/>
    <mergeCell ref="O63:P63"/>
    <mergeCell ref="O64:P64"/>
    <mergeCell ref="O65:P65"/>
    <mergeCell ref="O66:P66"/>
    <mergeCell ref="O61:Q61"/>
    <mergeCell ref="J35:K35"/>
    <mergeCell ref="J8:N8"/>
    <mergeCell ref="J17:M17"/>
    <mergeCell ref="M19:N19"/>
    <mergeCell ref="J26:N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B43" workbookViewId="0">
      <selection activeCell="E63" sqref="A1:XFD1048576"/>
    </sheetView>
  </sheetViews>
  <sheetFormatPr defaultRowHeight="15" x14ac:dyDescent="0.25"/>
  <cols>
    <col min="1" max="1" width="40.42578125" customWidth="1"/>
    <col min="6" max="6" width="12.5703125" customWidth="1"/>
    <col min="7" max="7" width="11.140625" customWidth="1"/>
    <col min="11" max="11" width="18.5703125" customWidth="1"/>
    <col min="12" max="12" width="16.140625" customWidth="1"/>
    <col min="13" max="13" width="25.28515625" customWidth="1"/>
    <col min="14" max="14" width="16.7109375" customWidth="1"/>
    <col min="15" max="15" width="24.5703125" customWidth="1"/>
    <col min="17" max="17" width="11" bestFit="1" customWidth="1"/>
  </cols>
  <sheetData>
    <row r="1" spans="1:15" x14ac:dyDescent="0.25">
      <c r="A1" t="s">
        <v>0</v>
      </c>
      <c r="B1">
        <v>135000</v>
      </c>
      <c r="F1" t="s">
        <v>8</v>
      </c>
      <c r="G1">
        <f>B13*B14*B15*(1-B16)</f>
        <v>3760</v>
      </c>
      <c r="J1" t="s">
        <v>38</v>
      </c>
    </row>
    <row r="2" spans="1:15" x14ac:dyDescent="0.25">
      <c r="A2" t="s">
        <v>1</v>
      </c>
      <c r="B2">
        <v>35</v>
      </c>
      <c r="C2">
        <f>B2/1000</f>
        <v>3.5000000000000003E-2</v>
      </c>
      <c r="F2" t="s">
        <v>28</v>
      </c>
      <c r="G2">
        <f>ROUND(B$1*B6/60,0)</f>
        <v>6525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</row>
    <row r="3" spans="1:15" x14ac:dyDescent="0.25">
      <c r="B3">
        <v>40</v>
      </c>
      <c r="C3">
        <f t="shared" ref="C3:C4" si="0">B3/1000</f>
        <v>0.04</v>
      </c>
      <c r="F3" t="s">
        <v>29</v>
      </c>
      <c r="G3">
        <f t="shared" ref="G3:G6" si="1">ROUND(B$1*B7/60,0)</f>
        <v>6525</v>
      </c>
      <c r="J3" s="8">
        <v>1</v>
      </c>
      <c r="K3" s="8" t="str">
        <f t="shared" ref="K3:L7" si="2">A6</f>
        <v>Фрезерование</v>
      </c>
      <c r="L3" s="8">
        <f t="shared" si="2"/>
        <v>2.9</v>
      </c>
      <c r="M3" s="8">
        <f>B$1</f>
        <v>135000</v>
      </c>
      <c r="N3" s="8">
        <f>G2</f>
        <v>6525</v>
      </c>
      <c r="O3" s="8">
        <f>H8</f>
        <v>2</v>
      </c>
    </row>
    <row r="4" spans="1:15" x14ac:dyDescent="0.25">
      <c r="B4">
        <v>20</v>
      </c>
      <c r="C4">
        <f t="shared" si="0"/>
        <v>0.02</v>
      </c>
      <c r="F4" t="s">
        <v>30</v>
      </c>
      <c r="G4">
        <f t="shared" si="1"/>
        <v>7875</v>
      </c>
      <c r="J4" s="8">
        <v>2</v>
      </c>
      <c r="K4" s="8" t="str">
        <f t="shared" si="2"/>
        <v>Сверление</v>
      </c>
      <c r="L4" s="8">
        <f t="shared" si="2"/>
        <v>2.9</v>
      </c>
      <c r="M4" s="8">
        <f>B$1</f>
        <v>135000</v>
      </c>
      <c r="N4" s="8">
        <f>G3</f>
        <v>6525</v>
      </c>
      <c r="O4" s="8">
        <f>H9</f>
        <v>2</v>
      </c>
    </row>
    <row r="5" spans="1:15" x14ac:dyDescent="0.25">
      <c r="A5" t="s">
        <v>2</v>
      </c>
      <c r="B5">
        <v>0.8</v>
      </c>
      <c r="F5" t="s">
        <v>31</v>
      </c>
      <c r="G5">
        <f t="shared" si="1"/>
        <v>5400</v>
      </c>
      <c r="J5" s="8">
        <v>3</v>
      </c>
      <c r="K5" s="8" t="str">
        <f t="shared" si="2"/>
        <v>Расточка</v>
      </c>
      <c r="L5" s="8">
        <f t="shared" si="2"/>
        <v>3.5</v>
      </c>
      <c r="M5" s="8">
        <f>B$1</f>
        <v>135000</v>
      </c>
      <c r="N5" s="8">
        <f>G4</f>
        <v>7875</v>
      </c>
      <c r="O5" s="8">
        <f>H10</f>
        <v>2</v>
      </c>
    </row>
    <row r="6" spans="1:15" x14ac:dyDescent="0.25">
      <c r="A6" t="s">
        <v>3</v>
      </c>
      <c r="B6">
        <v>2.9</v>
      </c>
      <c r="F6" t="s">
        <v>32</v>
      </c>
      <c r="G6">
        <f t="shared" si="1"/>
        <v>2475</v>
      </c>
      <c r="J6" s="8">
        <v>4</v>
      </c>
      <c r="K6" s="8" t="str">
        <f t="shared" si="2"/>
        <v>Шлифование</v>
      </c>
      <c r="L6" s="8">
        <f t="shared" si="2"/>
        <v>2.4</v>
      </c>
      <c r="M6" s="8">
        <f>B$1</f>
        <v>135000</v>
      </c>
      <c r="N6" s="8">
        <f>G5</f>
        <v>5400</v>
      </c>
      <c r="O6" s="8">
        <f>H11</f>
        <v>2</v>
      </c>
    </row>
    <row r="7" spans="1:15" x14ac:dyDescent="0.25">
      <c r="A7" t="s">
        <v>4</v>
      </c>
      <c r="B7">
        <v>2.9</v>
      </c>
      <c r="J7" s="8">
        <v>5</v>
      </c>
      <c r="K7" s="8" t="str">
        <f t="shared" si="2"/>
        <v>Токарный</v>
      </c>
      <c r="L7" s="8">
        <f t="shared" si="2"/>
        <v>1.1000000000000001</v>
      </c>
      <c r="M7" s="8">
        <f>B$1</f>
        <v>135000</v>
      </c>
      <c r="N7" s="8">
        <f>G6</f>
        <v>2475</v>
      </c>
      <c r="O7" s="8">
        <f>H12</f>
        <v>1</v>
      </c>
    </row>
    <row r="8" spans="1:15" x14ac:dyDescent="0.25">
      <c r="A8" t="s">
        <v>5</v>
      </c>
      <c r="B8">
        <v>3.5</v>
      </c>
      <c r="F8" t="s">
        <v>33</v>
      </c>
      <c r="G8">
        <f>G2/G$1</f>
        <v>1.7353723404255319</v>
      </c>
      <c r="H8">
        <f>IF(MOD(G2/G$1,1) &gt; 0.15,ROUNDUP(G8,0),ROUNDDOWN(G8,0))</f>
        <v>2</v>
      </c>
      <c r="J8" s="11" t="s">
        <v>45</v>
      </c>
      <c r="K8" s="11"/>
      <c r="L8" s="11"/>
      <c r="M8" s="11"/>
      <c r="N8" s="11"/>
      <c r="O8" s="8">
        <f>SUM(O3:O7)</f>
        <v>9</v>
      </c>
    </row>
    <row r="9" spans="1:15" x14ac:dyDescent="0.25">
      <c r="A9" t="s">
        <v>6</v>
      </c>
      <c r="B9">
        <v>2.4</v>
      </c>
      <c r="F9" t="s">
        <v>34</v>
      </c>
      <c r="G9">
        <f t="shared" ref="G9:G12" si="3">G3/G$1</f>
        <v>1.7353723404255319</v>
      </c>
      <c r="H9">
        <f t="shared" ref="H9:H12" si="4">IF(MOD(G3/G$1,1) &gt; 0.15,ROUNDUP(G9,0),ROUNDDOWN(G9,0))</f>
        <v>2</v>
      </c>
    </row>
    <row r="10" spans="1:15" x14ac:dyDescent="0.25">
      <c r="A10" t="s">
        <v>7</v>
      </c>
      <c r="B10">
        <v>1.1000000000000001</v>
      </c>
      <c r="F10" t="s">
        <v>35</v>
      </c>
      <c r="G10">
        <f t="shared" si="3"/>
        <v>2.0944148936170213</v>
      </c>
      <c r="H10">
        <f t="shared" si="4"/>
        <v>2</v>
      </c>
      <c r="J10" t="s">
        <v>46</v>
      </c>
    </row>
    <row r="11" spans="1:15" x14ac:dyDescent="0.25">
      <c r="F11" t="s">
        <v>36</v>
      </c>
      <c r="G11">
        <f t="shared" si="3"/>
        <v>1.4361702127659575</v>
      </c>
      <c r="H11">
        <f t="shared" si="4"/>
        <v>2</v>
      </c>
      <c r="J11" s="1" t="s">
        <v>39</v>
      </c>
      <c r="K11" s="1" t="s">
        <v>40</v>
      </c>
      <c r="L11" s="1" t="s">
        <v>47</v>
      </c>
      <c r="M11" s="1" t="s">
        <v>48</v>
      </c>
      <c r="N11" s="1" t="s">
        <v>49</v>
      </c>
    </row>
    <row r="12" spans="1:15" x14ac:dyDescent="0.25">
      <c r="A12" t="s">
        <v>9</v>
      </c>
      <c r="F12" t="s">
        <v>37</v>
      </c>
      <c r="G12">
        <f t="shared" si="3"/>
        <v>0.6582446808510638</v>
      </c>
      <c r="H12">
        <f t="shared" si="4"/>
        <v>1</v>
      </c>
      <c r="J12" s="8">
        <v>1</v>
      </c>
      <c r="K12" s="8" t="str">
        <f>A6</f>
        <v>Фрезерование</v>
      </c>
      <c r="L12" s="8">
        <v>239800</v>
      </c>
      <c r="M12" s="8">
        <f>O3</f>
        <v>2</v>
      </c>
      <c r="N12" s="8">
        <f>M12*L12</f>
        <v>479600</v>
      </c>
    </row>
    <row r="13" spans="1:15" x14ac:dyDescent="0.25">
      <c r="A13" t="s">
        <v>10</v>
      </c>
      <c r="B13">
        <v>250</v>
      </c>
      <c r="J13" s="8">
        <v>2</v>
      </c>
      <c r="K13" s="8" t="str">
        <f>A7</f>
        <v>Сверление</v>
      </c>
      <c r="L13" s="8">
        <v>186500</v>
      </c>
      <c r="M13" s="8">
        <f t="shared" ref="M13:M16" si="5">O4</f>
        <v>2</v>
      </c>
      <c r="N13" s="8">
        <f>M13*L13</f>
        <v>373000</v>
      </c>
    </row>
    <row r="14" spans="1:15" x14ac:dyDescent="0.25">
      <c r="A14" t="s">
        <v>11</v>
      </c>
      <c r="B14">
        <v>2</v>
      </c>
      <c r="J14" s="8">
        <v>3</v>
      </c>
      <c r="K14" s="8" t="str">
        <f>A8</f>
        <v>Расточка</v>
      </c>
      <c r="L14" s="8">
        <v>166950</v>
      </c>
      <c r="M14" s="8">
        <f t="shared" si="5"/>
        <v>2</v>
      </c>
      <c r="N14" s="8">
        <f>M14*L14</f>
        <v>333900</v>
      </c>
    </row>
    <row r="15" spans="1:15" x14ac:dyDescent="0.25">
      <c r="A15" t="s">
        <v>12</v>
      </c>
      <c r="B15">
        <v>8</v>
      </c>
      <c r="J15" s="8">
        <v>4</v>
      </c>
      <c r="K15" s="8" t="str">
        <f>A9</f>
        <v>Шлифование</v>
      </c>
      <c r="L15" s="8">
        <v>151000</v>
      </c>
      <c r="M15" s="8">
        <f t="shared" si="5"/>
        <v>2</v>
      </c>
      <c r="N15" s="8">
        <f>M15*L15</f>
        <v>302000</v>
      </c>
    </row>
    <row r="16" spans="1:15" x14ac:dyDescent="0.25">
      <c r="A16" t="s">
        <v>13</v>
      </c>
      <c r="B16">
        <v>0.06</v>
      </c>
      <c r="J16" s="8">
        <v>5</v>
      </c>
      <c r="K16" s="8" t="str">
        <f>A10</f>
        <v>Токарный</v>
      </c>
      <c r="L16" s="8">
        <v>181500</v>
      </c>
      <c r="M16" s="8">
        <f t="shared" si="5"/>
        <v>1</v>
      </c>
      <c r="N16" s="8">
        <f>M16*L16</f>
        <v>181500</v>
      </c>
    </row>
    <row r="17" spans="1:15" x14ac:dyDescent="0.25">
      <c r="A17" t="s">
        <v>14</v>
      </c>
      <c r="B17">
        <v>0.15</v>
      </c>
      <c r="J17" s="11" t="s">
        <v>45</v>
      </c>
      <c r="K17" s="11"/>
      <c r="L17" s="11"/>
      <c r="M17" s="11"/>
      <c r="N17" s="1">
        <f>SUM(N12:N16)</f>
        <v>1670000</v>
      </c>
    </row>
    <row r="18" spans="1:15" x14ac:dyDescent="0.25">
      <c r="A18" t="s">
        <v>15</v>
      </c>
      <c r="B18">
        <v>1.03</v>
      </c>
    </row>
    <row r="19" spans="1:15" x14ac:dyDescent="0.25">
      <c r="A19" t="s">
        <v>16</v>
      </c>
      <c r="J19" t="s">
        <v>50</v>
      </c>
      <c r="M19" s="11" t="s">
        <v>51</v>
      </c>
      <c r="N19" s="11"/>
      <c r="O19" s="3"/>
    </row>
    <row r="20" spans="1:15" x14ac:dyDescent="0.25">
      <c r="A20" t="s">
        <v>17</v>
      </c>
      <c r="J20" s="1" t="s">
        <v>39</v>
      </c>
      <c r="K20" s="1" t="s">
        <v>40</v>
      </c>
      <c r="L20" s="1" t="s">
        <v>48</v>
      </c>
      <c r="M20" s="1" t="s">
        <v>52</v>
      </c>
      <c r="N20" s="4" t="s">
        <v>53</v>
      </c>
      <c r="O20" s="4" t="s">
        <v>54</v>
      </c>
    </row>
    <row r="21" spans="1:15" x14ac:dyDescent="0.25">
      <c r="A21" t="s">
        <v>18</v>
      </c>
      <c r="J21" s="8">
        <v>1</v>
      </c>
      <c r="K21" s="8" t="str">
        <f>A6</f>
        <v>Фрезерование</v>
      </c>
      <c r="L21" s="8">
        <f>O3</f>
        <v>2</v>
      </c>
      <c r="M21" s="8">
        <v>3.7</v>
      </c>
      <c r="N21" s="8">
        <v>8</v>
      </c>
      <c r="O21" s="8">
        <f>(M21+N21)*L21</f>
        <v>23.4</v>
      </c>
    </row>
    <row r="22" spans="1:15" x14ac:dyDescent="0.25">
      <c r="A22" t="s">
        <v>19</v>
      </c>
      <c r="B22">
        <v>35</v>
      </c>
      <c r="J22" s="8">
        <v>2</v>
      </c>
      <c r="K22" s="8" t="str">
        <f>A7</f>
        <v>Сверление</v>
      </c>
      <c r="L22" s="8">
        <f t="shared" ref="L22:L25" si="6">O4</f>
        <v>2</v>
      </c>
      <c r="M22" s="8">
        <v>1</v>
      </c>
      <c r="N22" s="8">
        <v>4</v>
      </c>
      <c r="O22" s="8">
        <f>(M22+N22)*L22</f>
        <v>10</v>
      </c>
    </row>
    <row r="23" spans="1:15" x14ac:dyDescent="0.25">
      <c r="A23" t="s">
        <v>20</v>
      </c>
      <c r="B23">
        <v>7800</v>
      </c>
      <c r="J23" s="8">
        <v>3</v>
      </c>
      <c r="K23" s="8" t="str">
        <f>A8</f>
        <v>Расточка</v>
      </c>
      <c r="L23" s="8">
        <f t="shared" si="6"/>
        <v>2</v>
      </c>
      <c r="M23" s="8">
        <v>16.3</v>
      </c>
      <c r="N23" s="8">
        <v>34</v>
      </c>
      <c r="O23" s="8">
        <f>(M23+N23)*L23</f>
        <v>100.6</v>
      </c>
    </row>
    <row r="24" spans="1:15" x14ac:dyDescent="0.25">
      <c r="A24" t="s">
        <v>21</v>
      </c>
      <c r="B24">
        <v>1500</v>
      </c>
      <c r="J24" s="8">
        <v>4</v>
      </c>
      <c r="K24" s="8" t="str">
        <f>A9</f>
        <v>Шлифование</v>
      </c>
      <c r="L24" s="8">
        <f t="shared" si="6"/>
        <v>2</v>
      </c>
      <c r="M24" s="8">
        <v>4.8</v>
      </c>
      <c r="N24" s="8">
        <v>10</v>
      </c>
      <c r="O24" s="8">
        <f>(M24+N24)*L24</f>
        <v>29.6</v>
      </c>
    </row>
    <row r="25" spans="1:15" x14ac:dyDescent="0.25">
      <c r="A25" t="s">
        <v>27</v>
      </c>
      <c r="B25">
        <v>0.45</v>
      </c>
      <c r="J25" s="8">
        <v>5</v>
      </c>
      <c r="K25" s="8" t="str">
        <f>A10</f>
        <v>Токарный</v>
      </c>
      <c r="L25" s="8">
        <f t="shared" si="6"/>
        <v>1</v>
      </c>
      <c r="M25" s="8">
        <v>7.6</v>
      </c>
      <c r="N25" s="8">
        <v>16</v>
      </c>
      <c r="O25" s="8">
        <f>(M25+N25)*L25</f>
        <v>23.6</v>
      </c>
    </row>
    <row r="26" spans="1:15" x14ac:dyDescent="0.25">
      <c r="A26" t="s">
        <v>22</v>
      </c>
      <c r="B26">
        <v>9400</v>
      </c>
      <c r="J26" s="11" t="s">
        <v>45</v>
      </c>
      <c r="K26" s="11"/>
      <c r="L26" s="11"/>
      <c r="M26" s="11"/>
      <c r="N26" s="11"/>
      <c r="O26" s="8">
        <f>SUM(O21:O25)</f>
        <v>187.2</v>
      </c>
    </row>
    <row r="27" spans="1:15" x14ac:dyDescent="0.25">
      <c r="A27" t="s">
        <v>23</v>
      </c>
      <c r="B27">
        <v>0.15</v>
      </c>
    </row>
    <row r="28" spans="1:15" x14ac:dyDescent="0.25">
      <c r="A28" t="s">
        <v>24</v>
      </c>
      <c r="B28">
        <v>0.26</v>
      </c>
      <c r="J28" t="s">
        <v>55</v>
      </c>
    </row>
    <row r="29" spans="1:15" x14ac:dyDescent="0.25">
      <c r="A29" t="s">
        <v>25</v>
      </c>
      <c r="B29">
        <v>0.2</v>
      </c>
      <c r="J29" s="1" t="s">
        <v>39</v>
      </c>
      <c r="K29" s="1" t="s">
        <v>56</v>
      </c>
      <c r="L29" s="1" t="s">
        <v>62</v>
      </c>
    </row>
    <row r="30" spans="1:15" x14ac:dyDescent="0.25">
      <c r="A30" t="s">
        <v>26</v>
      </c>
      <c r="B30">
        <v>2.5000000000000001E-2</v>
      </c>
      <c r="J30" s="8">
        <v>1</v>
      </c>
      <c r="K30" s="8" t="s">
        <v>57</v>
      </c>
      <c r="L30" s="8">
        <f>O$26*B26</f>
        <v>1759680</v>
      </c>
    </row>
    <row r="31" spans="1:15" x14ac:dyDescent="0.25">
      <c r="J31" s="8">
        <v>2</v>
      </c>
      <c r="K31" s="8" t="s">
        <v>58</v>
      </c>
      <c r="L31" s="8">
        <f>N17</f>
        <v>1670000</v>
      </c>
    </row>
    <row r="32" spans="1:15" x14ac:dyDescent="0.25">
      <c r="J32" s="8">
        <v>3</v>
      </c>
      <c r="K32" s="8" t="s">
        <v>59</v>
      </c>
      <c r="L32" s="8">
        <f>L31*0.1</f>
        <v>167000</v>
      </c>
    </row>
    <row r="33" spans="10:15" x14ac:dyDescent="0.25">
      <c r="J33" s="8">
        <v>4</v>
      </c>
      <c r="K33" s="8" t="s">
        <v>60</v>
      </c>
      <c r="L33" s="8">
        <f>L31*0.04</f>
        <v>66800</v>
      </c>
    </row>
    <row r="34" spans="10:15" x14ac:dyDescent="0.25">
      <c r="J34" s="8">
        <v>5</v>
      </c>
      <c r="K34" s="8" t="s">
        <v>61</v>
      </c>
      <c r="L34" s="8">
        <f>L31*0.04</f>
        <v>66800</v>
      </c>
    </row>
    <row r="35" spans="10:15" x14ac:dyDescent="0.25">
      <c r="J35" s="11" t="s">
        <v>45</v>
      </c>
      <c r="K35" s="11"/>
      <c r="L35" s="8">
        <f>SUM(L30:L34)</f>
        <v>3730280</v>
      </c>
    </row>
    <row r="37" spans="10:15" x14ac:dyDescent="0.25">
      <c r="J37" t="s">
        <v>63</v>
      </c>
    </row>
    <row r="38" spans="10:15" x14ac:dyDescent="0.25">
      <c r="J38" s="1" t="s">
        <v>39</v>
      </c>
      <c r="K38" s="1" t="s">
        <v>64</v>
      </c>
      <c r="L38" s="1" t="s">
        <v>69</v>
      </c>
      <c r="M38" s="1" t="s">
        <v>62</v>
      </c>
      <c r="N38" s="1" t="s">
        <v>70</v>
      </c>
      <c r="O38" s="1" t="s">
        <v>71</v>
      </c>
    </row>
    <row r="39" spans="10:15" x14ac:dyDescent="0.25">
      <c r="J39" s="8">
        <v>1</v>
      </c>
      <c r="K39" s="8" t="s">
        <v>65</v>
      </c>
      <c r="L39" s="8">
        <f>L21</f>
        <v>2</v>
      </c>
      <c r="M39" s="8">
        <f>N12</f>
        <v>479600</v>
      </c>
      <c r="N39" s="8">
        <v>0.2</v>
      </c>
      <c r="O39" s="8">
        <f>ROUND(M39*N39,0)</f>
        <v>95920</v>
      </c>
    </row>
    <row r="40" spans="10:15" x14ac:dyDescent="0.25">
      <c r="J40" s="8">
        <v>2</v>
      </c>
      <c r="K40" s="8" t="s">
        <v>66</v>
      </c>
      <c r="L40" s="8">
        <f t="shared" ref="L40:L43" si="7">L22</f>
        <v>2</v>
      </c>
      <c r="M40" s="8">
        <f t="shared" ref="M40:M43" si="8">N13</f>
        <v>373000</v>
      </c>
      <c r="N40" s="8">
        <v>0.2</v>
      </c>
      <c r="O40" s="8">
        <f t="shared" ref="O40:O43" si="9">ROUND(M40*N40,0)</f>
        <v>74600</v>
      </c>
    </row>
    <row r="41" spans="10:15" x14ac:dyDescent="0.25">
      <c r="J41" s="8">
        <v>3</v>
      </c>
      <c r="K41" s="8" t="s">
        <v>67</v>
      </c>
      <c r="L41" s="8">
        <f t="shared" si="7"/>
        <v>2</v>
      </c>
      <c r="M41" s="8">
        <f t="shared" si="8"/>
        <v>333900</v>
      </c>
      <c r="N41" s="8">
        <v>0.2</v>
      </c>
      <c r="O41" s="8">
        <f t="shared" si="9"/>
        <v>66780</v>
      </c>
    </row>
    <row r="42" spans="10:15" x14ac:dyDescent="0.25">
      <c r="J42" s="8">
        <v>4</v>
      </c>
      <c r="K42" s="8" t="s">
        <v>68</v>
      </c>
      <c r="L42" s="8">
        <f t="shared" si="7"/>
        <v>2</v>
      </c>
      <c r="M42" s="8">
        <f t="shared" si="8"/>
        <v>302000</v>
      </c>
      <c r="N42" s="8">
        <v>0.2</v>
      </c>
      <c r="O42" s="8">
        <f t="shared" si="9"/>
        <v>60400</v>
      </c>
    </row>
    <row r="43" spans="10:15" x14ac:dyDescent="0.25">
      <c r="J43" s="8">
        <v>5</v>
      </c>
      <c r="K43" s="8" t="s">
        <v>7</v>
      </c>
      <c r="L43" s="8">
        <f t="shared" si="7"/>
        <v>1</v>
      </c>
      <c r="M43" s="8">
        <f t="shared" si="8"/>
        <v>181500</v>
      </c>
      <c r="N43" s="8">
        <v>0.2</v>
      </c>
      <c r="O43" s="8">
        <f t="shared" si="9"/>
        <v>36300</v>
      </c>
    </row>
    <row r="44" spans="10:15" x14ac:dyDescent="0.25">
      <c r="J44" s="6">
        <v>6</v>
      </c>
      <c r="K44" s="8" t="s">
        <v>57</v>
      </c>
      <c r="L44" s="8"/>
      <c r="M44" s="8">
        <f>L30</f>
        <v>1759680</v>
      </c>
      <c r="N44" s="8">
        <v>2.5000000000000001E-2</v>
      </c>
      <c r="O44" s="8">
        <f>ROUND(M44*N44,0)</f>
        <v>43992</v>
      </c>
    </row>
    <row r="45" spans="10:15" x14ac:dyDescent="0.25">
      <c r="J45" s="12" t="s">
        <v>45</v>
      </c>
      <c r="K45" s="13"/>
      <c r="L45" s="13"/>
      <c r="M45" s="13"/>
      <c r="N45" s="14"/>
      <c r="O45" s="8">
        <f>SUM(O39:O44)</f>
        <v>377992</v>
      </c>
    </row>
    <row r="47" spans="10:15" x14ac:dyDescent="0.25">
      <c r="J47" t="s">
        <v>72</v>
      </c>
    </row>
    <row r="48" spans="10:15" x14ac:dyDescent="0.25">
      <c r="J48" s="1" t="s">
        <v>39</v>
      </c>
      <c r="K48" s="1" t="s">
        <v>73</v>
      </c>
      <c r="L48" s="1" t="s">
        <v>69</v>
      </c>
      <c r="M48" s="4" t="s">
        <v>74</v>
      </c>
      <c r="N48" s="4" t="s">
        <v>75</v>
      </c>
    </row>
    <row r="49" spans="10:17" x14ac:dyDescent="0.25">
      <c r="J49" s="8">
        <v>1</v>
      </c>
      <c r="K49" s="8" t="s">
        <v>65</v>
      </c>
      <c r="L49" s="8">
        <f>L39</f>
        <v>2</v>
      </c>
      <c r="M49" s="8">
        <f>ROUND(G$1*L49*B$18/(B6/60),0)</f>
        <v>160254</v>
      </c>
      <c r="N49" s="8">
        <f>ROUND(N3/(G$1*L49*B$18),2)</f>
        <v>0.84</v>
      </c>
    </row>
    <row r="50" spans="10:17" x14ac:dyDescent="0.25">
      <c r="J50" s="8">
        <v>2</v>
      </c>
      <c r="K50" s="8" t="s">
        <v>66</v>
      </c>
      <c r="L50" s="8">
        <f t="shared" ref="L50:L53" si="10">L40</f>
        <v>2</v>
      </c>
      <c r="M50" s="8">
        <f>ROUND(G$1*L50*B$18/(B7/60),0)</f>
        <v>160254</v>
      </c>
      <c r="N50" s="8">
        <f>ROUND(N4/(G$1*L50*B$18),2)</f>
        <v>0.84</v>
      </c>
    </row>
    <row r="51" spans="10:17" x14ac:dyDescent="0.25">
      <c r="J51" s="8">
        <v>3</v>
      </c>
      <c r="K51" s="8" t="s">
        <v>67</v>
      </c>
      <c r="L51" s="8">
        <f t="shared" si="10"/>
        <v>2</v>
      </c>
      <c r="M51" s="8">
        <f>ROUND(G$1*L51*B$18/(B8/60),0)</f>
        <v>132782</v>
      </c>
      <c r="N51" s="8">
        <f>ROUND(N5/(G$1*L51*B$18),2)</f>
        <v>1.02</v>
      </c>
    </row>
    <row r="52" spans="10:17" x14ac:dyDescent="0.25">
      <c r="J52" s="8">
        <v>4</v>
      </c>
      <c r="K52" s="8" t="s">
        <v>68</v>
      </c>
      <c r="L52" s="8">
        <f t="shared" si="10"/>
        <v>2</v>
      </c>
      <c r="M52" s="8">
        <f>ROUND(G$1*L52*B$18/(B9/60),0)</f>
        <v>193640</v>
      </c>
      <c r="N52" s="8">
        <f>ROUND(N6/(G$1*L52*B$18),2)</f>
        <v>0.7</v>
      </c>
    </row>
    <row r="53" spans="10:17" x14ac:dyDescent="0.25">
      <c r="J53" s="8">
        <v>5</v>
      </c>
      <c r="K53" s="8" t="s">
        <v>7</v>
      </c>
      <c r="L53" s="8">
        <f t="shared" si="10"/>
        <v>1</v>
      </c>
      <c r="M53" s="8">
        <f>ROUND(G$1*L53*B$18/(B10/60),0)</f>
        <v>211244</v>
      </c>
      <c r="N53" s="8">
        <f>ROUND(N7/(G$1*L53*B$18),2)</f>
        <v>0.64</v>
      </c>
    </row>
    <row r="55" spans="10:17" x14ac:dyDescent="0.25">
      <c r="J55" t="s">
        <v>77</v>
      </c>
      <c r="K55">
        <f>ROUND(((C2*C3*C4*7800*B1)/360),2)</f>
        <v>81.900000000000006</v>
      </c>
      <c r="M55" t="s">
        <v>82</v>
      </c>
      <c r="N55">
        <f>ROUND(C2*C3*C4*7800*35,2)</f>
        <v>7.64</v>
      </c>
      <c r="P55" t="s">
        <v>86</v>
      </c>
      <c r="Q55">
        <f>ROUND(N55/0.45,2)</f>
        <v>16.98</v>
      </c>
    </row>
    <row r="56" spans="10:17" x14ac:dyDescent="0.25">
      <c r="J56" t="s">
        <v>78</v>
      </c>
      <c r="K56">
        <f>ROUND(K55*350*40,0)</f>
        <v>1146600</v>
      </c>
      <c r="M56" t="s">
        <v>83</v>
      </c>
      <c r="N56">
        <f>ROUND((N55*B1)/(0.45*360),0)</f>
        <v>6367</v>
      </c>
      <c r="P56" t="s">
        <v>87</v>
      </c>
      <c r="Q56">
        <f>ROUND(Q55*ROUND(B1/365,0)*3,0)</f>
        <v>18848</v>
      </c>
    </row>
    <row r="57" spans="10:17" x14ac:dyDescent="0.25">
      <c r="J57" t="s">
        <v>79</v>
      </c>
      <c r="K57">
        <f>ROUND(K56/2,0)</f>
        <v>573300</v>
      </c>
      <c r="M57" t="s">
        <v>84</v>
      </c>
      <c r="N57">
        <f>0.45+(1-0.45)/2</f>
        <v>0.72500000000000009</v>
      </c>
    </row>
    <row r="58" spans="10:17" x14ac:dyDescent="0.25">
      <c r="J58" t="s">
        <v>80</v>
      </c>
      <c r="K58">
        <f>ROUND(K55*5*350,0)</f>
        <v>143325</v>
      </c>
      <c r="M58" t="s">
        <v>85</v>
      </c>
      <c r="N58">
        <f>ROUND(N56*6*N57,0)</f>
        <v>27696</v>
      </c>
    </row>
    <row r="59" spans="10:17" x14ac:dyDescent="0.25">
      <c r="J59" t="s">
        <v>81</v>
      </c>
      <c r="K59">
        <f>K58+K57+0</f>
        <v>716625</v>
      </c>
    </row>
    <row r="60" spans="10:17" x14ac:dyDescent="0.25">
      <c r="J60" t="s">
        <v>76</v>
      </c>
    </row>
    <row r="61" spans="10:17" x14ac:dyDescent="0.25">
      <c r="J61" s="1" t="s">
        <v>39</v>
      </c>
      <c r="K61" s="1" t="s">
        <v>73</v>
      </c>
      <c r="L61" s="1" t="s">
        <v>96</v>
      </c>
      <c r="M61" s="4" t="s">
        <v>88</v>
      </c>
      <c r="N61" s="4" t="s">
        <v>43</v>
      </c>
      <c r="O61" s="15" t="s">
        <v>89</v>
      </c>
      <c r="P61" s="16"/>
      <c r="Q61" s="17"/>
    </row>
    <row r="62" spans="10:17" x14ac:dyDescent="0.25">
      <c r="J62" s="8">
        <v>1</v>
      </c>
      <c r="K62" s="8" t="s">
        <v>65</v>
      </c>
      <c r="L62" s="8" t="s">
        <v>94</v>
      </c>
      <c r="M62" s="8">
        <f>B6</f>
        <v>2.9</v>
      </c>
      <c r="N62" s="8">
        <f>G2</f>
        <v>6525</v>
      </c>
      <c r="O62" s="12">
        <f>N62/(K$68*1.03)</f>
        <v>3.726442033123929</v>
      </c>
      <c r="P62" s="14"/>
      <c r="Q62" s="8">
        <f>IF(MOD(O62,1) &gt; 0.2,ROUNDUP(O62,0),ROUNDDOWN(O62,0))</f>
        <v>4</v>
      </c>
    </row>
    <row r="63" spans="10:17" x14ac:dyDescent="0.25">
      <c r="J63" s="8">
        <v>2</v>
      </c>
      <c r="K63" s="8" t="s">
        <v>66</v>
      </c>
      <c r="L63" s="8" t="s">
        <v>93</v>
      </c>
      <c r="M63" s="8">
        <f>B7</f>
        <v>2.9</v>
      </c>
      <c r="N63" s="8">
        <f>G3</f>
        <v>6525</v>
      </c>
      <c r="O63" s="11">
        <f>N63/(K$68*1.03)</f>
        <v>3.726442033123929</v>
      </c>
      <c r="P63" s="11"/>
      <c r="Q63" s="8">
        <f t="shared" ref="Q63:Q66" si="11">IF(MOD(O63,1) &gt; 0.2,ROUNDUP(O63,0),ROUNDDOWN(O63,0))</f>
        <v>4</v>
      </c>
    </row>
    <row r="64" spans="10:17" x14ac:dyDescent="0.25">
      <c r="J64" s="8">
        <v>3</v>
      </c>
      <c r="K64" s="8" t="s">
        <v>67</v>
      </c>
      <c r="L64" s="8" t="s">
        <v>95</v>
      </c>
      <c r="M64" s="8">
        <f>B8</f>
        <v>3.5</v>
      </c>
      <c r="N64" s="8">
        <f>G4</f>
        <v>7875</v>
      </c>
      <c r="O64" s="11">
        <f>N64/(K$68*1.03)</f>
        <v>4.4974300399771563</v>
      </c>
      <c r="P64" s="11"/>
      <c r="Q64" s="8">
        <f t="shared" si="11"/>
        <v>5</v>
      </c>
    </row>
    <row r="65" spans="10:17" x14ac:dyDescent="0.25">
      <c r="J65" s="8">
        <v>4</v>
      </c>
      <c r="K65" s="8" t="s">
        <v>68</v>
      </c>
      <c r="L65" s="8" t="s">
        <v>95</v>
      </c>
      <c r="M65" s="8">
        <f>B9</f>
        <v>2.4</v>
      </c>
      <c r="N65" s="8">
        <f>G5</f>
        <v>5400</v>
      </c>
      <c r="O65" s="11">
        <f>N65/(K$68*1.03)</f>
        <v>3.0839520274129071</v>
      </c>
      <c r="P65" s="11"/>
      <c r="Q65" s="8">
        <f t="shared" si="11"/>
        <v>3</v>
      </c>
    </row>
    <row r="66" spans="10:17" x14ac:dyDescent="0.25">
      <c r="J66" s="8">
        <v>5</v>
      </c>
      <c r="K66" s="8" t="s">
        <v>7</v>
      </c>
      <c r="L66" s="8" t="s">
        <v>93</v>
      </c>
      <c r="M66" s="8">
        <f>B10</f>
        <v>1.1000000000000001</v>
      </c>
      <c r="N66" s="8">
        <f>G6</f>
        <v>2475</v>
      </c>
      <c r="O66" s="11">
        <f>N66/(K$68*1.03)</f>
        <v>1.413478012564249</v>
      </c>
      <c r="P66" s="11"/>
      <c r="Q66" s="8">
        <f t="shared" si="11"/>
        <v>2</v>
      </c>
    </row>
    <row r="67" spans="10:17" x14ac:dyDescent="0.25">
      <c r="J67" s="12" t="s">
        <v>91</v>
      </c>
      <c r="K67" s="13"/>
      <c r="L67" s="13"/>
      <c r="M67" s="13"/>
      <c r="N67" s="13"/>
      <c r="O67" s="13"/>
      <c r="P67" s="14"/>
      <c r="Q67" s="8">
        <f>SUM(Q62:Q66)</f>
        <v>18</v>
      </c>
    </row>
    <row r="68" spans="10:17" x14ac:dyDescent="0.25">
      <c r="J68" t="s">
        <v>90</v>
      </c>
      <c r="K68">
        <f>250*8*(1-0.15)</f>
        <v>1700</v>
      </c>
    </row>
    <row r="70" spans="10:17" x14ac:dyDescent="0.25">
      <c r="J70" t="s">
        <v>92</v>
      </c>
    </row>
    <row r="71" spans="10:17" x14ac:dyDescent="0.25">
      <c r="J71" s="1" t="s">
        <v>39</v>
      </c>
      <c r="K71" s="1" t="s">
        <v>73</v>
      </c>
      <c r="L71" s="4" t="s">
        <v>88</v>
      </c>
      <c r="M71" s="4" t="s">
        <v>43</v>
      </c>
      <c r="N71" s="4" t="s">
        <v>97</v>
      </c>
      <c r="O71" s="4" t="s">
        <v>98</v>
      </c>
    </row>
    <row r="72" spans="10:17" x14ac:dyDescent="0.25">
      <c r="J72" s="8">
        <v>1</v>
      </c>
      <c r="K72" s="8" t="s">
        <v>65</v>
      </c>
      <c r="L72" s="8">
        <f>B6</f>
        <v>2.9</v>
      </c>
      <c r="M72" s="8">
        <f>G2</f>
        <v>6525</v>
      </c>
      <c r="N72" s="8">
        <v>28</v>
      </c>
      <c r="O72" s="8">
        <f>M72*N72</f>
        <v>182700</v>
      </c>
    </row>
    <row r="73" spans="10:17" x14ac:dyDescent="0.25">
      <c r="J73" s="8">
        <v>2</v>
      </c>
      <c r="K73" s="8" t="s">
        <v>66</v>
      </c>
      <c r="L73" s="8">
        <f>B7</f>
        <v>2.9</v>
      </c>
      <c r="M73" s="8">
        <f>G3</f>
        <v>6525</v>
      </c>
      <c r="N73" s="8">
        <v>22</v>
      </c>
      <c r="O73" s="8">
        <f t="shared" ref="O73:O76" si="12">M73*N73</f>
        <v>143550</v>
      </c>
    </row>
    <row r="74" spans="10:17" x14ac:dyDescent="0.25">
      <c r="J74" s="8">
        <v>3</v>
      </c>
      <c r="K74" s="8" t="s">
        <v>67</v>
      </c>
      <c r="L74" s="8">
        <f>B8</f>
        <v>3.5</v>
      </c>
      <c r="M74" s="8">
        <f>G4</f>
        <v>7875</v>
      </c>
      <c r="N74" s="8">
        <v>35</v>
      </c>
      <c r="O74" s="8">
        <f t="shared" si="12"/>
        <v>275625</v>
      </c>
    </row>
    <row r="75" spans="10:17" x14ac:dyDescent="0.25">
      <c r="J75" s="8">
        <v>4</v>
      </c>
      <c r="K75" s="8" t="s">
        <v>68</v>
      </c>
      <c r="L75" s="8">
        <f>B9</f>
        <v>2.4</v>
      </c>
      <c r="M75" s="8">
        <f>G5</f>
        <v>5400</v>
      </c>
      <c r="N75" s="8">
        <v>35</v>
      </c>
      <c r="O75" s="8">
        <f t="shared" si="12"/>
        <v>189000</v>
      </c>
    </row>
    <row r="76" spans="10:17" x14ac:dyDescent="0.25">
      <c r="J76" s="8">
        <v>5</v>
      </c>
      <c r="K76" s="8" t="s">
        <v>7</v>
      </c>
      <c r="L76" s="8">
        <f>B10</f>
        <v>1.1000000000000001</v>
      </c>
      <c r="M76" s="8">
        <f>G6</f>
        <v>2475</v>
      </c>
      <c r="N76" s="8">
        <v>22</v>
      </c>
      <c r="O76" s="8">
        <f t="shared" si="12"/>
        <v>54450</v>
      </c>
    </row>
    <row r="77" spans="10:17" x14ac:dyDescent="0.25">
      <c r="J77" s="12" t="s">
        <v>91</v>
      </c>
      <c r="K77" s="13"/>
      <c r="L77" s="13"/>
      <c r="M77" s="13"/>
      <c r="N77" s="14"/>
      <c r="O77" s="8">
        <f>SUM(O72:O76)</f>
        <v>845325</v>
      </c>
    </row>
    <row r="79" spans="10:17" x14ac:dyDescent="0.25">
      <c r="J79" t="s">
        <v>99</v>
      </c>
      <c r="K79">
        <f>ROUND(N55/350,3)</f>
        <v>2.1999999999999999E-2</v>
      </c>
      <c r="M79" t="s">
        <v>103</v>
      </c>
      <c r="N79">
        <f>ROUND(((SUM(O39:O43)+180000+450000+90000)/O77)*100,2)</f>
        <v>124.69</v>
      </c>
    </row>
    <row r="80" spans="10:17" x14ac:dyDescent="0.25">
      <c r="J80" t="s">
        <v>100</v>
      </c>
      <c r="K80">
        <f>ROUND(K79*(1-B5)*(B24/1000),2)</f>
        <v>0.01</v>
      </c>
      <c r="M80" t="s">
        <v>104</v>
      </c>
      <c r="N80">
        <f>ROUND((N79*K86)/100,2)</f>
        <v>7.79</v>
      </c>
    </row>
    <row r="81" spans="10:14" x14ac:dyDescent="0.25">
      <c r="J81" s="1" t="s">
        <v>101</v>
      </c>
      <c r="K81" s="1">
        <f>ROUND((L72*N72)/60,2)</f>
        <v>1.35</v>
      </c>
      <c r="M81" t="s">
        <v>105</v>
      </c>
      <c r="N81">
        <f>ROUND(((O44+98000+580000*1.15+(580000*1.15)*0.3+36000)/O77)*100,2)</f>
        <v>123.63</v>
      </c>
    </row>
    <row r="82" spans="10:14" x14ac:dyDescent="0.25">
      <c r="J82" s="1"/>
      <c r="K82" s="1">
        <f t="shared" ref="K82:K85" si="13">ROUND((L73*N73)/60,2)</f>
        <v>1.06</v>
      </c>
      <c r="M82" t="s">
        <v>106</v>
      </c>
      <c r="N82">
        <f>ROUND((N81*K86)/100,2)</f>
        <v>7.73</v>
      </c>
    </row>
    <row r="83" spans="10:14" x14ac:dyDescent="0.25">
      <c r="J83" s="1"/>
      <c r="K83" s="1">
        <f t="shared" si="13"/>
        <v>2.04</v>
      </c>
    </row>
    <row r="84" spans="10:14" x14ac:dyDescent="0.25">
      <c r="J84" s="1"/>
      <c r="K84" s="1">
        <f t="shared" si="13"/>
        <v>1.4</v>
      </c>
    </row>
    <row r="85" spans="10:14" x14ac:dyDescent="0.25">
      <c r="J85" s="1"/>
      <c r="K85" s="1">
        <f t="shared" si="13"/>
        <v>0.4</v>
      </c>
    </row>
    <row r="86" spans="10:14" x14ac:dyDescent="0.25">
      <c r="J86" t="s">
        <v>102</v>
      </c>
      <c r="K86" s="5">
        <f>SUM(K81:K85)</f>
        <v>6.25</v>
      </c>
    </row>
  </sheetData>
  <mergeCells count="14">
    <mergeCell ref="J45:N45"/>
    <mergeCell ref="J8:N8"/>
    <mergeCell ref="J17:M17"/>
    <mergeCell ref="M19:N19"/>
    <mergeCell ref="J26:N26"/>
    <mergeCell ref="J35:K35"/>
    <mergeCell ref="J67:P67"/>
    <mergeCell ref="J77:N77"/>
    <mergeCell ref="O61:Q61"/>
    <mergeCell ref="O62:P62"/>
    <mergeCell ref="O63:P63"/>
    <mergeCell ref="O64:P64"/>
    <mergeCell ref="O65:P65"/>
    <mergeCell ref="O66:P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workbookViewId="0">
      <selection activeCell="H8" sqref="H8"/>
    </sheetView>
  </sheetViews>
  <sheetFormatPr defaultRowHeight="15" x14ac:dyDescent="0.25"/>
  <cols>
    <col min="1" max="1" width="40.42578125" customWidth="1"/>
    <col min="6" max="6" width="12.5703125" customWidth="1"/>
    <col min="7" max="7" width="11.140625" customWidth="1"/>
    <col min="11" max="11" width="18.5703125" customWidth="1"/>
    <col min="12" max="12" width="16.140625" customWidth="1"/>
    <col min="13" max="13" width="25.28515625" customWidth="1"/>
    <col min="14" max="14" width="16.7109375" customWidth="1"/>
    <col min="15" max="15" width="24.5703125" customWidth="1"/>
    <col min="17" max="17" width="11" bestFit="1" customWidth="1"/>
  </cols>
  <sheetData>
    <row r="1" spans="1:16" x14ac:dyDescent="0.25">
      <c r="A1" t="s">
        <v>0</v>
      </c>
      <c r="B1">
        <v>165000</v>
      </c>
      <c r="F1" t="s">
        <v>8</v>
      </c>
      <c r="G1">
        <f>B13*B14*B15*(1-B16)</f>
        <v>3760</v>
      </c>
      <c r="J1" t="s">
        <v>38</v>
      </c>
    </row>
    <row r="2" spans="1:16" x14ac:dyDescent="0.25">
      <c r="A2" t="s">
        <v>1</v>
      </c>
      <c r="B2">
        <v>30</v>
      </c>
      <c r="C2">
        <f>B2/1000</f>
        <v>0.03</v>
      </c>
      <c r="F2" t="s">
        <v>28</v>
      </c>
      <c r="G2">
        <f>ROUND(B$1*B6/60,0)</f>
        <v>3575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</row>
    <row r="3" spans="1:16" x14ac:dyDescent="0.25">
      <c r="B3">
        <v>25</v>
      </c>
      <c r="C3">
        <f t="shared" ref="C3" si="0">B3/1000</f>
        <v>2.5000000000000001E-2</v>
      </c>
      <c r="F3" t="s">
        <v>29</v>
      </c>
      <c r="G3">
        <f t="shared" ref="G3:G6" si="1">ROUND(B$1*B7/60,0)</f>
        <v>6600</v>
      </c>
      <c r="J3" s="9">
        <v>1</v>
      </c>
      <c r="K3" s="9" t="str">
        <f t="shared" ref="K3:L7" si="2">A6</f>
        <v>Фрезерование</v>
      </c>
      <c r="L3" s="9">
        <f t="shared" si="2"/>
        <v>1.3</v>
      </c>
      <c r="M3" s="9">
        <f>B$1</f>
        <v>165000</v>
      </c>
      <c r="N3" s="9">
        <f>G2</f>
        <v>3575</v>
      </c>
      <c r="O3" s="9">
        <f>H8</f>
        <v>1</v>
      </c>
    </row>
    <row r="4" spans="1:16" x14ac:dyDescent="0.25">
      <c r="B4">
        <v>15</v>
      </c>
      <c r="C4">
        <f>B4/1000</f>
        <v>1.4999999999999999E-2</v>
      </c>
      <c r="F4" t="s">
        <v>30</v>
      </c>
      <c r="G4">
        <f t="shared" si="1"/>
        <v>3850</v>
      </c>
      <c r="J4" s="9">
        <v>2</v>
      </c>
      <c r="K4" s="9" t="str">
        <f t="shared" si="2"/>
        <v>Сверление</v>
      </c>
      <c r="L4" s="9">
        <f t="shared" si="2"/>
        <v>2.4</v>
      </c>
      <c r="M4" s="9">
        <f>B$1</f>
        <v>165000</v>
      </c>
      <c r="N4" s="9">
        <f>G3</f>
        <v>6600</v>
      </c>
      <c r="O4" s="9">
        <f>H9</f>
        <v>2</v>
      </c>
    </row>
    <row r="5" spans="1:16" x14ac:dyDescent="0.25">
      <c r="A5" t="s">
        <v>2</v>
      </c>
      <c r="B5">
        <v>0.7</v>
      </c>
      <c r="F5" t="s">
        <v>31</v>
      </c>
      <c r="G5">
        <f t="shared" si="1"/>
        <v>6875</v>
      </c>
      <c r="J5" s="9">
        <v>3</v>
      </c>
      <c r="K5" s="9" t="str">
        <f t="shared" si="2"/>
        <v>Расточка</v>
      </c>
      <c r="L5" s="9">
        <f t="shared" si="2"/>
        <v>1.4</v>
      </c>
      <c r="M5" s="9">
        <f>B$1</f>
        <v>165000</v>
      </c>
      <c r="N5" s="9">
        <f>G4</f>
        <v>3850</v>
      </c>
      <c r="O5" s="9">
        <f>H10</f>
        <v>1</v>
      </c>
    </row>
    <row r="6" spans="1:16" x14ac:dyDescent="0.25">
      <c r="A6" t="s">
        <v>3</v>
      </c>
      <c r="B6">
        <v>1.3</v>
      </c>
      <c r="F6" t="s">
        <v>32</v>
      </c>
      <c r="G6">
        <f t="shared" si="1"/>
        <v>3300</v>
      </c>
      <c r="J6" s="9">
        <v>4</v>
      </c>
      <c r="K6" s="9" t="str">
        <f t="shared" si="2"/>
        <v>Шлифование</v>
      </c>
      <c r="L6" s="9">
        <f t="shared" si="2"/>
        <v>2.5</v>
      </c>
      <c r="M6" s="9">
        <f>B$1</f>
        <v>165000</v>
      </c>
      <c r="N6" s="9">
        <f>G5</f>
        <v>6875</v>
      </c>
      <c r="O6" s="9">
        <f>H11</f>
        <v>2</v>
      </c>
    </row>
    <row r="7" spans="1:16" x14ac:dyDescent="0.25">
      <c r="A7" t="s">
        <v>4</v>
      </c>
      <c r="B7">
        <v>2.4</v>
      </c>
      <c r="J7" s="9">
        <v>5</v>
      </c>
      <c r="K7" s="9" t="str">
        <f t="shared" si="2"/>
        <v>Токарный</v>
      </c>
      <c r="L7" s="9">
        <f t="shared" si="2"/>
        <v>1.2</v>
      </c>
      <c r="M7" s="9">
        <f>B$1</f>
        <v>165000</v>
      </c>
      <c r="N7" s="9">
        <f>G6</f>
        <v>3300</v>
      </c>
      <c r="O7" s="9">
        <f>H12</f>
        <v>1</v>
      </c>
    </row>
    <row r="8" spans="1:16" x14ac:dyDescent="0.25">
      <c r="A8" t="s">
        <v>5</v>
      </c>
      <c r="B8">
        <v>1.4</v>
      </c>
      <c r="F8" t="s">
        <v>33</v>
      </c>
      <c r="G8">
        <f>G2/G$1</f>
        <v>0.95079787234042556</v>
      </c>
      <c r="H8">
        <f>IF(MOD(G2/G$1,1) &gt; 0.15,ROUNDUP(G8,0),ROUNDDOWN(G8,0))</f>
        <v>1</v>
      </c>
      <c r="J8" s="11" t="s">
        <v>45</v>
      </c>
      <c r="K8" s="11"/>
      <c r="L8" s="11"/>
      <c r="M8" s="11"/>
      <c r="N8" s="11"/>
      <c r="O8" s="9">
        <f>SUM(O3:O7)</f>
        <v>7</v>
      </c>
      <c r="P8" s="10" t="s">
        <v>117</v>
      </c>
    </row>
    <row r="9" spans="1:16" x14ac:dyDescent="0.25">
      <c r="A9" t="s">
        <v>6</v>
      </c>
      <c r="B9">
        <v>2.5</v>
      </c>
      <c r="F9" t="s">
        <v>34</v>
      </c>
      <c r="G9">
        <f t="shared" ref="G9:G12" si="3">G3/G$1</f>
        <v>1.7553191489361701</v>
      </c>
      <c r="H9">
        <f t="shared" ref="H9:H12" si="4">IF(MOD(G3/G$1,1) &gt; 0.15,ROUNDUP(G9,0),ROUNDDOWN(G9,0))</f>
        <v>2</v>
      </c>
    </row>
    <row r="10" spans="1:16" x14ac:dyDescent="0.25">
      <c r="A10" t="s">
        <v>7</v>
      </c>
      <c r="B10">
        <v>1.2</v>
      </c>
      <c r="F10" t="s">
        <v>35</v>
      </c>
      <c r="G10">
        <f t="shared" si="3"/>
        <v>1.0239361702127661</v>
      </c>
      <c r="H10">
        <f t="shared" si="4"/>
        <v>1</v>
      </c>
      <c r="J10" t="s">
        <v>46</v>
      </c>
    </row>
    <row r="11" spans="1:16" x14ac:dyDescent="0.25">
      <c r="F11" t="s">
        <v>36</v>
      </c>
      <c r="G11">
        <f t="shared" si="3"/>
        <v>1.8284574468085106</v>
      </c>
      <c r="H11">
        <f t="shared" si="4"/>
        <v>2</v>
      </c>
      <c r="J11" s="1" t="s">
        <v>39</v>
      </c>
      <c r="K11" s="1" t="s">
        <v>40</v>
      </c>
      <c r="L11" s="1" t="s">
        <v>47</v>
      </c>
      <c r="M11" s="1" t="s">
        <v>48</v>
      </c>
      <c r="N11" s="1" t="s">
        <v>49</v>
      </c>
    </row>
    <row r="12" spans="1:16" x14ac:dyDescent="0.25">
      <c r="A12" t="s">
        <v>9</v>
      </c>
      <c r="F12" t="s">
        <v>37</v>
      </c>
      <c r="G12">
        <f t="shared" si="3"/>
        <v>0.87765957446808507</v>
      </c>
      <c r="H12">
        <f t="shared" si="4"/>
        <v>1</v>
      </c>
      <c r="J12" s="9">
        <v>1</v>
      </c>
      <c r="K12" s="9" t="str">
        <f>A6</f>
        <v>Фрезерование</v>
      </c>
      <c r="L12" s="9">
        <v>2398000</v>
      </c>
      <c r="M12" s="9">
        <f>O3</f>
        <v>1</v>
      </c>
      <c r="N12" s="9">
        <f>M12*L12</f>
        <v>2398000</v>
      </c>
    </row>
    <row r="13" spans="1:16" x14ac:dyDescent="0.25">
      <c r="A13" t="s">
        <v>10</v>
      </c>
      <c r="B13">
        <v>250</v>
      </c>
      <c r="J13" s="9">
        <v>2</v>
      </c>
      <c r="K13" s="9" t="str">
        <f>A7</f>
        <v>Сверление</v>
      </c>
      <c r="L13" s="9">
        <v>1865000</v>
      </c>
      <c r="M13" s="9">
        <f t="shared" ref="M13:M16" si="5">O4</f>
        <v>2</v>
      </c>
      <c r="N13" s="9">
        <f>M13*L13</f>
        <v>3730000</v>
      </c>
    </row>
    <row r="14" spans="1:16" x14ac:dyDescent="0.25">
      <c r="A14" t="s">
        <v>11</v>
      </c>
      <c r="B14">
        <v>2</v>
      </c>
      <c r="J14" s="9">
        <v>3</v>
      </c>
      <c r="K14" s="9" t="str">
        <f>A8</f>
        <v>Расточка</v>
      </c>
      <c r="L14" s="9">
        <v>1669000</v>
      </c>
      <c r="M14" s="9">
        <f t="shared" si="5"/>
        <v>1</v>
      </c>
      <c r="N14" s="9">
        <f>M14*L14</f>
        <v>1669000</v>
      </c>
    </row>
    <row r="15" spans="1:16" x14ac:dyDescent="0.25">
      <c r="A15" t="s">
        <v>12</v>
      </c>
      <c r="B15">
        <v>8</v>
      </c>
      <c r="J15" s="9">
        <v>4</v>
      </c>
      <c r="K15" s="9" t="str">
        <f>A9</f>
        <v>Шлифование</v>
      </c>
      <c r="L15" s="9">
        <v>1510000</v>
      </c>
      <c r="M15" s="9">
        <f t="shared" si="5"/>
        <v>2</v>
      </c>
      <c r="N15" s="9">
        <f>M15*L15</f>
        <v>3020000</v>
      </c>
    </row>
    <row r="16" spans="1:16" x14ac:dyDescent="0.25">
      <c r="A16" t="s">
        <v>13</v>
      </c>
      <c r="B16">
        <v>0.06</v>
      </c>
      <c r="J16" s="9">
        <v>5</v>
      </c>
      <c r="K16" s="9" t="str">
        <f>A10</f>
        <v>Токарный</v>
      </c>
      <c r="L16" s="9">
        <v>1815000</v>
      </c>
      <c r="M16" s="9">
        <f t="shared" si="5"/>
        <v>1</v>
      </c>
      <c r="N16" s="9">
        <f>M16*L16</f>
        <v>1815000</v>
      </c>
    </row>
    <row r="17" spans="1:17" x14ac:dyDescent="0.25">
      <c r="A17" t="s">
        <v>14</v>
      </c>
      <c r="B17">
        <v>0.15</v>
      </c>
      <c r="J17" s="11" t="s">
        <v>45</v>
      </c>
      <c r="K17" s="11"/>
      <c r="L17" s="11"/>
      <c r="M17" s="11"/>
      <c r="N17" s="1">
        <f>SUM(N12:N16)</f>
        <v>12632000</v>
      </c>
      <c r="O17" s="10" t="s">
        <v>118</v>
      </c>
    </row>
    <row r="18" spans="1:17" x14ac:dyDescent="0.25">
      <c r="A18" t="s">
        <v>15</v>
      </c>
      <c r="B18">
        <v>1.03</v>
      </c>
    </row>
    <row r="19" spans="1:17" x14ac:dyDescent="0.25">
      <c r="A19" t="s">
        <v>16</v>
      </c>
      <c r="J19" t="s">
        <v>50</v>
      </c>
      <c r="M19" s="11" t="s">
        <v>51</v>
      </c>
      <c r="N19" s="11"/>
      <c r="O19" s="3"/>
    </row>
    <row r="20" spans="1:17" x14ac:dyDescent="0.25">
      <c r="A20" t="s">
        <v>17</v>
      </c>
      <c r="J20" s="1" t="s">
        <v>39</v>
      </c>
      <c r="K20" s="1" t="s">
        <v>40</v>
      </c>
      <c r="L20" s="1" t="s">
        <v>48</v>
      </c>
      <c r="M20" s="1" t="s">
        <v>52</v>
      </c>
      <c r="N20" s="4" t="s">
        <v>53</v>
      </c>
      <c r="O20" s="4" t="s">
        <v>54</v>
      </c>
    </row>
    <row r="21" spans="1:17" x14ac:dyDescent="0.25">
      <c r="A21" t="s">
        <v>18</v>
      </c>
      <c r="J21" s="9">
        <v>1</v>
      </c>
      <c r="K21" s="9" t="str">
        <f>A6</f>
        <v>Фрезерование</v>
      </c>
      <c r="L21" s="9">
        <f>O3</f>
        <v>1</v>
      </c>
      <c r="M21" s="9">
        <v>3.7</v>
      </c>
      <c r="N21" s="9">
        <v>8</v>
      </c>
      <c r="O21" s="9">
        <f>(M21+N21)*L21</f>
        <v>11.7</v>
      </c>
    </row>
    <row r="22" spans="1:17" x14ac:dyDescent="0.25">
      <c r="A22" t="s">
        <v>19</v>
      </c>
      <c r="B22">
        <v>350</v>
      </c>
      <c r="J22" s="9">
        <v>2</v>
      </c>
      <c r="K22" s="9" t="str">
        <f>A7</f>
        <v>Сверление</v>
      </c>
      <c r="L22" s="9">
        <f t="shared" ref="L22:L25" si="6">O4</f>
        <v>2</v>
      </c>
      <c r="M22" s="9">
        <v>1</v>
      </c>
      <c r="N22" s="9">
        <v>4</v>
      </c>
      <c r="O22" s="9">
        <f>(M22+N22)*L22</f>
        <v>10</v>
      </c>
    </row>
    <row r="23" spans="1:17" x14ac:dyDescent="0.25">
      <c r="A23" t="s">
        <v>20</v>
      </c>
      <c r="B23">
        <v>7800</v>
      </c>
      <c r="J23" s="9">
        <v>3</v>
      </c>
      <c r="K23" s="9" t="str">
        <f>A8</f>
        <v>Расточка</v>
      </c>
      <c r="L23" s="9">
        <f t="shared" si="6"/>
        <v>1</v>
      </c>
      <c r="M23" s="9">
        <v>16.3</v>
      </c>
      <c r="N23" s="9">
        <v>34</v>
      </c>
      <c r="O23" s="9">
        <f>(M23+N23)*L23</f>
        <v>50.3</v>
      </c>
    </row>
    <row r="24" spans="1:17" x14ac:dyDescent="0.25">
      <c r="A24" t="s">
        <v>21</v>
      </c>
      <c r="B24">
        <v>1500</v>
      </c>
      <c r="J24" s="9">
        <v>4</v>
      </c>
      <c r="K24" s="9" t="str">
        <f>A9</f>
        <v>Шлифование</v>
      </c>
      <c r="L24" s="9">
        <f t="shared" si="6"/>
        <v>2</v>
      </c>
      <c r="M24" s="9">
        <v>4.8</v>
      </c>
      <c r="N24" s="9">
        <v>10</v>
      </c>
      <c r="O24" s="9">
        <f>(M24+N24)*L24</f>
        <v>29.6</v>
      </c>
    </row>
    <row r="25" spans="1:17" x14ac:dyDescent="0.25">
      <c r="A25" t="s">
        <v>27</v>
      </c>
      <c r="B25">
        <v>0.45</v>
      </c>
      <c r="J25" s="9">
        <v>5</v>
      </c>
      <c r="K25" s="9" t="str">
        <f>A10</f>
        <v>Токарный</v>
      </c>
      <c r="L25" s="9">
        <f t="shared" si="6"/>
        <v>1</v>
      </c>
      <c r="M25" s="9">
        <v>7.6</v>
      </c>
      <c r="N25" s="9">
        <v>16</v>
      </c>
      <c r="O25" s="9">
        <f>(M25+N25)*L25</f>
        <v>23.6</v>
      </c>
    </row>
    <row r="26" spans="1:17" x14ac:dyDescent="0.25">
      <c r="A26" t="s">
        <v>22</v>
      </c>
      <c r="B26">
        <v>9400</v>
      </c>
      <c r="J26" s="11" t="s">
        <v>45</v>
      </c>
      <c r="K26" s="11"/>
      <c r="L26" s="11"/>
      <c r="M26" s="11"/>
      <c r="N26" s="11"/>
      <c r="O26" s="9">
        <f>SUM(O21:O25)</f>
        <v>125.19999999999999</v>
      </c>
      <c r="P26">
        <f>(O26*9400)</f>
        <v>1176880</v>
      </c>
      <c r="Q26" s="10" t="s">
        <v>116</v>
      </c>
    </row>
    <row r="27" spans="1:17" x14ac:dyDescent="0.25">
      <c r="A27" t="s">
        <v>23</v>
      </c>
      <c r="B27">
        <v>0.15</v>
      </c>
    </row>
    <row r="28" spans="1:17" x14ac:dyDescent="0.25">
      <c r="A28" t="s">
        <v>24</v>
      </c>
      <c r="B28">
        <v>0.26</v>
      </c>
      <c r="J28" t="s">
        <v>55</v>
      </c>
    </row>
    <row r="29" spans="1:17" x14ac:dyDescent="0.25">
      <c r="A29" t="s">
        <v>25</v>
      </c>
      <c r="B29">
        <v>0.2</v>
      </c>
      <c r="J29" s="1" t="s">
        <v>39</v>
      </c>
      <c r="K29" s="1" t="s">
        <v>56</v>
      </c>
      <c r="L29" s="1" t="s">
        <v>62</v>
      </c>
    </row>
    <row r="30" spans="1:17" x14ac:dyDescent="0.25">
      <c r="A30" t="s">
        <v>26</v>
      </c>
      <c r="B30">
        <v>2.5000000000000001E-2</v>
      </c>
      <c r="J30" s="9">
        <v>1</v>
      </c>
      <c r="K30" s="9" t="s">
        <v>57</v>
      </c>
      <c r="L30" s="9">
        <f>O$26*B26</f>
        <v>1176880</v>
      </c>
    </row>
    <row r="31" spans="1:17" x14ac:dyDescent="0.25">
      <c r="J31" s="9">
        <v>2</v>
      </c>
      <c r="K31" s="9" t="s">
        <v>58</v>
      </c>
      <c r="L31" s="9">
        <f>N17</f>
        <v>12632000</v>
      </c>
    </row>
    <row r="32" spans="1:17" x14ac:dyDescent="0.25">
      <c r="J32" s="9">
        <v>3</v>
      </c>
      <c r="K32" s="9" t="s">
        <v>59</v>
      </c>
      <c r="L32" s="9">
        <f>L31*0.1</f>
        <v>1263200</v>
      </c>
    </row>
    <row r="33" spans="10:15" x14ac:dyDescent="0.25">
      <c r="J33" s="9">
        <v>4</v>
      </c>
      <c r="K33" s="9" t="s">
        <v>60</v>
      </c>
      <c r="L33" s="9">
        <f>L31*0.04</f>
        <v>505280</v>
      </c>
    </row>
    <row r="34" spans="10:15" x14ac:dyDescent="0.25">
      <c r="J34" s="9">
        <v>5</v>
      </c>
      <c r="K34" s="9" t="s">
        <v>61</v>
      </c>
      <c r="L34" s="9">
        <f>L31*0.04</f>
        <v>505280</v>
      </c>
    </row>
    <row r="35" spans="10:15" x14ac:dyDescent="0.25">
      <c r="J35" s="11" t="s">
        <v>45</v>
      </c>
      <c r="K35" s="11"/>
      <c r="L35" s="9">
        <f>SUM(L30:L34)</f>
        <v>16082640</v>
      </c>
      <c r="M35" s="10" t="s">
        <v>107</v>
      </c>
    </row>
    <row r="37" spans="10:15" x14ac:dyDescent="0.25">
      <c r="J37" t="s">
        <v>63</v>
      </c>
    </row>
    <row r="38" spans="10:15" x14ac:dyDescent="0.25">
      <c r="J38" s="1" t="s">
        <v>39</v>
      </c>
      <c r="K38" s="1" t="s">
        <v>64</v>
      </c>
      <c r="L38" s="1" t="s">
        <v>69</v>
      </c>
      <c r="M38" s="1" t="s">
        <v>62</v>
      </c>
      <c r="N38" s="1" t="s">
        <v>70</v>
      </c>
      <c r="O38" s="1" t="s">
        <v>71</v>
      </c>
    </row>
    <row r="39" spans="10:15" x14ac:dyDescent="0.25">
      <c r="J39" s="9">
        <v>1</v>
      </c>
      <c r="K39" s="9" t="s">
        <v>65</v>
      </c>
      <c r="L39" s="9">
        <f>L21</f>
        <v>1</v>
      </c>
      <c r="M39" s="9">
        <f>N12</f>
        <v>2398000</v>
      </c>
      <c r="N39" s="9">
        <v>0.2</v>
      </c>
      <c r="O39" s="9">
        <f>ROUND(M39*N39,0)</f>
        <v>479600</v>
      </c>
    </row>
    <row r="40" spans="10:15" x14ac:dyDescent="0.25">
      <c r="J40" s="9">
        <v>2</v>
      </c>
      <c r="K40" s="9" t="s">
        <v>66</v>
      </c>
      <c r="L40" s="9">
        <f t="shared" ref="L40:L43" si="7">L22</f>
        <v>2</v>
      </c>
      <c r="M40" s="9">
        <f t="shared" ref="M40:M43" si="8">N13</f>
        <v>3730000</v>
      </c>
      <c r="N40" s="9">
        <v>0.2</v>
      </c>
      <c r="O40" s="9">
        <f t="shared" ref="O40:O43" si="9">ROUND(M40*N40,0)</f>
        <v>746000</v>
      </c>
    </row>
    <row r="41" spans="10:15" x14ac:dyDescent="0.25">
      <c r="J41" s="9">
        <v>3</v>
      </c>
      <c r="K41" s="9" t="s">
        <v>67</v>
      </c>
      <c r="L41" s="9">
        <f t="shared" si="7"/>
        <v>1</v>
      </c>
      <c r="M41" s="9">
        <f t="shared" si="8"/>
        <v>1669000</v>
      </c>
      <c r="N41" s="9">
        <v>0.2</v>
      </c>
      <c r="O41" s="9">
        <f t="shared" si="9"/>
        <v>333800</v>
      </c>
    </row>
    <row r="42" spans="10:15" x14ac:dyDescent="0.25">
      <c r="J42" s="9">
        <v>4</v>
      </c>
      <c r="K42" s="9" t="s">
        <v>68</v>
      </c>
      <c r="L42" s="9">
        <f t="shared" si="7"/>
        <v>2</v>
      </c>
      <c r="M42" s="9">
        <f t="shared" si="8"/>
        <v>3020000</v>
      </c>
      <c r="N42" s="9">
        <v>0.2</v>
      </c>
      <c r="O42" s="9">
        <f t="shared" si="9"/>
        <v>604000</v>
      </c>
    </row>
    <row r="43" spans="10:15" x14ac:dyDescent="0.25">
      <c r="J43" s="9">
        <v>5</v>
      </c>
      <c r="K43" s="9" t="s">
        <v>7</v>
      </c>
      <c r="L43" s="9">
        <f t="shared" si="7"/>
        <v>1</v>
      </c>
      <c r="M43" s="9">
        <f t="shared" si="8"/>
        <v>1815000</v>
      </c>
      <c r="N43" s="9">
        <v>0.2</v>
      </c>
      <c r="O43" s="9">
        <f t="shared" si="9"/>
        <v>363000</v>
      </c>
    </row>
    <row r="44" spans="10:15" x14ac:dyDescent="0.25">
      <c r="J44" s="6">
        <v>6</v>
      </c>
      <c r="K44" s="9" t="s">
        <v>57</v>
      </c>
      <c r="L44" s="9"/>
      <c r="M44" s="9">
        <f>L30</f>
        <v>1176880</v>
      </c>
      <c r="N44" s="9">
        <v>2.5000000000000001E-2</v>
      </c>
      <c r="O44" s="9">
        <f>ROUND(M44*N44,0)</f>
        <v>29422</v>
      </c>
    </row>
    <row r="45" spans="10:15" x14ac:dyDescent="0.25">
      <c r="J45" s="12" t="s">
        <v>45</v>
      </c>
      <c r="K45" s="13"/>
      <c r="L45" s="13"/>
      <c r="M45" s="13"/>
      <c r="N45" s="14"/>
      <c r="O45" s="9">
        <f>SUM(O39:O44)</f>
        <v>2555822</v>
      </c>
    </row>
    <row r="47" spans="10:15" x14ac:dyDescent="0.25">
      <c r="J47" t="s">
        <v>72</v>
      </c>
    </row>
    <row r="48" spans="10:15" x14ac:dyDescent="0.25">
      <c r="J48" s="1" t="s">
        <v>39</v>
      </c>
      <c r="K48" s="1" t="s">
        <v>73</v>
      </c>
      <c r="L48" s="1" t="s">
        <v>69</v>
      </c>
      <c r="M48" s="4" t="s">
        <v>74</v>
      </c>
      <c r="N48" s="4" t="s">
        <v>75</v>
      </c>
    </row>
    <row r="49" spans="10:18" x14ac:dyDescent="0.25">
      <c r="J49" s="9">
        <v>1</v>
      </c>
      <c r="K49" s="9" t="s">
        <v>65</v>
      </c>
      <c r="L49" s="9">
        <f>L39</f>
        <v>1</v>
      </c>
      <c r="M49" s="9">
        <f>ROUND(G$1*L49*B$18/(B6/60),0)</f>
        <v>178745</v>
      </c>
      <c r="N49" s="9">
        <f>ROUND(N3/(G$1*L49*B$18),2)</f>
        <v>0.92</v>
      </c>
    </row>
    <row r="50" spans="10:18" x14ac:dyDescent="0.25">
      <c r="J50" s="9">
        <v>2</v>
      </c>
      <c r="K50" s="9" t="s">
        <v>66</v>
      </c>
      <c r="L50" s="9">
        <f t="shared" ref="L50:L53" si="10">L40</f>
        <v>2</v>
      </c>
      <c r="M50" s="9">
        <f>ROUND(G$1*L50*B$18/(B7/60),0)</f>
        <v>193640</v>
      </c>
      <c r="N50" s="9">
        <f>ROUND(N4/(G$1*L50*B$18),2)</f>
        <v>0.85</v>
      </c>
    </row>
    <row r="51" spans="10:18" x14ac:dyDescent="0.25">
      <c r="J51" s="9">
        <v>3</v>
      </c>
      <c r="K51" s="9" t="s">
        <v>67</v>
      </c>
      <c r="L51" s="9">
        <f t="shared" si="10"/>
        <v>1</v>
      </c>
      <c r="M51" s="9">
        <f>ROUND(G$1*L51*B$18/(B8/60),0)</f>
        <v>165977</v>
      </c>
      <c r="N51" s="9">
        <f>ROUND(N5/(G$1*L51*B$18),2)</f>
        <v>0.99</v>
      </c>
    </row>
    <row r="52" spans="10:18" x14ac:dyDescent="0.25">
      <c r="J52" s="9">
        <v>4</v>
      </c>
      <c r="K52" s="9" t="s">
        <v>68</v>
      </c>
      <c r="L52" s="9">
        <f t="shared" si="10"/>
        <v>2</v>
      </c>
      <c r="M52" s="9">
        <f>ROUND(G$1*L52*B$18/(B9/60),0)</f>
        <v>185894</v>
      </c>
      <c r="N52" s="9">
        <f>ROUND(N6/(G$1*L52*B$18),2)</f>
        <v>0.89</v>
      </c>
    </row>
    <row r="53" spans="10:18" x14ac:dyDescent="0.25">
      <c r="J53" s="9">
        <v>5</v>
      </c>
      <c r="K53" s="9" t="s">
        <v>7</v>
      </c>
      <c r="L53" s="9">
        <f t="shared" si="10"/>
        <v>1</v>
      </c>
      <c r="M53" s="9">
        <f>ROUND(G$1*L53*B$18/(B10/60),0)</f>
        <v>193640</v>
      </c>
      <c r="N53" s="9">
        <f>ROUND(N7/(G$1*L53*B$18),2)</f>
        <v>0.85</v>
      </c>
      <c r="O53" s="10" t="s">
        <v>108</v>
      </c>
    </row>
    <row r="54" spans="10:18" x14ac:dyDescent="0.25">
      <c r="O54" s="10" t="s">
        <v>109</v>
      </c>
    </row>
    <row r="55" spans="10:18" x14ac:dyDescent="0.25">
      <c r="J55" t="s">
        <v>77</v>
      </c>
      <c r="K55">
        <f>ROUND(((C2*C3*C4*7800*B1)/360),2)</f>
        <v>40.22</v>
      </c>
      <c r="M55" t="s">
        <v>82</v>
      </c>
      <c r="N55">
        <f>ROUND(C2*C3*C4*7800*350,2)</f>
        <v>30.71</v>
      </c>
      <c r="O55" s="10" t="s">
        <v>115</v>
      </c>
      <c r="P55" t="s">
        <v>86</v>
      </c>
      <c r="Q55">
        <f>ROUND(N55/0.45,2)</f>
        <v>68.239999999999995</v>
      </c>
    </row>
    <row r="56" spans="10:18" x14ac:dyDescent="0.25">
      <c r="J56" t="s">
        <v>78</v>
      </c>
      <c r="K56">
        <f>ROUND(K55*35*350,0)</f>
        <v>492695</v>
      </c>
      <c r="M56" t="s">
        <v>83</v>
      </c>
      <c r="N56">
        <f>ROUND((N55*B1)/(0.45*360),0)</f>
        <v>31279</v>
      </c>
      <c r="P56" t="s">
        <v>87</v>
      </c>
      <c r="Q56">
        <f>ROUND(Q55*ROUND(B1/365,0)*3,0)</f>
        <v>92533</v>
      </c>
      <c r="R56" s="10" t="s">
        <v>113</v>
      </c>
    </row>
    <row r="57" spans="10:18" x14ac:dyDescent="0.25">
      <c r="J57" t="s">
        <v>79</v>
      </c>
      <c r="K57">
        <f>ROUND(K56/2,0)</f>
        <v>246348</v>
      </c>
      <c r="M57" t="s">
        <v>84</v>
      </c>
      <c r="N57">
        <f>0.45+(1-0.45)/2</f>
        <v>0.72500000000000009</v>
      </c>
    </row>
    <row r="58" spans="10:18" x14ac:dyDescent="0.25">
      <c r="J58" t="s">
        <v>80</v>
      </c>
      <c r="K58">
        <f>ROUND(K55*5*350,0)</f>
        <v>70385</v>
      </c>
      <c r="M58" t="s">
        <v>85</v>
      </c>
      <c r="N58">
        <f>ROUND(N56*7*N57,0)</f>
        <v>158741</v>
      </c>
      <c r="O58" s="10" t="s">
        <v>114</v>
      </c>
    </row>
    <row r="59" spans="10:18" x14ac:dyDescent="0.25">
      <c r="J59" t="s">
        <v>81</v>
      </c>
      <c r="K59">
        <f>K58+K57+0</f>
        <v>316733</v>
      </c>
      <c r="L59" s="10" t="s">
        <v>110</v>
      </c>
      <c r="M59">
        <f>ROUND((N55*0.08),2)</f>
        <v>2.46</v>
      </c>
      <c r="N59" s="10" t="s">
        <v>123</v>
      </c>
      <c r="O59">
        <f>K59+N58+Q56</f>
        <v>568007</v>
      </c>
      <c r="P59" s="10" t="s">
        <v>126</v>
      </c>
    </row>
    <row r="60" spans="10:18" x14ac:dyDescent="0.25">
      <c r="J60" t="s">
        <v>76</v>
      </c>
    </row>
    <row r="61" spans="10:18" x14ac:dyDescent="0.25">
      <c r="J61" s="1" t="s">
        <v>39</v>
      </c>
      <c r="K61" s="1" t="s">
        <v>73</v>
      </c>
      <c r="L61" s="1" t="s">
        <v>96</v>
      </c>
      <c r="M61" s="4" t="s">
        <v>88</v>
      </c>
      <c r="N61" s="4" t="s">
        <v>43</v>
      </c>
      <c r="O61" s="15" t="s">
        <v>89</v>
      </c>
      <c r="P61" s="16"/>
      <c r="Q61" s="17"/>
    </row>
    <row r="62" spans="10:18" x14ac:dyDescent="0.25">
      <c r="J62" s="9">
        <v>1</v>
      </c>
      <c r="K62" s="9" t="s">
        <v>65</v>
      </c>
      <c r="L62" s="9" t="s">
        <v>94</v>
      </c>
      <c r="M62" s="9">
        <f>B6</f>
        <v>1.3</v>
      </c>
      <c r="N62" s="9">
        <f>G2</f>
        <v>3575</v>
      </c>
      <c r="O62" s="12">
        <f>N62/(K$68*1.03)</f>
        <v>2.0416904625928041</v>
      </c>
      <c r="P62" s="14"/>
      <c r="Q62" s="9">
        <f>IF(MOD(O62,1) &gt; 0.2,ROUNDUP(O62,0),ROUNDDOWN(O62,0))</f>
        <v>2</v>
      </c>
    </row>
    <row r="63" spans="10:18" x14ac:dyDescent="0.25">
      <c r="J63" s="9">
        <v>2</v>
      </c>
      <c r="K63" s="9" t="s">
        <v>66</v>
      </c>
      <c r="L63" s="9" t="s">
        <v>93</v>
      </c>
      <c r="M63" s="9">
        <f>B7</f>
        <v>2.4</v>
      </c>
      <c r="N63" s="9">
        <f>G3</f>
        <v>6600</v>
      </c>
      <c r="O63" s="11">
        <f>N63/(K$68*1.03)</f>
        <v>3.7692747001713305</v>
      </c>
      <c r="P63" s="11"/>
      <c r="Q63" s="9">
        <f t="shared" ref="Q63:Q66" si="11">IF(MOD(O63,1) &gt; 0.2,ROUNDUP(O63,0),ROUNDDOWN(O63,0))</f>
        <v>4</v>
      </c>
    </row>
    <row r="64" spans="10:18" x14ac:dyDescent="0.25">
      <c r="J64" s="9">
        <v>3</v>
      </c>
      <c r="K64" s="9" t="s">
        <v>67</v>
      </c>
      <c r="L64" s="9" t="s">
        <v>95</v>
      </c>
      <c r="M64" s="9">
        <f>B8</f>
        <v>1.4</v>
      </c>
      <c r="N64" s="9">
        <f>G4</f>
        <v>3850</v>
      </c>
      <c r="O64" s="11">
        <f>N64/(K$68*1.03)</f>
        <v>2.1987435750999427</v>
      </c>
      <c r="P64" s="11"/>
      <c r="Q64" s="9">
        <f t="shared" si="11"/>
        <v>2</v>
      </c>
    </row>
    <row r="65" spans="10:18" x14ac:dyDescent="0.25">
      <c r="J65" s="9">
        <v>4</v>
      </c>
      <c r="K65" s="9" t="s">
        <v>68</v>
      </c>
      <c r="L65" s="9" t="s">
        <v>95</v>
      </c>
      <c r="M65" s="9">
        <f>B9</f>
        <v>2.5</v>
      </c>
      <c r="N65" s="9">
        <f>G5</f>
        <v>6875</v>
      </c>
      <c r="O65" s="11">
        <f>N65/(K$68*1.03)</f>
        <v>3.9263278126784695</v>
      </c>
      <c r="P65" s="11"/>
      <c r="Q65" s="9">
        <f t="shared" si="11"/>
        <v>4</v>
      </c>
    </row>
    <row r="66" spans="10:18" x14ac:dyDescent="0.25">
      <c r="J66" s="9">
        <v>5</v>
      </c>
      <c r="K66" s="9" t="s">
        <v>7</v>
      </c>
      <c r="L66" s="9" t="s">
        <v>93</v>
      </c>
      <c r="M66" s="9">
        <f>B10</f>
        <v>1.2</v>
      </c>
      <c r="N66" s="9">
        <f>G6</f>
        <v>3300</v>
      </c>
      <c r="O66" s="11">
        <f>N66/(K$68*1.03)</f>
        <v>1.8846373500856652</v>
      </c>
      <c r="P66" s="11"/>
      <c r="Q66" s="9">
        <f t="shared" si="11"/>
        <v>2</v>
      </c>
    </row>
    <row r="67" spans="10:18" x14ac:dyDescent="0.25">
      <c r="J67" s="12" t="s">
        <v>91</v>
      </c>
      <c r="K67" s="13"/>
      <c r="L67" s="13"/>
      <c r="M67" s="13"/>
      <c r="N67" s="13"/>
      <c r="O67" s="13"/>
      <c r="P67" s="14"/>
      <c r="Q67" s="9">
        <f>SUM(Q62:Q66)</f>
        <v>14</v>
      </c>
      <c r="R67" s="10" t="s">
        <v>112</v>
      </c>
    </row>
    <row r="68" spans="10:18" x14ac:dyDescent="0.25">
      <c r="J68" t="s">
        <v>90</v>
      </c>
      <c r="K68">
        <f>250*8*(1-0.15)</f>
        <v>1700</v>
      </c>
    </row>
    <row r="70" spans="10:18" x14ac:dyDescent="0.25">
      <c r="J70" t="s">
        <v>92</v>
      </c>
    </row>
    <row r="71" spans="10:18" x14ac:dyDescent="0.25">
      <c r="J71" s="1" t="s">
        <v>39</v>
      </c>
      <c r="K71" s="1" t="s">
        <v>73</v>
      </c>
      <c r="L71" s="4" t="s">
        <v>88</v>
      </c>
      <c r="M71" s="4" t="s">
        <v>43</v>
      </c>
      <c r="N71" s="4" t="s">
        <v>97</v>
      </c>
      <c r="O71" s="4" t="s">
        <v>98</v>
      </c>
    </row>
    <row r="72" spans="10:18" x14ac:dyDescent="0.25">
      <c r="J72" s="9">
        <v>1</v>
      </c>
      <c r="K72" s="9" t="s">
        <v>65</v>
      </c>
      <c r="L72" s="9">
        <f>B6</f>
        <v>1.3</v>
      </c>
      <c r="M72" s="9">
        <f>G2</f>
        <v>3575</v>
      </c>
      <c r="N72" s="9">
        <v>28</v>
      </c>
      <c r="O72" s="9">
        <f>M72*N72</f>
        <v>100100</v>
      </c>
    </row>
    <row r="73" spans="10:18" x14ac:dyDescent="0.25">
      <c r="J73" s="9">
        <v>2</v>
      </c>
      <c r="K73" s="9" t="s">
        <v>66</v>
      </c>
      <c r="L73" s="9">
        <f>B7</f>
        <v>2.4</v>
      </c>
      <c r="M73" s="9">
        <f>G3</f>
        <v>6600</v>
      </c>
      <c r="N73" s="9">
        <v>22</v>
      </c>
      <c r="O73" s="9">
        <f t="shared" ref="O73:O76" si="12">M73*N73</f>
        <v>145200</v>
      </c>
    </row>
    <row r="74" spans="10:18" x14ac:dyDescent="0.25">
      <c r="J74" s="9">
        <v>3</v>
      </c>
      <c r="K74" s="9" t="s">
        <v>67</v>
      </c>
      <c r="L74" s="9">
        <f>B8</f>
        <v>1.4</v>
      </c>
      <c r="M74" s="9">
        <f>G4</f>
        <v>3850</v>
      </c>
      <c r="N74" s="9">
        <v>35</v>
      </c>
      <c r="O74" s="9">
        <f t="shared" si="12"/>
        <v>134750</v>
      </c>
    </row>
    <row r="75" spans="10:18" x14ac:dyDescent="0.25">
      <c r="J75" s="9">
        <v>4</v>
      </c>
      <c r="K75" s="9" t="s">
        <v>68</v>
      </c>
      <c r="L75" s="9">
        <f>B9</f>
        <v>2.5</v>
      </c>
      <c r="M75" s="9">
        <f>G5</f>
        <v>6875</v>
      </c>
      <c r="N75" s="9">
        <v>35</v>
      </c>
      <c r="O75" s="9">
        <f t="shared" si="12"/>
        <v>240625</v>
      </c>
    </row>
    <row r="76" spans="10:18" x14ac:dyDescent="0.25">
      <c r="J76" s="9">
        <v>5</v>
      </c>
      <c r="K76" s="9" t="s">
        <v>7</v>
      </c>
      <c r="L76" s="9">
        <f>B10</f>
        <v>1.2</v>
      </c>
      <c r="M76" s="9">
        <f>G6</f>
        <v>3300</v>
      </c>
      <c r="N76" s="9">
        <v>22</v>
      </c>
      <c r="O76" s="9">
        <f t="shared" si="12"/>
        <v>72600</v>
      </c>
    </row>
    <row r="77" spans="10:18" x14ac:dyDescent="0.25">
      <c r="J77" s="12" t="s">
        <v>91</v>
      </c>
      <c r="K77" s="13"/>
      <c r="L77" s="13"/>
      <c r="M77" s="13"/>
      <c r="N77" s="14"/>
      <c r="O77" s="9">
        <f>SUM(O72:O76)</f>
        <v>693275</v>
      </c>
      <c r="P77" s="10" t="s">
        <v>111</v>
      </c>
    </row>
    <row r="79" spans="10:18" x14ac:dyDescent="0.25">
      <c r="J79" t="s">
        <v>99</v>
      </c>
      <c r="K79">
        <f>ROUND(N55/350,3)</f>
        <v>8.7999999999999995E-2</v>
      </c>
      <c r="M79" t="s">
        <v>103</v>
      </c>
      <c r="N79">
        <f>ROUND(((SUM(O39:O43)+180000+450000+90000)/O77)*100,2)</f>
        <v>468.27</v>
      </c>
    </row>
    <row r="80" spans="10:18" x14ac:dyDescent="0.25">
      <c r="J80" t="s">
        <v>100</v>
      </c>
      <c r="K80">
        <f>ROUND(K79*(1-B5)*(B24/1000),2)</f>
        <v>0.04</v>
      </c>
      <c r="L80" s="10" t="s">
        <v>119</v>
      </c>
      <c r="M80" t="s">
        <v>104</v>
      </c>
      <c r="N80">
        <f>ROUND((N79*K86)/100,2)</f>
        <v>19.71</v>
      </c>
      <c r="O80" s="10" t="s">
        <v>121</v>
      </c>
    </row>
    <row r="81" spans="10:15" x14ac:dyDescent="0.25">
      <c r="J81" s="1" t="s">
        <v>101</v>
      </c>
      <c r="K81" s="1">
        <f>ROUND((L72*N72)/60,2)</f>
        <v>0.61</v>
      </c>
      <c r="M81" t="s">
        <v>105</v>
      </c>
      <c r="N81">
        <f>ROUND(((O44+98000+580000*1.15+(580000*1.15)*0.3+36000)/O77)*100,2)</f>
        <v>148.65</v>
      </c>
    </row>
    <row r="82" spans="10:15" x14ac:dyDescent="0.25">
      <c r="J82" s="1"/>
      <c r="K82" s="1">
        <f t="shared" ref="K82:K85" si="13">ROUND((L73*N73)/60,2)</f>
        <v>0.88</v>
      </c>
      <c r="M82" t="s">
        <v>106</v>
      </c>
      <c r="N82">
        <f>ROUND((N81*K86)/100,2)</f>
        <v>6.26</v>
      </c>
      <c r="O82" s="10" t="s">
        <v>122</v>
      </c>
    </row>
    <row r="83" spans="10:15" x14ac:dyDescent="0.25">
      <c r="J83" s="1"/>
      <c r="K83" s="1">
        <f t="shared" si="13"/>
        <v>0.82</v>
      </c>
    </row>
    <row r="84" spans="10:15" x14ac:dyDescent="0.25">
      <c r="J84" s="1"/>
      <c r="K84" s="1">
        <f t="shared" si="13"/>
        <v>1.46</v>
      </c>
    </row>
    <row r="85" spans="10:15" x14ac:dyDescent="0.25">
      <c r="J85" s="1"/>
      <c r="K85" s="1">
        <f t="shared" si="13"/>
        <v>0.44</v>
      </c>
    </row>
    <row r="86" spans="10:15" x14ac:dyDescent="0.25">
      <c r="J86" t="s">
        <v>102</v>
      </c>
      <c r="K86" s="5">
        <f>SUM(K81:K85)</f>
        <v>4.21</v>
      </c>
      <c r="L86" s="10" t="s">
        <v>120</v>
      </c>
      <c r="M86">
        <f>N55+M59-K80+K86+K87+K88+N80+N82</f>
        <v>65.390000000000015</v>
      </c>
      <c r="N86" s="10" t="s">
        <v>127</v>
      </c>
    </row>
    <row r="87" spans="10:15" x14ac:dyDescent="0.25">
      <c r="K87" s="5">
        <f>ROUND((K86*0.15),2)</f>
        <v>0.63</v>
      </c>
      <c r="L87" s="10" t="s">
        <v>124</v>
      </c>
    </row>
    <row r="88" spans="10:15" x14ac:dyDescent="0.25">
      <c r="K88">
        <f>ROUND((K86+K87)*0.3,2)</f>
        <v>1.45</v>
      </c>
      <c r="L88" s="10" t="s">
        <v>125</v>
      </c>
    </row>
  </sheetData>
  <mergeCells count="14">
    <mergeCell ref="J67:P67"/>
    <mergeCell ref="J77:N77"/>
    <mergeCell ref="O61:Q61"/>
    <mergeCell ref="O62:P62"/>
    <mergeCell ref="O63:P63"/>
    <mergeCell ref="O64:P64"/>
    <mergeCell ref="O65:P65"/>
    <mergeCell ref="O66:P66"/>
    <mergeCell ref="J45:N45"/>
    <mergeCell ref="J8:N8"/>
    <mergeCell ref="J17:M17"/>
    <mergeCell ref="M19:N19"/>
    <mergeCell ref="J26:N26"/>
    <mergeCell ref="J35:K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Роман Роман</cp:lastModifiedBy>
  <dcterms:created xsi:type="dcterms:W3CDTF">2017-10-20T11:56:44Z</dcterms:created>
  <dcterms:modified xsi:type="dcterms:W3CDTF">2022-12-11T22:05:10Z</dcterms:modified>
</cp:coreProperties>
</file>