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D6F803AB-104F-4912-84F0-43EB220C55AD}" xr6:coauthVersionLast="47" xr6:coauthVersionMax="47" xr10:uidLastSave="{00000000-0000-0000-0000-000000000000}"/>
  <bookViews>
    <workbookView xWindow="-98" yWindow="-98" windowWidth="24196" windowHeight="14476" xr2:uid="{C5072FBC-09E0-4CAD-BCC3-8B3457657698}"/>
  </bookViews>
  <sheets>
    <sheet name="Задание 2" sheetId="1" r:id="rId1"/>
    <sheet name="Лист2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8" i="1"/>
  <c r="J9" i="1" s="1"/>
  <c r="F12" i="1"/>
  <c r="H12" i="1" s="1"/>
  <c r="F9" i="1"/>
  <c r="F10" i="1"/>
  <c r="H10" i="1" s="1"/>
  <c r="F11" i="1"/>
  <c r="F13" i="1"/>
  <c r="H13" i="1" s="1"/>
  <c r="F14" i="1"/>
  <c r="F15" i="1"/>
  <c r="H15" i="1" s="1"/>
  <c r="F16" i="1"/>
  <c r="G16" i="1" s="1"/>
  <c r="F17" i="1"/>
  <c r="F18" i="1"/>
  <c r="F19" i="1"/>
  <c r="G19" i="1" s="1"/>
  <c r="F20" i="1"/>
  <c r="G20" i="1" s="1"/>
  <c r="F21" i="1"/>
  <c r="F22" i="1"/>
  <c r="F23" i="1"/>
  <c r="F24" i="1"/>
  <c r="F25" i="1"/>
  <c r="F26" i="1"/>
  <c r="G26" i="1" s="1"/>
  <c r="F27" i="1"/>
  <c r="F28" i="1"/>
  <c r="H28" i="1" s="1"/>
  <c r="F29" i="1"/>
  <c r="H29" i="1" s="1"/>
  <c r="F30" i="1"/>
  <c r="G30" i="1" s="1"/>
  <c r="F31" i="1"/>
  <c r="H31" i="1" s="1"/>
  <c r="F32" i="1"/>
  <c r="G32" i="1" s="1"/>
  <c r="H18" i="1"/>
  <c r="F8" i="1"/>
  <c r="H8" i="1" s="1"/>
  <c r="C8" i="1"/>
  <c r="H16" i="1" l="1"/>
  <c r="H20" i="1"/>
  <c r="H11" i="1"/>
  <c r="G11" i="1"/>
  <c r="D11" i="1" s="1"/>
  <c r="G18" i="1"/>
  <c r="H32" i="1"/>
  <c r="H22" i="1"/>
  <c r="G31" i="1"/>
  <c r="G15" i="1"/>
  <c r="G22" i="1"/>
  <c r="H30" i="1"/>
  <c r="G8" i="1"/>
  <c r="D8" i="1" s="1"/>
  <c r="H23" i="1"/>
  <c r="G23" i="1"/>
  <c r="G27" i="1"/>
  <c r="H27" i="1"/>
  <c r="H21" i="1"/>
  <c r="H19" i="1"/>
  <c r="G21" i="1"/>
  <c r="H14" i="1"/>
  <c r="H17" i="1"/>
  <c r="G17" i="1"/>
  <c r="H26" i="1"/>
  <c r="H9" i="1"/>
  <c r="G25" i="1"/>
  <c r="H25" i="1"/>
  <c r="G14" i="1"/>
  <c r="G13" i="1"/>
  <c r="G29" i="1"/>
  <c r="G12" i="1"/>
  <c r="G28" i="1"/>
  <c r="G10" i="1"/>
  <c r="D10" i="1" s="1"/>
  <c r="G9" i="1"/>
  <c r="H24" i="1"/>
  <c r="G24" i="1"/>
  <c r="E8" i="1" l="1"/>
  <c r="D9" i="1"/>
  <c r="C9" i="1"/>
  <c r="J10" i="1" s="1"/>
  <c r="E9" i="1" l="1"/>
  <c r="C10" i="1"/>
  <c r="J11" i="1" s="1"/>
  <c r="E10" i="1" l="1"/>
  <c r="C11" i="1"/>
  <c r="J12" i="1" s="1"/>
  <c r="E11" i="1" l="1"/>
  <c r="C12" i="1"/>
  <c r="J13" i="1" s="1"/>
  <c r="D16" i="1" l="1"/>
  <c r="D30" i="1"/>
  <c r="D32" i="1"/>
  <c r="D29" i="1"/>
  <c r="D17" i="1"/>
  <c r="D26" i="1"/>
  <c r="D28" i="1"/>
  <c r="D24" i="1"/>
  <c r="D21" i="1"/>
  <c r="D18" i="1"/>
  <c r="D14" i="1"/>
  <c r="D13" i="1"/>
  <c r="D19" i="1"/>
  <c r="D27" i="1"/>
  <c r="D25" i="1"/>
  <c r="D23" i="1"/>
  <c r="D20" i="1"/>
  <c r="D22" i="1"/>
  <c r="D31" i="1"/>
  <c r="D12" i="1"/>
  <c r="D15" i="1"/>
  <c r="E12" i="1" l="1"/>
  <c r="C13" i="1"/>
  <c r="J14" i="1" s="1"/>
  <c r="E13" i="1" l="1"/>
  <c r="C14" i="1"/>
  <c r="J15" i="1" s="1"/>
  <c r="E14" i="1" l="1"/>
  <c r="C15" i="1"/>
  <c r="J16" i="1" s="1"/>
  <c r="E15" i="1" l="1"/>
  <c r="C16" i="1"/>
  <c r="J17" i="1" s="1"/>
  <c r="E16" i="1" l="1"/>
  <c r="C17" i="1"/>
  <c r="J18" i="1" s="1"/>
  <c r="E17" i="1" l="1"/>
  <c r="C18" i="1"/>
  <c r="J19" i="1" s="1"/>
  <c r="E18" i="1" l="1"/>
  <c r="C19" i="1"/>
  <c r="J20" i="1" s="1"/>
  <c r="E19" i="1" l="1"/>
  <c r="C20" i="1"/>
  <c r="J21" i="1" s="1"/>
  <c r="E20" i="1" l="1"/>
  <c r="C21" i="1"/>
  <c r="J22" i="1" s="1"/>
  <c r="E21" i="1" l="1"/>
  <c r="C22" i="1"/>
  <c r="J23" i="1" s="1"/>
  <c r="E22" i="1" l="1"/>
  <c r="C23" i="1"/>
  <c r="J24" i="1" s="1"/>
  <c r="E23" i="1" l="1"/>
  <c r="C24" i="1"/>
  <c r="J25" i="1" s="1"/>
  <c r="E24" i="1" l="1"/>
  <c r="C25" i="1"/>
  <c r="J26" i="1" s="1"/>
  <c r="E25" i="1" l="1"/>
  <c r="C26" i="1"/>
  <c r="J27" i="1" s="1"/>
  <c r="E26" i="1" l="1"/>
  <c r="C27" i="1"/>
  <c r="J28" i="1" s="1"/>
  <c r="E27" i="1" l="1"/>
  <c r="C28" i="1"/>
  <c r="J29" i="1" s="1"/>
  <c r="E28" i="1" l="1"/>
  <c r="C29" i="1"/>
  <c r="J30" i="1" s="1"/>
  <c r="E29" i="1" l="1"/>
  <c r="C30" i="1"/>
  <c r="J31" i="1" s="1"/>
  <c r="E30" i="1" l="1"/>
  <c r="C31" i="1"/>
  <c r="J32" i="1" s="1"/>
  <c r="D2" i="1" s="1"/>
  <c r="H4" i="1" s="1"/>
  <c r="H5" i="1" s="1"/>
  <c r="E31" i="1" l="1"/>
  <c r="C32" i="1"/>
  <c r="E32" i="1" l="1"/>
  <c r="G4" i="1" s="1"/>
  <c r="F4" i="1" l="1"/>
  <c r="F5" i="1" s="1"/>
  <c r="G5" i="1"/>
</calcChain>
</file>

<file path=xl/sharedStrings.xml><?xml version="1.0" encoding="utf-8"?>
<sst xmlns="http://schemas.openxmlformats.org/spreadsheetml/2006/main" count="35" uniqueCount="23">
  <si>
    <t>Доход Декабря 2020:</t>
  </si>
  <si>
    <t>Базовый сценарий</t>
  </si>
  <si>
    <t>Выбранный сценарий (выпадающий список)</t>
  </si>
  <si>
    <t>Постоянное негативное влияние</t>
  </si>
  <si>
    <t>Разница</t>
  </si>
  <si>
    <t>Месяц</t>
  </si>
  <si>
    <t>Дпп(в)%</t>
  </si>
  <si>
    <t>Днп(в)%</t>
  </si>
  <si>
    <t>Прибыль%</t>
  </si>
  <si>
    <t>Базовый</t>
  </si>
  <si>
    <t>Нарушение привлечения клиентов</t>
  </si>
  <si>
    <t>Разовый негативный эффект</t>
  </si>
  <si>
    <t>Дпп(б)%</t>
  </si>
  <si>
    <t>Днп(б)%</t>
  </si>
  <si>
    <t>-</t>
  </si>
  <si>
    <t>Доход от постоянных покупателей в процентах от дохода декабря 2020 (выбранный вариант)</t>
  </si>
  <si>
    <t>Доход от новых покупателей в процентах от дохода декабря 2020 (выбранный вариант)</t>
  </si>
  <si>
    <t>Доход от постоянных покупателей в процентах от дохода декабря 2020 (базовый вариант)</t>
  </si>
  <si>
    <t>Доход от новых покупателей в процентах от дохода декабря 2020 (базовый вариант)</t>
  </si>
  <si>
    <t>Сценарий</t>
  </si>
  <si>
    <t>Доход 2023</t>
  </si>
  <si>
    <t>Прибыль 2022-2023</t>
  </si>
  <si>
    <t>Сумма Днп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</si>
</sst>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mm\ yyyy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/>
      </top>
      <bottom/>
      <diagonal/>
    </border>
    <border>
      <left style="thin">
        <color theme="4" tint="0.79998168889431442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39994506668294322"/>
      </bottom>
      <diagonal/>
    </border>
    <border>
      <left style="thin">
        <color theme="4" tint="0.79998168889431442"/>
      </left>
      <right style="thin">
        <color theme="4"/>
      </right>
      <top/>
      <bottom style="thin">
        <color theme="4" tint="0.39994506668294322"/>
      </bottom>
      <diagonal/>
    </border>
    <border>
      <left style="thin">
        <color theme="4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79998168889431442"/>
      </left>
      <right style="thin">
        <color theme="4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/>
      </left>
      <right/>
      <top style="thin">
        <color theme="4" tint="0.39994506668294322"/>
      </top>
      <bottom style="thin">
        <color theme="4"/>
      </bottom>
      <diagonal/>
    </border>
    <border>
      <left/>
      <right/>
      <top style="thin">
        <color theme="4" tint="0.39994506668294322"/>
      </top>
      <bottom style="thin">
        <color theme="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39994506668294322"/>
      </top>
      <bottom style="thin">
        <color theme="4"/>
      </bottom>
      <diagonal/>
    </border>
    <border>
      <left style="thin">
        <color theme="4" tint="0.79998168889431442"/>
      </left>
      <right style="thin">
        <color theme="4"/>
      </right>
      <top style="thin">
        <color theme="4" tint="0.39994506668294322"/>
      </top>
      <bottom style="thin">
        <color theme="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 applyAlignment="1">
      <alignment vertical="center"/>
    </xf>
    <xf numFmtId="2" fontId="0" fillId="2" borderId="0" xfId="0" applyNumberFormat="1" applyFill="1"/>
    <xf numFmtId="0" fontId="0" fillId="2" borderId="0" xfId="0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vertical="center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 wrapText="1"/>
    </xf>
    <xf numFmtId="2" fontId="0" fillId="0" borderId="0" xfId="0" applyNumberFormat="1" applyFill="1" applyAlignment="1">
      <alignment horizontal="center" vertical="top" wrapText="1"/>
    </xf>
    <xf numFmtId="2" fontId="0" fillId="0" borderId="0" xfId="0" applyNumberFormat="1" applyFill="1" applyAlignment="1">
      <alignment vertical="top" wrapText="1"/>
    </xf>
    <xf numFmtId="165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vertical="center"/>
    </xf>
    <xf numFmtId="2" fontId="0" fillId="2" borderId="1" xfId="0" applyNumberFormat="1" applyFill="1" applyBorder="1"/>
    <xf numFmtId="2" fontId="1" fillId="3" borderId="4" xfId="0" applyNumberFormat="1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vertical="center"/>
    </xf>
    <xf numFmtId="3" fontId="0" fillId="2" borderId="8" xfId="0" applyNumberFormat="1" applyFill="1" applyBorder="1" applyAlignment="1">
      <alignment vertical="center"/>
    </xf>
    <xf numFmtId="3" fontId="0" fillId="2" borderId="12" xfId="0" applyNumberFormat="1" applyFill="1" applyBorder="1" applyAlignment="1">
      <alignment vertical="center"/>
    </xf>
    <xf numFmtId="0" fontId="0" fillId="2" borderId="14" xfId="0" applyFill="1" applyBorder="1"/>
    <xf numFmtId="0" fontId="0" fillId="2" borderId="15" xfId="0" applyFill="1" applyBorder="1"/>
    <xf numFmtId="2" fontId="0" fillId="2" borderId="15" xfId="0" applyNumberFormat="1" applyFill="1" applyBorder="1"/>
    <xf numFmtId="3" fontId="0" fillId="2" borderId="15" xfId="0" applyNumberFormat="1" applyFill="1" applyBorder="1"/>
    <xf numFmtId="3" fontId="0" fillId="2" borderId="16" xfId="0" applyNumberFormat="1" applyFill="1" applyBorder="1"/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2" fontId="0" fillId="4" borderId="11" xfId="0" applyNumberFormat="1" applyFill="1" applyBorder="1" applyAlignment="1">
      <alignment vertical="center"/>
    </xf>
    <xf numFmtId="10" fontId="0" fillId="2" borderId="16" xfId="0" applyNumberFormat="1" applyFill="1" applyBorder="1" applyAlignment="1">
      <alignment horizontal="center"/>
    </xf>
    <xf numFmtId="10" fontId="0" fillId="2" borderId="17" xfId="0" applyNumberFormat="1" applyFill="1" applyBorder="1" applyAlignment="1">
      <alignment horizont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 vertical="center"/>
    </xf>
    <xf numFmtId="3" fontId="0" fillId="2" borderId="9" xfId="0" applyNumberFormat="1" applyFill="1" applyBorder="1" applyAlignment="1">
      <alignment horizontal="center" vertical="center"/>
    </xf>
    <xf numFmtId="3" fontId="0" fillId="2" borderId="12" xfId="0" applyNumberFormat="1" applyFill="1" applyBorder="1" applyAlignment="1">
      <alignment horizontal="center" vertical="center"/>
    </xf>
    <xf numFmtId="3" fontId="0" fillId="2" borderId="13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12"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mmmm\ yyyy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AEF509-70CE-47C1-8712-313C4B3D329B}" name="ТПроноз" displayName="ТПроноз" ref="B7:K32" totalsRowShown="0" headerRowDxfId="11" dataDxfId="10">
  <tableColumns count="10">
    <tableColumn id="1" xr3:uid="{F3A891C0-22A8-45BD-9113-8B852670506B}" name="Месяц" dataDxfId="3"/>
    <tableColumn id="2" xr3:uid="{DBCC8F7E-B02D-4FB3-9DEA-3262E5671532}" name="Дпп(в)%" dataDxfId="9">
      <calculatedColumnFormula>IFERROR(OFFSET(ТПроноз[[#This Row],[Дпп(в)%]],-1,0)+(OFFSET(ТПроноз[[#This Row],[Днп(в)%]],-1,0)-OFFSET(ТПроноз[[#This Row],[Дпп(в)%]],-1,0)*0.09)*0.11,90)</calculatedColumnFormula>
    </tableColumn>
    <tableColumn id="3" xr3:uid="{F13738E0-80E7-4AEF-B781-B76BD02F3C35}" name="Днп(в)%" dataDxfId="8">
      <calculatedColumnFormula>10*OFFSET(ТПроноз[[#This Row],[Месяц]],0,MATCH($E$4,ТПроноз[#Headers],0)-1)</calculatedColumnFormula>
    </tableColumn>
    <tableColumn id="8" xr3:uid="{50D856EC-A78D-4093-879D-6ECB9E931B35}" name="Прибыль%" dataDxfId="7">
      <calculatedColumnFormula>ТПроноз[[#This Row],[Дпп(в)%]]-ТПроноз[[#This Row],[Дпп(в)%]]*0.4+ТПроноз[[#This Row],[Днп(в)%]]-ТПроноз[[#This Row],[Днп(в)%]]*0.7</calculatedColumnFormula>
    </tableColumn>
    <tableColumn id="4" xr3:uid="{F601EE4D-1F88-420C-B497-E40B70AC69A1}" name="Базовый" dataDxfId="6">
      <calculatedColumnFormula>MAX(MIN(1+0.02*12/365*_xlfn.DAYS(EOMONTH(ТПроноз[[#This Row],[Месяц]],0),"01.01.2022"),1.24),1)</calculatedColumnFormula>
    </tableColumn>
    <tableColumn id="5" xr3:uid="{C5C88BDD-65C1-4750-A8B2-447886ACA38A}" name="Нарушение привлечения клиентов" dataDxfId="5">
      <calculatedColumnFormula>MIN(0.95^(_xlfn.DAYS(EOMONTH(ТПроноз[[#This Row],[Месяц]],0),"01.04.2022")/21),1)*ТПроноз[[#This Row],[Базовый]]</calculatedColumnFormula>
    </tableColumn>
    <tableColumn id="6" xr3:uid="{CCF7D5DA-9D2B-444C-AF2C-D4F17DB2501E}" name="Постоянное негативное влияние" dataDxfId="4">
      <calculatedColumnFormula>IF(ТПроноз[[#This Row],[Месяц]]&gt;=DATE(2022,4,1),0.93*ТПроноз[[#This Row],[Базовый]],ТПроноз[[#This Row],[Базовый]])</calculatedColumnFormula>
    </tableColumn>
    <tableColumn id="7" xr3:uid="{683DEB0E-9D5C-44B6-9169-53317CF40714}" name="Разовый негативный эффект" dataDxfId="0">
      <calculatedColumnFormula>IF(ТПроноз[[#This Row],[Месяц]]=DATE(2022,4,1),ТПроноз[[#This Row],[Базовый]]-0.0375*VLOOKUP(DATE(2022,4,1),ТПроноз[],5,FALSE),ТПроноз[[#This Row],[Базовый]])</calculatedColumnFormula>
    </tableColumn>
    <tableColumn id="12" xr3:uid="{E6940D36-85AE-49D8-A2D3-3D008795A88F}" name="Дпп(б)%" dataDxfId="2">
      <calculatedColumnFormula>IFERROR(OFFSET(ТПроноз[[#This Row],[Дпп(б)%]],-1,0)+(OFFSET(ТПроноз[[#This Row],[Днп(б)%]],-1,0)-OFFSET(ТПроноз[[#This Row],[Дпп(б)%]],-1,0)*0.09)*0.11,90)</calculatedColumnFormula>
    </tableColumn>
    <tableColumn id="11" xr3:uid="{9EC2A673-1FDB-4283-A95B-31E001A9288C}" name="Днп(б)%" dataDxfId="1">
      <calculatedColumnFormula>10*ТПроноз[[#This Row],[Базовый]]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0A1AC5-81F4-41D4-9E99-75A8F1D08441}" name="ТСценарии" displayName="ТСценарии" ref="A1:A5" totalsRowShown="0">
  <autoFilter ref="A1:A5" xr:uid="{060A1AC5-81F4-41D4-9E99-75A8F1D08441}"/>
  <tableColumns count="1">
    <tableColumn id="1" xr3:uid="{9DE8EAE9-645D-4042-9BC7-F61E3CB06221}" name="Сценарий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0814-7E6B-4DBA-AB89-3923673C91C6}">
  <dimension ref="B2:K37"/>
  <sheetViews>
    <sheetView tabSelected="1" workbookViewId="0">
      <selection activeCell="E4" sqref="E4"/>
    </sheetView>
  </sheetViews>
  <sheetFormatPr defaultColWidth="9" defaultRowHeight="14.25" outlineLevelCol="1" x14ac:dyDescent="0.45"/>
  <cols>
    <col min="1" max="1" width="5.06640625" style="3" customWidth="1"/>
    <col min="2" max="2" width="14.19921875" style="3" customWidth="1"/>
    <col min="3" max="3" width="7.73046875" style="3" bestFit="1" customWidth="1"/>
    <col min="4" max="4" width="18" style="2" customWidth="1"/>
    <col min="5" max="5" width="29.86328125" style="2" bestFit="1" customWidth="1"/>
    <col min="6" max="6" width="14.3984375" style="2" customWidth="1"/>
    <col min="7" max="7" width="17.59765625" style="2" bestFit="1" customWidth="1"/>
    <col min="8" max="8" width="14.59765625" style="3" customWidth="1"/>
    <col min="9" max="9" width="12.265625" style="3" customWidth="1"/>
    <col min="10" max="10" width="12.265625" style="3" customWidth="1" outlineLevel="1"/>
    <col min="11" max="11" width="9" style="3" customWidth="1" outlineLevel="1"/>
    <col min="12" max="16384" width="9" style="3"/>
  </cols>
  <sheetData>
    <row r="2" spans="2:11" x14ac:dyDescent="0.45">
      <c r="B2" s="25" t="s">
        <v>0</v>
      </c>
      <c r="C2" s="26"/>
      <c r="D2" s="27">
        <f ca="1">100000000/(SUMIF(ТПроноз[Месяц],"&gt;="&amp;DATE(2023,1,1),ТПроноз[Дпп(б)%])+SUMIF(ТПроноз[Месяц],"&gt;="&amp;DATE(2023,1,1),ТПроноз[Днп(б)%]))*100</f>
        <v>7652420.0412217816</v>
      </c>
      <c r="E2" s="15"/>
      <c r="F2" s="16" t="s">
        <v>20</v>
      </c>
      <c r="G2" s="16" t="s">
        <v>21</v>
      </c>
      <c r="H2" s="35" t="s">
        <v>22</v>
      </c>
      <c r="I2" s="36"/>
      <c r="J2" s="1"/>
    </row>
    <row r="3" spans="2:11" x14ac:dyDescent="0.45">
      <c r="B3" s="33" t="s">
        <v>1</v>
      </c>
      <c r="C3" s="34"/>
      <c r="D3" s="34"/>
      <c r="E3" s="17"/>
      <c r="F3" s="18">
        <v>100000000</v>
      </c>
      <c r="G3" s="18">
        <v>110281138.17804031</v>
      </c>
      <c r="H3" s="37">
        <v>21752664.381505236</v>
      </c>
      <c r="I3" s="38"/>
      <c r="J3" s="1"/>
    </row>
    <row r="4" spans="2:11" x14ac:dyDescent="0.45">
      <c r="B4" s="31" t="s">
        <v>2</v>
      </c>
      <c r="C4" s="32"/>
      <c r="D4" s="32"/>
      <c r="E4" s="28" t="s">
        <v>3</v>
      </c>
      <c r="F4" s="19">
        <f ca="1">$D$2/100*(SUMIF(ТПроноз[Месяц],"&gt;="&amp;DATE(2023,1,1),ТПроноз[Дпп(в)%])+SUMIF(ТПроноз[Месяц],"&gt;="&amp;DATE(2023,1,1),ТПроноз[Днп(в)%]))</f>
        <v>98063925.747328997</v>
      </c>
      <c r="G4" s="19">
        <f ca="1">$D$2/100*SUMIF(ТПроноз[Месяц],"&gt;="&amp;DATE(2022,1,1),ТПроноз[Прибыль%])</f>
        <v>109051003.25928973</v>
      </c>
      <c r="H4" s="39">
        <f ca="1">$D$2/100*SUMIF(ТПроноз[Месяц],"&gt;="&amp;DATE(2022,1,1),ТПроноз[Днп(в)%])</f>
        <v>20396913.006962687</v>
      </c>
      <c r="I4" s="40"/>
      <c r="J4" s="1"/>
    </row>
    <row r="5" spans="2:11" x14ac:dyDescent="0.45">
      <c r="B5" s="20" t="s">
        <v>4</v>
      </c>
      <c r="C5" s="21"/>
      <c r="D5" s="22"/>
      <c r="E5" s="23"/>
      <c r="F5" s="24">
        <f ca="1">F4-F3</f>
        <v>-1936074.2526710033</v>
      </c>
      <c r="G5" s="24">
        <f ca="1">G4-G3</f>
        <v>-1230134.9187505841</v>
      </c>
      <c r="H5" s="29">
        <f ca="1">H4/H3-1</f>
        <v>-6.2325761606254027E-2</v>
      </c>
      <c r="I5" s="30"/>
    </row>
    <row r="7" spans="2:11" ht="42.75" x14ac:dyDescent="0.45">
      <c r="B7" s="7" t="s">
        <v>5</v>
      </c>
      <c r="C7" s="8" t="s">
        <v>6</v>
      </c>
      <c r="D7" s="9" t="s">
        <v>7</v>
      </c>
      <c r="E7" s="9" t="s">
        <v>8</v>
      </c>
      <c r="F7" s="9" t="s">
        <v>9</v>
      </c>
      <c r="G7" s="9" t="s">
        <v>10</v>
      </c>
      <c r="H7" s="8" t="s">
        <v>3</v>
      </c>
      <c r="I7" s="9" t="s">
        <v>11</v>
      </c>
      <c r="J7" s="9" t="s">
        <v>12</v>
      </c>
      <c r="K7" s="10" t="s">
        <v>13</v>
      </c>
    </row>
    <row r="8" spans="2:11" x14ac:dyDescent="0.45">
      <c r="B8" s="11">
        <v>44531</v>
      </c>
      <c r="C8" s="12">
        <f ca="1">IFERROR(OFFSET(ТПроноз[[#This Row],[Дпп(в)%]],-1,0)+(OFFSET(ТПроноз[[#This Row],[Днп(в)%]],-1,0)-OFFSET(ТПроноз[[#This Row],[Дпп(в)%]],-1,0)*0.09)*0.11,90)</f>
        <v>90</v>
      </c>
      <c r="D8" s="13">
        <f ca="1">10*OFFSET(ТПроноз[[#This Row],[Месяц]],0,MATCH($E$4,ТПроноз[#Headers],0)-1)</f>
        <v>10</v>
      </c>
      <c r="E8" s="13">
        <f ca="1">ТПроноз[[#This Row],[Дпп(в)%]]-ТПроноз[[#This Row],[Дпп(в)%]]*0.4+ТПроноз[[#This Row],[Днп(в)%]]-ТПроноз[[#This Row],[Днп(в)%]]*0.7</f>
        <v>57</v>
      </c>
      <c r="F8" s="13">
        <f>MAX(MIN(1+0.02*12/365*_xlfn.DAYS(EOMONTH(ТПроноз[[#This Row],[Месяц]],0),"01.01.2022"),1.24),1)</f>
        <v>1</v>
      </c>
      <c r="G8" s="13">
        <f>MIN(0.95^(_xlfn.DAYS(EOMONTH(ТПроноз[[#This Row],[Месяц]],0),"01.04.2022")/21),1)*ТПроноз[[#This Row],[Базовый]]</f>
        <v>1</v>
      </c>
      <c r="H8" s="13">
        <f>IF(ТПроноз[[#This Row],[Месяц]]&gt;=DATE(2022,4,1),0.93*ТПроноз[[#This Row],[Базовый]],ТПроноз[[#This Row],[Базовый]])</f>
        <v>1</v>
      </c>
      <c r="I8" s="13">
        <f>IF(ТПроноз[[#This Row],[Месяц]]=DATE(2022,4,1),ТПроноз[[#This Row],[Базовый]]-0.0375*VLOOKUP(DATE(2022,4,1),ТПроноз[],5,FALSE),ТПроноз[[#This Row],[Базовый]])</f>
        <v>1</v>
      </c>
      <c r="J8" s="13">
        <f ca="1">IFERROR(OFFSET(ТПроноз[[#This Row],[Дпп(б)%]],-1,0)+(OFFSET(ТПроноз[[#This Row],[Днп(б)%]],-1,0)-OFFSET(ТПроноз[[#This Row],[Дпп(б)%]],-1,0)*0.09)*0.11,90)</f>
        <v>90</v>
      </c>
      <c r="K8" s="14">
        <f>10*ТПроноз[[#This Row],[Базовый]]</f>
        <v>10</v>
      </c>
    </row>
    <row r="9" spans="2:11" x14ac:dyDescent="0.45">
      <c r="B9" s="11">
        <v>44562</v>
      </c>
      <c r="C9" s="12">
        <f ca="1">IFERROR(OFFSET(ТПроноз[[#This Row],[Дпп(в)%]],-1,0)+(OFFSET(ТПроноз[[#This Row],[Днп(в)%]],-1,0)-OFFSET(ТПроноз[[#This Row],[Дпп(в)%]],-1,0)*0.09)*0.11,90)</f>
        <v>90.209000000000003</v>
      </c>
      <c r="D9" s="13">
        <f ca="1">10*OFFSET(ТПроноз[[#This Row],[Месяц]],0,MATCH($E$4,ТПроноз[#Headers],0)-1)</f>
        <v>10.197260273972603</v>
      </c>
      <c r="E9" s="13">
        <f ca="1">ТПроноз[[#This Row],[Дпп(в)%]]-ТПроноз[[#This Row],[Дпп(в)%]]*0.4+ТПроноз[[#This Row],[Днп(в)%]]-ТПроноз[[#This Row],[Днп(в)%]]*0.7</f>
        <v>57.184578082191777</v>
      </c>
      <c r="F9" s="13">
        <f>MAX(MIN(1+0.02*12/365*_xlfn.DAYS(EOMONTH(ТПроноз[[#This Row],[Месяц]],0),"01.01.2022"),1.24),1)</f>
        <v>1.0197260273972604</v>
      </c>
      <c r="G9" s="13">
        <f>MIN(0.95^(_xlfn.DAYS(EOMONTH(ТПроноз[[#This Row],[Месяц]],0),"01.04.2022")/21),1)*ТПроноз[[#This Row],[Базовый]]</f>
        <v>1.0197260273972604</v>
      </c>
      <c r="H9" s="13">
        <f>IF(ТПроноз[[#This Row],[Месяц]]&gt;=DATE(2022,4,1),0.93*ТПроноз[[#This Row],[Базовый]],ТПроноз[[#This Row],[Базовый]])</f>
        <v>1.0197260273972604</v>
      </c>
      <c r="I9" s="13">
        <f>IF(ТПроноз[[#This Row],[Месяц]]=DATE(2022,4,1),ТПроноз[[#This Row],[Базовый]]-0.0375*VLOOKUP(DATE(2022,4,1),ТПроноз[],5,FALSE),ТПроноз[[#This Row],[Базовый]])</f>
        <v>1.0197260273972604</v>
      </c>
      <c r="J9" s="13">
        <f ca="1">IFERROR(OFFSET(ТПроноз[[#This Row],[Дпп(б)%]],-1,0)+(OFFSET(ТПроноз[[#This Row],[Днп(б)%]],-1,0)-OFFSET(ТПроноз[[#This Row],[Дпп(б)%]],-1,0)*0.09)*0.11,90)</f>
        <v>90.209000000000003</v>
      </c>
      <c r="K9" s="14">
        <f>10*ТПроноз[[#This Row],[Базовый]]</f>
        <v>10.197260273972603</v>
      </c>
    </row>
    <row r="10" spans="2:11" x14ac:dyDescent="0.45">
      <c r="B10" s="11">
        <v>44593</v>
      </c>
      <c r="C10" s="12">
        <f ca="1">IFERROR(OFFSET(ТПроноз[[#This Row],[Дпп(в)%]],-1,0)+(OFFSET(ТПроноз[[#This Row],[Днп(в)%]],-1,0)-OFFSET(ТПроноз[[#This Row],[Дпп(в)%]],-1,0)*0.09)*0.11,90)</f>
        <v>90.437629530136988</v>
      </c>
      <c r="D10" s="13">
        <f ca="1">10*OFFSET(ТПроноз[[#This Row],[Месяц]],0,MATCH($E$4,ТПроноз[#Headers],0)-1)</f>
        <v>10.381369863013699</v>
      </c>
      <c r="E10" s="13">
        <f ca="1">ТПроноз[[#This Row],[Дпп(в)%]]-ТПроноз[[#This Row],[Дпп(в)%]]*0.4+ТПроноз[[#This Row],[Днп(в)%]]-ТПроноз[[#This Row],[Днп(в)%]]*0.7</f>
        <v>57.376988676986301</v>
      </c>
      <c r="F10" s="13">
        <f>MAX(MIN(1+0.02*12/365*_xlfn.DAYS(EOMONTH(ТПроноз[[#This Row],[Месяц]],0),"01.01.2022"),1.24),1)</f>
        <v>1.0381369863013699</v>
      </c>
      <c r="G10" s="13">
        <f>MIN(0.95^(_xlfn.DAYS(EOMONTH(ТПроноз[[#This Row],[Месяц]],0),"01.04.2022")/21),1)*ТПроноз[[#This Row],[Базовый]]</f>
        <v>1.0381369863013699</v>
      </c>
      <c r="H10" s="13">
        <f>IF(ТПроноз[[#This Row],[Месяц]]&gt;=DATE(2022,4,1),0.93*ТПроноз[[#This Row],[Базовый]],ТПроноз[[#This Row],[Базовый]])</f>
        <v>1.0381369863013699</v>
      </c>
      <c r="I10" s="13">
        <f>IF(ТПроноз[[#This Row],[Месяц]]=DATE(2022,4,1),ТПроноз[[#This Row],[Базовый]]-0.0375*VLOOKUP(DATE(2022,4,1),ТПроноз[],5,FALSE),ТПроноз[[#This Row],[Базовый]])</f>
        <v>1.0381369863013699</v>
      </c>
      <c r="J10" s="13">
        <f ca="1">IFERROR(OFFSET(ТПроноз[[#This Row],[Дпп(б)%]],-1,0)+(OFFSET(ТПроноз[[#This Row],[Днп(б)%]],-1,0)-OFFSET(ТПроноз[[#This Row],[Дпп(б)%]],-1,0)*0.09)*0.11,90)</f>
        <v>90.437629530136988</v>
      </c>
      <c r="K10" s="14">
        <f>10*ТПроноз[[#This Row],[Базовый]]</f>
        <v>10.381369863013699</v>
      </c>
    </row>
    <row r="11" spans="2:11" x14ac:dyDescent="0.45">
      <c r="B11" s="11">
        <v>44621</v>
      </c>
      <c r="C11" s="12">
        <f ca="1">IFERROR(OFFSET(ТПроноз[[#This Row],[Дпп(в)%]],-1,0)+(OFFSET(ТПроноз[[#This Row],[Днп(в)%]],-1,0)-OFFSET(ТПроноз[[#This Row],[Дпп(в)%]],-1,0)*0.09)*0.11,90)</f>
        <v>90.684247682720141</v>
      </c>
      <c r="D11" s="13">
        <f ca="1">10*OFFSET(ТПроноз[[#This Row],[Месяц]],0,MATCH($E$4,ТПроноз[#Headers],0)-1)</f>
        <v>10.585205479452055</v>
      </c>
      <c r="E11" s="13">
        <f ca="1">ТПроноз[[#This Row],[Дпп(в)%]]-ТПроноз[[#This Row],[Дпп(в)%]]*0.4+ТПроноз[[#This Row],[Днп(в)%]]-ТПроноз[[#This Row],[Днп(в)%]]*0.7</f>
        <v>57.586110253467695</v>
      </c>
      <c r="F11" s="13">
        <f>MAX(MIN(1+0.02*12/365*_xlfn.DAYS(EOMONTH(ТПроноз[[#This Row],[Месяц]],0),"01.01.2022"),1.24),1)</f>
        <v>1.0585205479452056</v>
      </c>
      <c r="G11" s="13">
        <f>MIN(0.95^(_xlfn.DAYS(EOMONTH(ТПроноз[[#This Row],[Месяц]],0),"01.04.2022")/21),1)*ТПроноз[[#This Row],[Базовый]]</f>
        <v>1.0585205479452056</v>
      </c>
      <c r="H11" s="13">
        <f>IF(ТПроноз[[#This Row],[Месяц]]&gt;=DATE(2022,4,1),0.93*ТПроноз[[#This Row],[Базовый]],ТПроноз[[#This Row],[Базовый]])</f>
        <v>1.0585205479452056</v>
      </c>
      <c r="I11" s="13">
        <f>IF(ТПроноз[[#This Row],[Месяц]]=DATE(2022,4,1),ТПроноз[[#This Row],[Базовый]]-0.0375*VLOOKUP(DATE(2022,4,1),ТПроноз[],5,FALSE),ТПроноз[[#This Row],[Базовый]])</f>
        <v>1.0585205479452056</v>
      </c>
      <c r="J11" s="13">
        <f ca="1">IFERROR(OFFSET(ТПроноз[[#This Row],[Дпп(б)%]],-1,0)+(OFFSET(ТПроноз[[#This Row],[Днп(б)%]],-1,0)-OFFSET(ТПроноз[[#This Row],[Дпп(б)%]],-1,0)*0.09)*0.11,90)</f>
        <v>90.684247682720141</v>
      </c>
      <c r="K11" s="14">
        <f>10*ТПроноз[[#This Row],[Базовый]]</f>
        <v>10.585205479452055</v>
      </c>
    </row>
    <row r="12" spans="2:11" x14ac:dyDescent="0.45">
      <c r="B12" s="11">
        <v>44652</v>
      </c>
      <c r="C12" s="12">
        <f ca="1">IFERROR(OFFSET(ТПроноз[[#This Row],[Дпп(в)%]],-1,0)+(OFFSET(ТПроноз[[#This Row],[Днп(в)%]],-1,0)-OFFSET(ТПроноз[[#This Row],[Дпп(в)%]],-1,0)*0.09)*0.11,90)</f>
        <v>90.950846233400938</v>
      </c>
      <c r="D12" s="13">
        <f ca="1">10*OFFSET(ТПроноз[[#This Row],[Месяц]],0,MATCH($E$4,ТПроноз[#Headers],0)-1)</f>
        <v>10.027693150684931</v>
      </c>
      <c r="E12" s="13">
        <f ca="1">ТПроноз[[#This Row],[Дпп(в)%]]-ТПроноз[[#This Row],[Дпп(в)%]]*0.4+ТПроноз[[#This Row],[Днп(в)%]]-ТПроноз[[#This Row],[Днп(в)%]]*0.7</f>
        <v>57.578815685246042</v>
      </c>
      <c r="F12" s="13">
        <f>MAX(MIN(1+0.02*12/365*_xlfn.DAYS(EOMONTH(ТПроноз[[#This Row],[Месяц]],0),"01.01.2022"),1.24),1)</f>
        <v>1.0782465753424657</v>
      </c>
      <c r="G12" s="13">
        <f>MIN(0.95^(_xlfn.DAYS(EOMONTH(ТПроноз[[#This Row],[Месяц]],0),"01.04.2022")/21),1)*ТПроноз[[#This Row],[Базовый]]</f>
        <v>1.00451273526316</v>
      </c>
      <c r="H12" s="13">
        <f>IF(ТПроноз[[#This Row],[Месяц]]&gt;=DATE(2022,4,1),0.93*ТПроноз[[#This Row],[Базовый]],ТПроноз[[#This Row],[Базовый]])</f>
        <v>1.0027693150684931</v>
      </c>
      <c r="I12" s="13">
        <f>IF(ТПроноз[[#This Row],[Месяц]]=DATE(2022,4,1),ТПроноз[[#This Row],[Базовый]]-0.0375*VLOOKUP(DATE(2022,4,1),ТПроноз[],5,FALSE),ТПроноз[[#This Row],[Базовый]])</f>
        <v>1.0378123287671233</v>
      </c>
      <c r="J12" s="13">
        <f ca="1">IFERROR(OFFSET(ТПроноз[[#This Row],[Дпп(б)%]],-1,0)+(OFFSET(ТПроноз[[#This Row],[Днп(б)%]],-1,0)-OFFSET(ТПроноз[[#This Row],[Дпп(б)%]],-1,0)*0.09)*0.11,90)</f>
        <v>90.950846233400938</v>
      </c>
      <c r="K12" s="14">
        <f>10*ТПроноз[[#This Row],[Базовый]]</f>
        <v>10.782465753424656</v>
      </c>
    </row>
    <row r="13" spans="2:11" x14ac:dyDescent="0.45">
      <c r="B13" s="11">
        <v>44682</v>
      </c>
      <c r="C13" s="12">
        <f ca="1">IFERROR(OFFSET(ТПроноз[[#This Row],[Дпп(в)%]],-1,0)+(OFFSET(ТПроноз[[#This Row],[Днп(в)%]],-1,0)-OFFSET(ТПроноз[[#This Row],[Дпп(в)%]],-1,0)*0.09)*0.11,90)</f>
        <v>91.153479102265607</v>
      </c>
      <c r="D13" s="13">
        <f ca="1">10*OFFSET(ТПроноз[[#This Row],[Месяц]],0,MATCH($E$4,ТПроноз[#Headers],0)-1)</f>
        <v>10.217260273972604</v>
      </c>
      <c r="E13" s="13">
        <f ca="1">ТПроноз[[#This Row],[Дпп(в)%]]-ТПроноз[[#This Row],[Дпп(в)%]]*0.4+ТПроноз[[#This Row],[Днп(в)%]]-ТПроноз[[#This Row],[Днп(в)%]]*0.7</f>
        <v>57.757265543551142</v>
      </c>
      <c r="F13" s="13">
        <f>MAX(MIN(1+0.02*12/365*_xlfn.DAYS(EOMONTH(ТПроноз[[#This Row],[Месяц]],0),"01.01.2022"),1.24),1)</f>
        <v>1.0986301369863014</v>
      </c>
      <c r="G13" s="13">
        <f>MIN(0.95^(_xlfn.DAYS(EOMONTH(ТПроноз[[#This Row],[Месяц]],0),"01.04.2022")/21),1)*ТПроноз[[#This Row],[Базовый]]</f>
        <v>0.9488655214413535</v>
      </c>
      <c r="H13" s="13">
        <f>IF(ТПроноз[[#This Row],[Месяц]]&gt;=DATE(2022,4,1),0.93*ТПроноз[[#This Row],[Базовый]],ТПроноз[[#This Row],[Базовый]])</f>
        <v>1.0217260273972604</v>
      </c>
      <c r="I13" s="13">
        <f>IF(ТПроноз[[#This Row],[Месяц]]=DATE(2022,4,1),ТПроноз[[#This Row],[Базовый]]-0.0375*VLOOKUP(DATE(2022,4,1),ТПроноз[],5,FALSE),ТПроноз[[#This Row],[Базовый]])</f>
        <v>1.0986301369863014</v>
      </c>
      <c r="J13" s="13">
        <f ca="1">IFERROR(OFFSET(ТПроноз[[#This Row],[Дпп(б)%]],-1,0)+(OFFSET(ТПроноз[[#This Row],[Днп(б)%]],-1,0)-OFFSET(ТПроноз[[#This Row],[Дпп(б)%]],-1,0)*0.09)*0.11,90)</f>
        <v>91.236504088566974</v>
      </c>
      <c r="K13" s="14">
        <f>10*ТПроноз[[#This Row],[Базовый]]</f>
        <v>10.986301369863014</v>
      </c>
    </row>
    <row r="14" spans="2:11" x14ac:dyDescent="0.45">
      <c r="B14" s="11">
        <v>44713</v>
      </c>
      <c r="C14" s="12">
        <f ca="1">IFERROR(OFFSET(ТПроноз[[#This Row],[Дпп(в)%]],-1,0)+(OFFSET(ТПроноз[[#This Row],[Днп(в)%]],-1,0)-OFFSET(ТПроноз[[#This Row],[Дпп(в)%]],-1,0)*0.09)*0.11,90)</f>
        <v>91.374958289290163</v>
      </c>
      <c r="D14" s="13">
        <f ca="1">10*OFFSET(ТПроноз[[#This Row],[Месяц]],0,MATCH($E$4,ТПроноз[#Headers],0)-1)</f>
        <v>10.400712328767124</v>
      </c>
      <c r="E14" s="13">
        <f ca="1">ТПроноз[[#This Row],[Дпп(в)%]]-ТПроноз[[#This Row],[Дпп(в)%]]*0.4+ТПроноз[[#This Row],[Днп(в)%]]-ТПроноз[[#This Row],[Днп(в)%]]*0.7</f>
        <v>57.945188672204225</v>
      </c>
      <c r="F14" s="13">
        <f>MAX(MIN(1+0.02*12/365*_xlfn.DAYS(EOMONTH(ТПроноз[[#This Row],[Месяц]],0),"01.01.2022"),1.24),1)</f>
        <v>1.1183561643835616</v>
      </c>
      <c r="G14" s="13">
        <f>MIN(0.95^(_xlfn.DAYS(EOMONTH(ТПроноз[[#This Row],[Месяц]],0),"01.04.2022")/21),1)*ТПроноз[[#This Row],[Базовый]]</f>
        <v>0.89765586521083163</v>
      </c>
      <c r="H14" s="13">
        <f>IF(ТПроноз[[#This Row],[Месяц]]&gt;=DATE(2022,4,1),0.93*ТПроноз[[#This Row],[Базовый]],ТПроноз[[#This Row],[Базовый]])</f>
        <v>1.0400712328767123</v>
      </c>
      <c r="I14" s="13">
        <f>IF(ТПроноз[[#This Row],[Месяц]]=DATE(2022,4,1),ТПроноз[[#This Row],[Базовый]]-0.0375*VLOOKUP(DATE(2022,4,1),ТПроноз[],5,FALSE),ТПроноз[[#This Row],[Базовый]])</f>
        <v>1.1183561643835616</v>
      </c>
      <c r="J14" s="13">
        <f ca="1">IFERROR(OFFSET(ТПроноз[[#This Row],[Дпп(б)%]],-1,0)+(OFFSET(ТПроноз[[#This Row],[Днп(б)%]],-1,0)-OFFSET(ТПроноз[[#This Row],[Дпп(б)%]],-1,0)*0.09)*0.11,90)</f>
        <v>91.541755848775097</v>
      </c>
      <c r="K14" s="14">
        <f>10*ТПроноз[[#This Row],[Базовый]]</f>
        <v>11.183561643835615</v>
      </c>
    </row>
    <row r="15" spans="2:11" x14ac:dyDescent="0.45">
      <c r="B15" s="11">
        <v>44743</v>
      </c>
      <c r="C15" s="12">
        <f ca="1">IFERROR(OFFSET(ТПроноз[[#This Row],[Дпп(в)%]],-1,0)+(OFFSET(ТПроноз[[#This Row],[Днп(в)%]],-1,0)-OFFSET(ТПроноз[[#This Row],[Дпп(в)%]],-1,0)*0.09)*0.11,90)</f>
        <v>91.614424558390567</v>
      </c>
      <c r="D15" s="13">
        <f ca="1">10*OFFSET(ТПроноз[[#This Row],[Месяц]],0,MATCH($E$4,ТПроноз[#Headers],0)-1)</f>
        <v>10.590279452054796</v>
      </c>
      <c r="E15" s="13">
        <f ca="1">ТПроноз[[#This Row],[Дпп(в)%]]-ТПроноз[[#This Row],[Дпп(в)%]]*0.4+ТПроноз[[#This Row],[Днп(в)%]]-ТПроноз[[#This Row],[Днп(в)%]]*0.7</f>
        <v>58.145738570650778</v>
      </c>
      <c r="F15" s="13">
        <f>MAX(MIN(1+0.02*12/365*_xlfn.DAYS(EOMONTH(ТПроноз[[#This Row],[Месяц]],0),"01.01.2022"),1.24),1)</f>
        <v>1.1387397260273973</v>
      </c>
      <c r="G15" s="13">
        <f>MIN(0.95^(_xlfn.DAYS(EOMONTH(ТПроноз[[#This Row],[Месяц]],0),"01.04.2022")/21),1)*ТПроноз[[#This Row],[Базовый]]</f>
        <v>0.8473639955915736</v>
      </c>
      <c r="H15" s="13">
        <f>IF(ТПроноз[[#This Row],[Месяц]]&gt;=DATE(2022,4,1),0.93*ТПроноз[[#This Row],[Базовый]],ТПроноз[[#This Row],[Базовый]])</f>
        <v>1.0590279452054796</v>
      </c>
      <c r="I15" s="13">
        <f>IF(ТПроноз[[#This Row],[Месяц]]=DATE(2022,4,1),ТПроноз[[#This Row],[Базовый]]-0.0375*VLOOKUP(DATE(2022,4,1),ТПроноз[],5,FALSE),ТПроноз[[#This Row],[Базовый]])</f>
        <v>1.1387397260273973</v>
      </c>
      <c r="J15" s="13">
        <f ca="1">IFERROR(OFFSET(ТПроноз[[#This Row],[Дпп(б)%]],-1,0)+(OFFSET(ТПроноз[[#This Row],[Днп(б)%]],-1,0)-OFFSET(ТПроноз[[#This Row],[Дпп(б)%]],-1,0)*0.09)*0.11,90)</f>
        <v>91.865684246694144</v>
      </c>
      <c r="K15" s="14">
        <f>10*ТПроноз[[#This Row],[Базовый]]</f>
        <v>11.387397260273973</v>
      </c>
    </row>
    <row r="16" spans="2:11" x14ac:dyDescent="0.45">
      <c r="B16" s="11">
        <v>44774</v>
      </c>
      <c r="C16" s="12">
        <f ca="1">IFERROR(OFFSET(ТПроноз[[#This Row],[Дпп(в)%]],-1,0)+(OFFSET(ТПроноз[[#This Row],[Днп(в)%]],-1,0)-OFFSET(ТПроноз[[#This Row],[Дпп(в)%]],-1,0)*0.09)*0.11,90)</f>
        <v>91.872372494988525</v>
      </c>
      <c r="D16" s="13">
        <f ca="1">10*OFFSET(ТПроноз[[#This Row],[Месяц]],0,MATCH($E$4,ТПроноз[#Headers],0)-1)</f>
        <v>10.779846575342466</v>
      </c>
      <c r="E16" s="13">
        <f ca="1">ТПроноз[[#This Row],[Дпп(в)%]]-ТПроноз[[#This Row],[Дпп(в)%]]*0.4+ТПроноз[[#This Row],[Днп(в)%]]-ТПроноз[[#This Row],[Днп(в)%]]*0.7</f>
        <v>58.357377469595846</v>
      </c>
      <c r="F16" s="13">
        <f>MAX(MIN(1+0.02*12/365*_xlfn.DAYS(EOMONTH(ТПроноз[[#This Row],[Месяц]],0),"01.01.2022"),1.24),1)</f>
        <v>1.159123287671233</v>
      </c>
      <c r="G16" s="13">
        <f>MIN(0.95^(_xlfn.DAYS(EOMONTH(ТПроноз[[#This Row],[Месяц]],0),"01.04.2022")/21),1)*ТПроноз[[#This Row],[Базовый]]</f>
        <v>0.7996334714611949</v>
      </c>
      <c r="H16" s="13">
        <f>IF(ТПроноз[[#This Row],[Месяц]]&gt;=DATE(2022,4,1),0.93*ТПроноз[[#This Row],[Базовый]],ТПроноз[[#This Row],[Базовый]])</f>
        <v>1.0779846575342467</v>
      </c>
      <c r="I16" s="13">
        <f>IF(ТПроноз[[#This Row],[Месяц]]=DATE(2022,4,1),ТПроноз[[#This Row],[Базовый]]-0.0375*VLOOKUP(DATE(2022,4,1),ТПроноз[],5,FALSE),ТПроноз[[#This Row],[Базовый]])</f>
        <v>1.159123287671233</v>
      </c>
      <c r="J16" s="13">
        <f ca="1">IFERROR(OFFSET(ТПроноз[[#This Row],[Дпп(б)%]],-1,0)+(OFFSET(ТПроноз[[#This Row],[Днп(б)%]],-1,0)-OFFSET(ТПроноз[[#This Row],[Дпп(б)%]],-1,0)*0.09)*0.11,90)</f>
        <v>92.208827671282009</v>
      </c>
      <c r="K16" s="14">
        <f>10*ТПроноз[[#This Row],[Базовый]]</f>
        <v>11.591232876712329</v>
      </c>
    </row>
    <row r="17" spans="2:11" x14ac:dyDescent="0.45">
      <c r="B17" s="11">
        <v>44805</v>
      </c>
      <c r="C17" s="12">
        <f ca="1">IFERROR(OFFSET(ТПроноз[[#This Row],[Дпп(в)%]],-1,0)+(OFFSET(ТПроноз[[#This Row],[Днп(в)%]],-1,0)-OFFSET(ТПроноз[[#This Row],[Дпп(в)%]],-1,0)*0.09)*0.11,90)</f>
        <v>92.14861913057581</v>
      </c>
      <c r="D17" s="13">
        <f ca="1">10*OFFSET(ТПроноз[[#This Row],[Месяц]],0,MATCH($E$4,ТПроноз[#Headers],0)-1)</f>
        <v>10.963298630136986</v>
      </c>
      <c r="E17" s="13">
        <f ca="1">ТПроноз[[#This Row],[Дпп(в)%]]-ТПроноз[[#This Row],[Дпп(в)%]]*0.4+ТПроноз[[#This Row],[Днп(в)%]]-ТПроноз[[#This Row],[Днп(в)%]]*0.7</f>
        <v>58.578161067386581</v>
      </c>
      <c r="F17" s="13">
        <f>MAX(MIN(1+0.02*12/365*_xlfn.DAYS(EOMONTH(ТПроноз[[#This Row],[Месяц]],0),"01.01.2022"),1.24),1)</f>
        <v>1.1788493150684931</v>
      </c>
      <c r="G17" s="13">
        <f>MIN(0.95^(_xlfn.DAYS(EOMONTH(ТПроноз[[#This Row],[Месяц]],0),"01.04.2022")/21),1)*ТПроноз[[#This Row],[Базовый]]</f>
        <v>0.75578141461974613</v>
      </c>
      <c r="H17" s="13">
        <f>IF(ТПроноз[[#This Row],[Месяц]]&gt;=DATE(2022,4,1),0.93*ТПроноз[[#This Row],[Базовый]],ТПроноз[[#This Row],[Базовый]])</f>
        <v>1.0963298630136986</v>
      </c>
      <c r="I17" s="13">
        <f>IF(ТПроноз[[#This Row],[Месяц]]=DATE(2022,4,1),ТПроноз[[#This Row],[Базовый]]-0.0375*VLOOKUP(DATE(2022,4,1),ТПроноз[],5,FALSE),ТПроноз[[#This Row],[Базовый]])</f>
        <v>1.1788493150684931</v>
      </c>
      <c r="J17" s="13">
        <f ca="1">IFERROR(OFFSET(ТПроноз[[#This Row],[Дпп(б)%]],-1,0)+(OFFSET(ТПроноз[[#This Row],[Днп(б)%]],-1,0)-OFFSET(ТПроноз[[#This Row],[Дпп(б)%]],-1,0)*0.09)*0.11,90)</f>
        <v>92.570995893774679</v>
      </c>
      <c r="K17" s="14">
        <f>10*ТПроноз[[#This Row],[Базовый]]</f>
        <v>11.788493150684932</v>
      </c>
    </row>
    <row r="18" spans="2:11" x14ac:dyDescent="0.45">
      <c r="B18" s="11">
        <v>44835</v>
      </c>
      <c r="C18" s="12">
        <f ca="1">IFERROR(OFFSET(ТПроноз[[#This Row],[Дпп(в)%]],-1,0)+(OFFSET(ТПроноз[[#This Row],[Днп(в)%]],-1,0)-OFFSET(ТПроноз[[#This Row],[Дпп(в)%]],-1,0)*0.09)*0.11,90)</f>
        <v>92.442310650498172</v>
      </c>
      <c r="D18" s="13">
        <f ca="1">10*OFFSET(ТПроноз[[#This Row],[Месяц]],0,MATCH($E$4,ТПроноз[#Headers],0)-1)</f>
        <v>11.15286575342466</v>
      </c>
      <c r="E18" s="13">
        <f ca="1">ТПроноз[[#This Row],[Дпп(в)%]]-ТПроноз[[#This Row],[Дпп(в)%]]*0.4+ТПроноз[[#This Row],[Днп(в)%]]-ТПроноз[[#This Row],[Днп(в)%]]*0.7</f>
        <v>58.811246116326302</v>
      </c>
      <c r="F18" s="13">
        <f>MAX(MIN(1+0.02*12/365*_xlfn.DAYS(EOMONTH(ТПроноз[[#This Row],[Месяц]],0),"01.01.2022"),1.24),1)</f>
        <v>1.1992328767123288</v>
      </c>
      <c r="G18" s="13">
        <f>MIN(0.95^(_xlfn.DAYS(EOMONTH(ТПроноз[[#This Row],[Месяц]],0),"01.04.2022")/21),1)*ТПроноз[[#This Row],[Базовый]]</f>
        <v>0.71278284199415687</v>
      </c>
      <c r="H18" s="13">
        <f>IF(ТПроноз[[#This Row],[Месяц]]&gt;=DATE(2022,4,1),0.93*ТПроноз[[#This Row],[Базовый]],ТПроноз[[#This Row],[Базовый]])</f>
        <v>1.1152865753424659</v>
      </c>
      <c r="I18" s="13">
        <f>IF(ТПроноз[[#This Row],[Месяц]]=DATE(2022,4,1),ТПроноз[[#This Row],[Базовый]]-0.0375*VLOOKUP(DATE(2022,4,1),ТПроноз[],5,FALSE),ТПроноз[[#This Row],[Базовый]])</f>
        <v>1.1992328767123288</v>
      </c>
      <c r="J18" s="13">
        <f ca="1">IFERROR(OFFSET(ТПроноз[[#This Row],[Дпп(б)%]],-1,0)+(OFFSET(ТПроноз[[#This Row],[Днп(б)%]],-1,0)-OFFSET(ТПроноз[[#This Row],[Дпп(б)%]],-1,0)*0.09)*0.11,90)</f>
        <v>92.951277281001651</v>
      </c>
      <c r="K18" s="14">
        <f>10*ТПроноз[[#This Row],[Базовый]]</f>
        <v>11.992328767123288</v>
      </c>
    </row>
    <row r="19" spans="2:11" x14ac:dyDescent="0.45">
      <c r="B19" s="11">
        <v>44866</v>
      </c>
      <c r="C19" s="12">
        <f ca="1">IFERROR(OFFSET(ТПроноз[[#This Row],[Дпп(в)%]],-1,0)+(OFFSET(ТПроноз[[#This Row],[Днп(в)%]],-1,0)-OFFSET(ТПроноз[[#This Row],[Дпп(в)%]],-1,0)*0.09)*0.11,90)</f>
        <v>92.753947007934954</v>
      </c>
      <c r="D19" s="13">
        <f ca="1">10*OFFSET(ТПроноз[[#This Row],[Месяц]],0,MATCH($E$4,ТПроноз[#Headers],0)-1)</f>
        <v>11.336317808219178</v>
      </c>
      <c r="E19" s="13">
        <f ca="1">ТПроноз[[#This Row],[Дпп(в)%]]-ТПроноз[[#This Row],[Дпп(в)%]]*0.4+ТПроноз[[#This Row],[Днп(в)%]]-ТПроноз[[#This Row],[Днп(в)%]]*0.7</f>
        <v>59.053263547226713</v>
      </c>
      <c r="F19" s="13">
        <f>MAX(MIN(1+0.02*12/365*_xlfn.DAYS(EOMONTH(ТПроноз[[#This Row],[Месяц]],0),"01.01.2022"),1.24),1)</f>
        <v>1.218958904109589</v>
      </c>
      <c r="G19" s="13">
        <f>MIN(0.95^(_xlfn.DAYS(EOMONTH(ТПроноз[[#This Row],[Месяц]],0),"01.04.2022")/21),1)*ТПроноз[[#This Row],[Базовый]]</f>
        <v>0.6733166498196973</v>
      </c>
      <c r="H19" s="13">
        <f>IF(ТПроноз[[#This Row],[Месяц]]&gt;=DATE(2022,4,1),0.93*ТПроноз[[#This Row],[Базовый]],ТПроноз[[#This Row],[Базовый]])</f>
        <v>1.1336317808219178</v>
      </c>
      <c r="I19" s="13">
        <f>IF(ТПроноз[[#This Row],[Месяц]]=DATE(2022,4,1),ТПроноз[[#This Row],[Базовый]]-0.0375*VLOOKUP(DATE(2022,4,1),ТПроноз[],5,FALSE),ТПроноз[[#This Row],[Базовый]])</f>
        <v>1.218958904109589</v>
      </c>
      <c r="J19" s="13">
        <f ca="1">IFERROR(OFFSET(ТПроноз[[#This Row],[Дпп(б)%]],-1,0)+(OFFSET(ТПроноз[[#This Row],[Днп(б)%]],-1,0)-OFFSET(ТПроноз[[#This Row],[Дпп(б)%]],-1,0)*0.09)*0.11,90)</f>
        <v>93.350215800303303</v>
      </c>
      <c r="K19" s="14">
        <f>10*ТПроноз[[#This Row],[Базовый]]</f>
        <v>12.189589041095889</v>
      </c>
    </row>
    <row r="20" spans="2:11" x14ac:dyDescent="0.45">
      <c r="B20" s="11">
        <v>44896</v>
      </c>
      <c r="C20" s="12">
        <f ca="1">IFERROR(OFFSET(ТПроноз[[#This Row],[Дпп(в)%]],-1,0)+(OFFSET(ТПроноз[[#This Row],[Днп(в)%]],-1,0)-OFFSET(ТПроноз[[#This Row],[Дпп(в)%]],-1,0)*0.09)*0.11,90)</f>
        <v>93.082677891460506</v>
      </c>
      <c r="D20" s="13">
        <f ca="1">10*OFFSET(ТПроноз[[#This Row],[Месяц]],0,MATCH($E$4,ТПроноз[#Headers],0)-1)</f>
        <v>11.525884931506848</v>
      </c>
      <c r="E20" s="13">
        <f ca="1">ТПроноз[[#This Row],[Дпп(в)%]]-ТПроноз[[#This Row],[Дпп(в)%]]*0.4+ТПроноз[[#This Row],[Днп(в)%]]-ТПроноз[[#This Row],[Днп(в)%]]*0.7</f>
        <v>59.30737221432836</v>
      </c>
      <c r="F20" s="13">
        <f>MAX(MIN(1+0.02*12/365*_xlfn.DAYS(EOMONTH(ТПроноз[[#This Row],[Месяц]],0),"01.01.2022"),1.24),1)</f>
        <v>1.2393424657534247</v>
      </c>
      <c r="G20" s="13">
        <f>MIN(0.95^(_xlfn.DAYS(EOMONTH(ТПроноз[[#This Row],[Месяц]],0),"01.04.2022")/21),1)*ТПроноз[[#This Row],[Базовый]]</f>
        <v>0.63465458073139069</v>
      </c>
      <c r="H20" s="13">
        <f>IF(ТПроноз[[#This Row],[Месяц]]&gt;=DATE(2022,4,1),0.93*ТПроноз[[#This Row],[Базовый]],ТПроноз[[#This Row],[Базовый]])</f>
        <v>1.1525884931506849</v>
      </c>
      <c r="I20" s="13">
        <f>IF(ТПроноз[[#This Row],[Месяц]]=DATE(2022,4,1),ТПроноз[[#This Row],[Базовый]]-0.0375*VLOOKUP(DATE(2022,4,1),ТПроноз[],5,FALSE),ТПроноз[[#This Row],[Базовый]])</f>
        <v>1.2393424657534247</v>
      </c>
      <c r="J20" s="13">
        <f ca="1">IFERROR(OFFSET(ТПроноз[[#This Row],[Дпп(б)%]],-1,0)+(OFFSET(ТПроноз[[#This Row],[Днп(б)%]],-1,0)-OFFSET(ТПроноз[[#This Row],[Дпп(б)%]],-1,0)*0.09)*0.11,90)</f>
        <v>93.766903458400847</v>
      </c>
      <c r="K20" s="14">
        <f>10*ТПроноз[[#This Row],[Базовый]]</f>
        <v>12.393424657534247</v>
      </c>
    </row>
    <row r="21" spans="2:11" x14ac:dyDescent="0.45">
      <c r="B21" s="11">
        <v>44927</v>
      </c>
      <c r="C21" s="12">
        <f ca="1">IFERROR(OFFSET(ТПроноз[[#This Row],[Дпп(в)%]],-1,0)+(OFFSET(ТПроноз[[#This Row],[Днп(в)%]],-1,0)-OFFSET(ТПроноз[[#This Row],[Дпп(в)%]],-1,0)*0.09)*0.11,90)</f>
        <v>93.429006722800807</v>
      </c>
      <c r="D21" s="13">
        <f ca="1">10*OFFSET(ТПроноз[[#This Row],[Месяц]],0,MATCH($E$4,ТПроноз[#Headers],0)-1)</f>
        <v>11.532</v>
      </c>
      <c r="E21" s="13">
        <f ca="1">ТПроноз[[#This Row],[Дпп(в)%]]-ТПроноз[[#This Row],[Дпп(в)%]]*0.4+ТПроноз[[#This Row],[Днп(в)%]]-ТПроноз[[#This Row],[Днп(в)%]]*0.7</f>
        <v>59.517004033680479</v>
      </c>
      <c r="F21" s="13">
        <f>MAX(MIN(1+0.02*12/365*_xlfn.DAYS(EOMONTH(ТПроноз[[#This Row],[Месяц]],0),"01.01.2022"),1.24),1)</f>
        <v>1.24</v>
      </c>
      <c r="G21" s="13">
        <f>MIN(0.95^(_xlfn.DAYS(EOMONTH(ТПроноз[[#This Row],[Месяц]],0),"01.04.2022")/21),1)*ТПроноз[[#This Row],[Базовый]]</f>
        <v>0.58868581546287047</v>
      </c>
      <c r="H21" s="13">
        <f>IF(ТПроноз[[#This Row],[Месяц]]&gt;=DATE(2022,4,1),0.93*ТПроноз[[#This Row],[Базовый]],ТПроноз[[#This Row],[Базовый]])</f>
        <v>1.1532</v>
      </c>
      <c r="I21" s="13">
        <f>IF(ТПроноз[[#This Row],[Месяц]]=DATE(2022,4,1),ТПроноз[[#This Row],[Базовый]]-0.0375*VLOOKUP(DATE(2022,4,1),ТПроноз[],5,FALSE),ТПроноз[[#This Row],[Базовый]])</f>
        <v>1.24</v>
      </c>
      <c r="J21" s="13">
        <f ca="1">IFERROR(OFFSET(ТПроноз[[#This Row],[Дпп(б)%]],-1,0)+(OFFSET(ТПроноз[[#This Row],[Днп(б)%]],-1,0)-OFFSET(ТПроноз[[#This Row],[Дпп(б)%]],-1,0)*0.09)*0.11,90)</f>
        <v>94.201887826491443</v>
      </c>
      <c r="K21" s="14">
        <f>10*ТПроноз[[#This Row],[Базовый]]</f>
        <v>12.4</v>
      </c>
    </row>
    <row r="22" spans="2:11" x14ac:dyDescent="0.45">
      <c r="B22" s="11">
        <v>44958</v>
      </c>
      <c r="C22" s="12">
        <f ca="1">IFERROR(OFFSET(ТПроноз[[#This Row],[Дпп(в)%]],-1,0)+(OFFSET(ТПроноз[[#This Row],[Днп(в)%]],-1,0)-OFFSET(ТПроноз[[#This Row],[Дпп(в)%]],-1,0)*0.09)*0.11,90)</f>
        <v>93.772579556245077</v>
      </c>
      <c r="D22" s="13">
        <f ca="1">10*OFFSET(ТПроноз[[#This Row],[Месяц]],0,MATCH($E$4,ТПроноз[#Headers],0)-1)</f>
        <v>11.532</v>
      </c>
      <c r="E22" s="13">
        <f ca="1">ТПроноз[[#This Row],[Дпп(в)%]]-ТПроноз[[#This Row],[Дпп(в)%]]*0.4+ТПроноз[[#This Row],[Днп(в)%]]-ТПроноз[[#This Row],[Днп(в)%]]*0.7</f>
        <v>59.723147733747041</v>
      </c>
      <c r="F22" s="13">
        <f>MAX(MIN(1+0.02*12/365*_xlfn.DAYS(EOMONTH(ТПроноз[[#This Row],[Месяц]],0),"01.01.2022"),1.24),1)</f>
        <v>1.24</v>
      </c>
      <c r="G22" s="13">
        <f>MIN(0.95^(_xlfn.DAYS(EOMONTH(ТПроноз[[#This Row],[Месяц]],0),"01.04.2022")/21),1)*ТПроноз[[#This Row],[Базовый]]</f>
        <v>0.54977085375843893</v>
      </c>
      <c r="H22" s="13">
        <f>IF(ТПроноз[[#This Row],[Месяц]]&gt;=DATE(2022,4,1),0.93*ТПроноз[[#This Row],[Базовый]],ТПроноз[[#This Row],[Базовый]])</f>
        <v>1.1532</v>
      </c>
      <c r="I22" s="13">
        <f>IF(ТПроноз[[#This Row],[Месяц]]=DATE(2022,4,1),ТПроноз[[#This Row],[Базовый]]-0.0375*VLOOKUP(DATE(2022,4,1),ТПроноз[],5,FALSE),ТПроноз[[#This Row],[Базовый]])</f>
        <v>1.24</v>
      </c>
      <c r="J22" s="13">
        <f ca="1">IFERROR(OFFSET(ТПроноз[[#This Row],[Дпп(б)%]],-1,0)+(OFFSET(ТПроноз[[#This Row],[Днп(б)%]],-1,0)-OFFSET(ТПроноз[[#This Row],[Дпп(б)%]],-1,0)*0.09)*0.11,90)</f>
        <v>94.633289137009172</v>
      </c>
      <c r="K22" s="14">
        <f>10*ТПроноз[[#This Row],[Базовый]]</f>
        <v>12.4</v>
      </c>
    </row>
    <row r="23" spans="2:11" x14ac:dyDescent="0.45">
      <c r="B23" s="11">
        <v>44986</v>
      </c>
      <c r="C23" s="12">
        <f ca="1">IFERROR(OFFSET(ТПроноз[[#This Row],[Дпп(в)%]],-1,0)+(OFFSET(ТПроноз[[#This Row],[Днп(в)%]],-1,0)-OFFSET(ТПроноз[[#This Row],[Дпп(в)%]],-1,0)*0.09)*0.11,90)</f>
        <v>94.112751018638249</v>
      </c>
      <c r="D23" s="13">
        <f ca="1">10*OFFSET(ТПроноз[[#This Row],[Месяц]],0,MATCH($E$4,ТПроноз[#Headers],0)-1)</f>
        <v>11.532</v>
      </c>
      <c r="E23" s="13">
        <f ca="1">ТПроноз[[#This Row],[Дпп(в)%]]-ТПроноз[[#This Row],[Дпп(в)%]]*0.4+ТПроноз[[#This Row],[Днп(в)%]]-ТПроноз[[#This Row],[Днп(в)%]]*0.7</f>
        <v>59.927250611182941</v>
      </c>
      <c r="F23" s="13">
        <f>MAX(MIN(1+0.02*12/365*_xlfn.DAYS(EOMONTH(ТПроноз[[#This Row],[Месяц]],0),"01.01.2022"),1.24),1)</f>
        <v>1.24</v>
      </c>
      <c r="G23" s="13">
        <f>MIN(0.95^(_xlfn.DAYS(EOMONTH(ТПроноз[[#This Row],[Месяц]],0),"01.04.2022")/21),1)*ТПроноз[[#This Row],[Базовый]]</f>
        <v>0.50967990387774531</v>
      </c>
      <c r="H23" s="13">
        <f>IF(ТПроноз[[#This Row],[Месяц]]&gt;=DATE(2022,4,1),0.93*ТПроноз[[#This Row],[Базовый]],ТПроноз[[#This Row],[Базовый]])</f>
        <v>1.1532</v>
      </c>
      <c r="I23" s="13">
        <f>IF(ТПроноз[[#This Row],[Месяц]]=DATE(2022,4,1),ТПроноз[[#This Row],[Базовый]]-0.0375*VLOOKUP(DATE(2022,4,1),ТПроноз[],5,FALSE),ТПроноз[[#This Row],[Базовый]])</f>
        <v>1.24</v>
      </c>
      <c r="J23" s="13">
        <f ca="1">IFERROR(OFFSET(ТПроноз[[#This Row],[Дпп(б)%]],-1,0)+(OFFSET(ТПроноз[[#This Row],[Днп(б)%]],-1,0)-OFFSET(ТПроноз[[#This Row],[Дпп(б)%]],-1,0)*0.09)*0.11,90)</f>
        <v>95.060419574552782</v>
      </c>
      <c r="K23" s="14">
        <f>10*ТПроноз[[#This Row],[Базовый]]</f>
        <v>12.4</v>
      </c>
    </row>
    <row r="24" spans="2:11" x14ac:dyDescent="0.45">
      <c r="B24" s="11">
        <v>45017</v>
      </c>
      <c r="C24" s="12">
        <f ca="1">IFERROR(OFFSET(ТПроноз[[#This Row],[Дпп(в)%]],-1,0)+(OFFSET(ТПроноз[[#This Row],[Днп(в)%]],-1,0)-OFFSET(ТПроноз[[#This Row],[Дпп(в)%]],-1,0)*0.09)*0.11,90)</f>
        <v>94.449554783553737</v>
      </c>
      <c r="D24" s="13">
        <f ca="1">10*OFFSET(ТПроноз[[#This Row],[Месяц]],0,MATCH($E$4,ТПроноз[#Headers],0)-1)</f>
        <v>11.532</v>
      </c>
      <c r="E24" s="13">
        <f ca="1">ТПроноз[[#This Row],[Дпп(в)%]]-ТПроноз[[#This Row],[Дпп(в)%]]*0.4+ТПроноз[[#This Row],[Днп(в)%]]-ТПроноз[[#This Row],[Днп(в)%]]*0.7</f>
        <v>60.129332870132245</v>
      </c>
      <c r="F24" s="13">
        <f>MAX(MIN(1+0.02*12/365*_xlfn.DAYS(EOMONTH(ТПроноз[[#This Row],[Месяц]],0),"01.01.2022"),1.24),1)</f>
        <v>1.24</v>
      </c>
      <c r="G24" s="13">
        <f>MIN(0.95^(_xlfn.DAYS(EOMONTH(ТПроноз[[#This Row],[Месяц]],0),"01.04.2022")/21),1)*ТПроноз[[#This Row],[Базовый]]</f>
        <v>0.47366804738168233</v>
      </c>
      <c r="H24" s="13">
        <f>IF(ТПроноз[[#This Row],[Месяц]]&gt;=DATE(2022,4,1),0.93*ТПроноз[[#This Row],[Базовый]],ТПроноз[[#This Row],[Базовый]])</f>
        <v>1.1532</v>
      </c>
      <c r="I24" s="13">
        <f>IF(ТПроноз[[#This Row],[Месяц]]=DATE(2022,4,1),ТПроноз[[#This Row],[Базовый]]-0.0375*VLOOKUP(DATE(2022,4,1),ТПроноз[],5,FALSE),ТПроноз[[#This Row],[Базовый]])</f>
        <v>1.24</v>
      </c>
      <c r="J24" s="13">
        <f ca="1">IFERROR(OFFSET(ТПроноз[[#This Row],[Дпп(б)%]],-1,0)+(OFFSET(ТПроноз[[#This Row],[Днп(б)%]],-1,0)-OFFSET(ТПроноз[[#This Row],[Дпп(б)%]],-1,0)*0.09)*0.11,90)</f>
        <v>95.48332142076471</v>
      </c>
      <c r="K24" s="14">
        <f>10*ТПроноз[[#This Row],[Базовый]]</f>
        <v>12.4</v>
      </c>
    </row>
    <row r="25" spans="2:11" x14ac:dyDescent="0.45">
      <c r="B25" s="11">
        <v>45047</v>
      </c>
      <c r="C25" s="12">
        <f ca="1">IFERROR(OFFSET(ТПроноз[[#This Row],[Дпп(в)%]],-1,0)+(OFFSET(ТПроноз[[#This Row],[Днп(в)%]],-1,0)-OFFSET(ТПроноз[[#This Row],[Дпп(в)%]],-1,0)*0.09)*0.11,90)</f>
        <v>94.78302419119656</v>
      </c>
      <c r="D25" s="13">
        <f ca="1">10*OFFSET(ТПроноз[[#This Row],[Месяц]],0,MATCH($E$4,ТПроноз[#Headers],0)-1)</f>
        <v>11.532</v>
      </c>
      <c r="E25" s="13">
        <f ca="1">ТПроноз[[#This Row],[Дпп(в)%]]-ТПроноз[[#This Row],[Дпп(в)%]]*0.4+ТПроноз[[#This Row],[Днп(в)%]]-ТПроноз[[#This Row],[Днп(в)%]]*0.7</f>
        <v>60.329414514717939</v>
      </c>
      <c r="F25" s="13">
        <f>MAX(MIN(1+0.02*12/365*_xlfn.DAYS(EOMONTH(ТПроноз[[#This Row],[Месяц]],0),"01.01.2022"),1.24),1)</f>
        <v>1.24</v>
      </c>
      <c r="G25" s="13">
        <f>MIN(0.95^(_xlfn.DAYS(EOMONTH(ТПроноз[[#This Row],[Месяц]],0),"01.04.2022")/21),1)*ТПроноз[[#This Row],[Базовый]]</f>
        <v>0.43912674382249284</v>
      </c>
      <c r="H25" s="13">
        <f>IF(ТПроноз[[#This Row],[Месяц]]&gt;=DATE(2022,4,1),0.93*ТПроноз[[#This Row],[Базовый]],ТПроноз[[#This Row],[Базовый]])</f>
        <v>1.1532</v>
      </c>
      <c r="I25" s="13">
        <f>IF(ТПроноз[[#This Row],[Месяц]]=DATE(2022,4,1),ТПроноз[[#This Row],[Базовый]]-0.0375*VLOOKUP(DATE(2022,4,1),ТПроноз[],5,FALSE),ТПроноз[[#This Row],[Базовый]])</f>
        <v>1.24</v>
      </c>
      <c r="J25" s="13">
        <f ca="1">IFERROR(OFFSET(ТПроноз[[#This Row],[Дпп(б)%]],-1,0)+(OFFSET(ТПроноз[[#This Row],[Днп(б)%]],-1,0)-OFFSET(ТПроноз[[#This Row],[Дпп(б)%]],-1,0)*0.09)*0.11,90)</f>
        <v>95.902036538699136</v>
      </c>
      <c r="K25" s="14">
        <f>10*ТПроноз[[#This Row],[Базовый]]</f>
        <v>12.4</v>
      </c>
    </row>
    <row r="26" spans="2:11" x14ac:dyDescent="0.45">
      <c r="B26" s="11">
        <v>45078</v>
      </c>
      <c r="C26" s="12">
        <f ca="1">IFERROR(OFFSET(ТПроноз[[#This Row],[Дпп(в)%]],-1,0)+(OFFSET(ТПроноз[[#This Row],[Днп(в)%]],-1,0)-OFFSET(ТПроноз[[#This Row],[Дпп(в)%]],-1,0)*0.09)*0.11,90)</f>
        <v>95.113192251703708</v>
      </c>
      <c r="D26" s="13">
        <f ca="1">10*OFFSET(ТПроноз[[#This Row],[Месяц]],0,MATCH($E$4,ТПроноз[#Headers],0)-1)</f>
        <v>11.532</v>
      </c>
      <c r="E26" s="13">
        <f ca="1">ТПроноз[[#This Row],[Дпп(в)%]]-ТПроноз[[#This Row],[Дпп(в)%]]*0.4+ТПроноз[[#This Row],[Днп(в)%]]-ТПроноз[[#This Row],[Днп(в)%]]*0.7</f>
        <v>60.527515351022217</v>
      </c>
      <c r="F26" s="13">
        <f>MAX(MIN(1+0.02*12/365*_xlfn.DAYS(EOMONTH(ТПроноз[[#This Row],[Месяц]],0),"01.01.2022"),1.24),1)</f>
        <v>1.24</v>
      </c>
      <c r="G26" s="13">
        <f>MIN(0.95^(_xlfn.DAYS(EOMONTH(ТПроноз[[#This Row],[Месяц]],0),"01.04.2022")/21),1)*ТПроноз[[#This Row],[Базовый]]</f>
        <v>0.40809987938894393</v>
      </c>
      <c r="H26" s="13">
        <f>IF(ТПроноз[[#This Row],[Месяц]]&gt;=DATE(2022,4,1),0.93*ТПроноз[[#This Row],[Базовый]],ТПроноз[[#This Row],[Базовый]])</f>
        <v>1.1532</v>
      </c>
      <c r="I26" s="13">
        <f>IF(ТПроноз[[#This Row],[Месяц]]=DATE(2022,4,1),ТПроноз[[#This Row],[Базовый]]-0.0375*VLOOKUP(DATE(2022,4,1),ТПроноз[],5,FALSE),ТПроноз[[#This Row],[Базовый]])</f>
        <v>1.24</v>
      </c>
      <c r="J26" s="13">
        <f ca="1">IFERROR(OFFSET(ТПроноз[[#This Row],[Дпп(б)%]],-1,0)+(OFFSET(ТПроноз[[#This Row],[Днп(б)%]],-1,0)-OFFSET(ТПроноз[[#This Row],[Дпп(б)%]],-1,0)*0.09)*0.11,90)</f>
        <v>96.316606376966021</v>
      </c>
      <c r="K26" s="14">
        <f>10*ТПроноз[[#This Row],[Базовый]]</f>
        <v>12.4</v>
      </c>
    </row>
    <row r="27" spans="2:11" x14ac:dyDescent="0.45">
      <c r="B27" s="11">
        <v>45108</v>
      </c>
      <c r="C27" s="12">
        <f ca="1">IFERROR(OFFSET(ТПроноз[[#This Row],[Дпп(в)%]],-1,0)+(OFFSET(ТПроноз[[#This Row],[Днп(в)%]],-1,0)-OFFSET(ТПроноз[[#This Row],[Дпп(в)%]],-1,0)*0.09)*0.11,90)</f>
        <v>95.440091648411837</v>
      </c>
      <c r="D27" s="13">
        <f ca="1">10*OFFSET(ТПроноз[[#This Row],[Месяц]],0,MATCH($E$4,ТПроноз[#Headers],0)-1)</f>
        <v>11.532</v>
      </c>
      <c r="E27" s="13">
        <f ca="1">ТПроноз[[#This Row],[Дпп(в)%]]-ТПроноз[[#This Row],[Дпп(в)%]]*0.4+ТПроноз[[#This Row],[Днп(в)%]]-ТПроноз[[#This Row],[Днп(в)%]]*0.7</f>
        <v>60.723654989047105</v>
      </c>
      <c r="F27" s="13">
        <f>MAX(MIN(1+0.02*12/365*_xlfn.DAYS(EOMONTH(ТПроноз[[#This Row],[Месяц]],0),"01.01.2022"),1.24),1)</f>
        <v>1.24</v>
      </c>
      <c r="G27" s="13">
        <f>MIN(0.95^(_xlfn.DAYS(EOMONTH(ТПроноз[[#This Row],[Месяц]],0),"01.04.2022")/21),1)*ТПроноз[[#This Row],[Базовый]]</f>
        <v>0.378340004526447</v>
      </c>
      <c r="H27" s="13">
        <f>IF(ТПроноз[[#This Row],[Месяц]]&gt;=DATE(2022,4,1),0.93*ТПроноз[[#This Row],[Базовый]],ТПроноз[[#This Row],[Базовый]])</f>
        <v>1.1532</v>
      </c>
      <c r="I27" s="13">
        <f>IF(ТПроноз[[#This Row],[Месяц]]=DATE(2022,4,1),ТПроноз[[#This Row],[Базовый]]-0.0375*VLOOKUP(DATE(2022,4,1),ТПроноз[],5,FALSE),ТПроноз[[#This Row],[Базовый]])</f>
        <v>1.24</v>
      </c>
      <c r="J27" s="13">
        <f ca="1">IFERROR(OFFSET(ТПроноз[[#This Row],[Дпп(б)%]],-1,0)+(OFFSET(ТПроноз[[#This Row],[Днп(б)%]],-1,0)-OFFSET(ТПроноз[[#This Row],[Дпп(б)%]],-1,0)*0.09)*0.11,90)</f>
        <v>96.727071973834057</v>
      </c>
      <c r="K27" s="14">
        <f>10*ТПроноз[[#This Row],[Базовый]]</f>
        <v>12.4</v>
      </c>
    </row>
    <row r="28" spans="2:11" x14ac:dyDescent="0.45">
      <c r="B28" s="11">
        <v>45139</v>
      </c>
      <c r="C28" s="12">
        <f ca="1">IFERROR(OFFSET(ТПроноз[[#This Row],[Дпп(в)%]],-1,0)+(OFFSET(ТПроноз[[#This Row],[Днп(в)%]],-1,0)-OFFSET(ТПроноз[[#This Row],[Дпп(в)%]],-1,0)*0.09)*0.11,90)</f>
        <v>95.763754741092555</v>
      </c>
      <c r="D28" s="13">
        <f ca="1">10*OFFSET(ТПроноз[[#This Row],[Месяц]],0,MATCH($E$4,ТПроноз[#Headers],0)-1)</f>
        <v>11.532</v>
      </c>
      <c r="E28" s="13">
        <f ca="1">ТПроноз[[#This Row],[Дпп(в)%]]-ТПроноз[[#This Row],[Дпп(в)%]]*0.4+ТПроноз[[#This Row],[Днп(в)%]]-ТПроноз[[#This Row],[Днп(в)%]]*0.7</f>
        <v>60.917852844655528</v>
      </c>
      <c r="F28" s="13">
        <f>MAX(MIN(1+0.02*12/365*_xlfn.DAYS(EOMONTH(ТПроноз[[#This Row],[Месяц]],0),"01.01.2022"),1.24),1)</f>
        <v>1.24</v>
      </c>
      <c r="G28" s="13">
        <f>MIN(0.95^(_xlfn.DAYS(EOMONTH(ТПроноз[[#This Row],[Месяц]],0),"01.04.2022")/21),1)*ТПроноз[[#This Row],[Базовый]]</f>
        <v>0.350750309555102</v>
      </c>
      <c r="H28" s="13">
        <f>IF(ТПроноз[[#This Row],[Месяц]]&gt;=DATE(2022,4,1),0.93*ТПроноз[[#This Row],[Базовый]],ТПроноз[[#This Row],[Базовый]])</f>
        <v>1.1532</v>
      </c>
      <c r="I28" s="13">
        <f>IF(ТПроноз[[#This Row],[Месяц]]=DATE(2022,4,1),ТПроноз[[#This Row],[Базовый]]-0.0375*VLOOKUP(DATE(2022,4,1),ТПроноз[],5,FALSE),ТПроноз[[#This Row],[Базовый]])</f>
        <v>1.24</v>
      </c>
      <c r="J28" s="13">
        <f ca="1">IFERROR(OFFSET(ТПроноз[[#This Row],[Дпп(б)%]],-1,0)+(OFFSET(ТПроноз[[#This Row],[Днп(б)%]],-1,0)-OFFSET(ТПроноз[[#This Row],[Дпп(б)%]],-1,0)*0.09)*0.11,90)</f>
        <v>97.133473961293106</v>
      </c>
      <c r="K28" s="14">
        <f>10*ТПроноз[[#This Row],[Базовый]]</f>
        <v>12.4</v>
      </c>
    </row>
    <row r="29" spans="2:11" x14ac:dyDescent="0.45">
      <c r="B29" s="11">
        <v>45170</v>
      </c>
      <c r="C29" s="12">
        <f ca="1">IFERROR(OFFSET(ТПроноз[[#This Row],[Дпп(в)%]],-1,0)+(OFFSET(ТПроноз[[#This Row],[Днп(в)%]],-1,0)-OFFSET(ТПроноз[[#This Row],[Дпп(в)%]],-1,0)*0.09)*0.11,90)</f>
        <v>96.084213569155736</v>
      </c>
      <c r="D29" s="13">
        <f ca="1">10*OFFSET(ТПроноз[[#This Row],[Месяц]],0,MATCH($E$4,ТПроноз[#Headers],0)-1)</f>
        <v>11.532</v>
      </c>
      <c r="E29" s="13">
        <f ca="1">ТПроноз[[#This Row],[Дпп(в)%]]-ТПроноз[[#This Row],[Дпп(в)%]]*0.4+ТПроноз[[#This Row],[Днп(в)%]]-ТПроноз[[#This Row],[Днп(в)%]]*0.7</f>
        <v>61.110128141493433</v>
      </c>
      <c r="F29" s="13">
        <f>MAX(MIN(1+0.02*12/365*_xlfn.DAYS(EOMONTH(ТПроноз[[#This Row],[Месяц]],0),"01.01.2022"),1.24),1)</f>
        <v>1.24</v>
      </c>
      <c r="G29" s="13">
        <f>MIN(0.95^(_xlfn.DAYS(EOMONTH(ТПроноз[[#This Row],[Месяц]],0),"01.04.2022")/21),1)*ТПроноз[[#This Row],[Базовый]]</f>
        <v>0.32596775541171225</v>
      </c>
      <c r="H29" s="13">
        <f>IF(ТПроноз[[#This Row],[Месяц]]&gt;=DATE(2022,4,1),0.93*ТПроноз[[#This Row],[Базовый]],ТПроноз[[#This Row],[Базовый]])</f>
        <v>1.1532</v>
      </c>
      <c r="I29" s="13">
        <f>IF(ТПроноз[[#This Row],[Месяц]]=DATE(2022,4,1),ТПроноз[[#This Row],[Базовый]]-0.0375*VLOOKUP(DATE(2022,4,1),ТПроноз[],5,FALSE),ТПроноз[[#This Row],[Базовый]])</f>
        <v>1.24</v>
      </c>
      <c r="J29" s="13">
        <f ca="1">IFERROR(OFFSET(ТПроноз[[#This Row],[Дпп(б)%]],-1,0)+(OFFSET(ТПроноз[[#This Row],[Днп(б)%]],-1,0)-OFFSET(ТПроноз[[#This Row],[Дпп(б)%]],-1,0)*0.09)*0.11,90)</f>
        <v>97.535852569076297</v>
      </c>
      <c r="K29" s="14">
        <f>10*ТПроноз[[#This Row],[Базовый]]</f>
        <v>12.4</v>
      </c>
    </row>
    <row r="30" spans="2:11" x14ac:dyDescent="0.45">
      <c r="B30" s="11">
        <v>45200</v>
      </c>
      <c r="C30" s="12">
        <f ca="1">IFERROR(OFFSET(ТПроноз[[#This Row],[Дпп(в)%]],-1,0)+(OFFSET(ТПроноз[[#This Row],[Днп(в)%]],-1,0)-OFFSET(ТПроноз[[#This Row],[Дпп(в)%]],-1,0)*0.09)*0.11,90)</f>
        <v>96.401499854821097</v>
      </c>
      <c r="D30" s="13">
        <f ca="1">10*OFFSET(ТПроноз[[#This Row],[Месяц]],0,MATCH($E$4,ТПроноз[#Headers],0)-1)</f>
        <v>11.532</v>
      </c>
      <c r="E30" s="13">
        <f ca="1">ТПроноз[[#This Row],[Дпп(в)%]]-ТПроноз[[#This Row],[Дпп(в)%]]*0.4+ТПроноз[[#This Row],[Днп(в)%]]-ТПроноз[[#This Row],[Днп(в)%]]*0.7</f>
        <v>61.300499912892647</v>
      </c>
      <c r="F30" s="13">
        <f>MAX(MIN(1+0.02*12/365*_xlfn.DAYS(EOMONTH(ТПроноз[[#This Row],[Месяц]],0),"01.01.2022"),1.24),1)</f>
        <v>1.24</v>
      </c>
      <c r="G30" s="13">
        <f>MIN(0.95^(_xlfn.DAYS(EOMONTH(ТПроноз[[#This Row],[Месяц]],0),"01.04.2022")/21),1)*ТПроноз[[#This Row],[Базовый]]</f>
        <v>0.30219720290680402</v>
      </c>
      <c r="H30" s="13">
        <f>IF(ТПроноз[[#This Row],[Месяц]]&gt;=DATE(2022,4,1),0.93*ТПроноз[[#This Row],[Базовый]],ТПроноз[[#This Row],[Базовый]])</f>
        <v>1.1532</v>
      </c>
      <c r="I30" s="13">
        <f>IF(ТПроноз[[#This Row],[Месяц]]=DATE(2022,4,1),ТПроноз[[#This Row],[Базовый]]-0.0375*VLOOKUP(DATE(2022,4,1),ТПроноз[],5,FALSE),ТПроноз[[#This Row],[Базовый]])</f>
        <v>1.24</v>
      </c>
      <c r="J30" s="13">
        <f ca="1">IFERROR(OFFSET(ТПроноз[[#This Row],[Дпп(б)%]],-1,0)+(OFFSET(ТПроноз[[#This Row],[Днп(б)%]],-1,0)-OFFSET(ТПроноз[[#This Row],[Дпп(б)%]],-1,0)*0.09)*0.11,90)</f>
        <v>97.934247628642439</v>
      </c>
      <c r="K30" s="14">
        <f>10*ТПроноз[[#This Row],[Базовый]]</f>
        <v>12.4</v>
      </c>
    </row>
    <row r="31" spans="2:11" x14ac:dyDescent="0.45">
      <c r="B31" s="11">
        <v>45231</v>
      </c>
      <c r="C31" s="12">
        <f ca="1">IFERROR(OFFSET(ТПроноз[[#This Row],[Дпп(в)%]],-1,0)+(OFFSET(ТПроноз[[#This Row],[Днп(в)%]],-1,0)-OFFSET(ТПроноз[[#This Row],[Дпп(в)%]],-1,0)*0.09)*0.11,90)</f>
        <v>96.71564500625837</v>
      </c>
      <c r="D31" s="13">
        <f ca="1">10*OFFSET(ТПроноз[[#This Row],[Месяц]],0,MATCH($E$4,ТПроноз[#Headers],0)-1)</f>
        <v>11.532</v>
      </c>
      <c r="E31" s="13">
        <f ca="1">ТПроноз[[#This Row],[Дпп(в)%]]-ТПроноз[[#This Row],[Дпп(в)%]]*0.4+ТПроноз[[#This Row],[Днп(в)%]]-ТПроноз[[#This Row],[Днп(в)%]]*0.7</f>
        <v>61.488987003755014</v>
      </c>
      <c r="F31" s="13">
        <f>MAX(MIN(1+0.02*12/365*_xlfn.DAYS(EOMONTH(ТПроноз[[#This Row],[Месяц]],0),"01.01.2022"),1.24),1)</f>
        <v>1.24</v>
      </c>
      <c r="G31" s="13">
        <f>MIN(0.95^(_xlfn.DAYS(EOMONTH(ТПроноз[[#This Row],[Месяц]],0),"01.04.2022")/21),1)*ТПроноз[[#This Row],[Базовый]]</f>
        <v>0.28084520879874952</v>
      </c>
      <c r="H31" s="13">
        <f>IF(ТПроноз[[#This Row],[Месяц]]&gt;=DATE(2022,4,1),0.93*ТПроноз[[#This Row],[Базовый]],ТПроноз[[#This Row],[Базовый]])</f>
        <v>1.1532</v>
      </c>
      <c r="I31" s="13">
        <f>IF(ТПроноз[[#This Row],[Месяц]]=DATE(2022,4,1),ТПроноз[[#This Row],[Базовый]]-0.0375*VLOOKUP(DATE(2022,4,1),ТПроноз[],5,FALSE),ТПроноз[[#This Row],[Базовый]])</f>
        <v>1.24</v>
      </c>
      <c r="J31" s="13">
        <f ca="1">IFERROR(OFFSET(ТПроноз[[#This Row],[Дпп(б)%]],-1,0)+(OFFSET(ТПроноз[[#This Row],[Днп(б)%]],-1,0)-OFFSET(ТПроноз[[#This Row],[Дпп(б)%]],-1,0)*0.09)*0.11,90)</f>
        <v>98.328698577118885</v>
      </c>
      <c r="K31" s="14">
        <f>10*ТПроноз[[#This Row],[Базовый]]</f>
        <v>12.4</v>
      </c>
    </row>
    <row r="32" spans="2:11" x14ac:dyDescent="0.45">
      <c r="B32" s="11">
        <v>45261</v>
      </c>
      <c r="C32" s="12">
        <f ca="1">IFERROR(OFFSET(ТПроноз[[#This Row],[Дпп(в)%]],-1,0)+(OFFSET(ТПроноз[[#This Row],[Днп(в)%]],-1,0)-OFFSET(ТПроноз[[#This Row],[Дпп(в)%]],-1,0)*0.09)*0.11,90)</f>
        <v>97.026680120696412</v>
      </c>
      <c r="D32" s="13">
        <f ca="1">10*OFFSET(ТПроноз[[#This Row],[Месяц]],0,MATCH($E$4,ТПроноз[#Headers],0)-1)</f>
        <v>11.532</v>
      </c>
      <c r="E32" s="13">
        <f ca="1">ТПроноз[[#This Row],[Дпп(в)%]]-ТПроноз[[#This Row],[Дпп(в)%]]*0.4+ТПроноз[[#This Row],[Днп(в)%]]-ТПроноз[[#This Row],[Днп(в)%]]*0.7</f>
        <v>61.675608072417845</v>
      </c>
      <c r="F32" s="13">
        <f>MAX(MIN(1+0.02*12/365*_xlfn.DAYS(EOMONTH(ТПроноз[[#This Row],[Месяц]],0),"01.01.2022"),1.24),1)</f>
        <v>1.24</v>
      </c>
      <c r="G32" s="13">
        <f>MIN(0.95^(_xlfn.DAYS(EOMONTH(ТПроноз[[#This Row],[Месяц]],0),"01.04.2022")/21),1)*ТПроноз[[#This Row],[Базовый]]</f>
        <v>0.26036512857403321</v>
      </c>
      <c r="H32" s="13">
        <f>IF(ТПроноз[[#This Row],[Месяц]]&gt;=DATE(2022,4,1),0.93*ТПроноз[[#This Row],[Базовый]],ТПроноз[[#This Row],[Базовый]])</f>
        <v>1.1532</v>
      </c>
      <c r="I32" s="13">
        <f>IF(ТПроноз[[#This Row],[Месяц]]=DATE(2022,4,1),ТПроноз[[#This Row],[Базовый]]-0.0375*VLOOKUP(DATE(2022,4,1),ТПроноз[],5,FALSE),ТПроноз[[#This Row],[Базовый]])</f>
        <v>1.24</v>
      </c>
      <c r="J32" s="13">
        <f ca="1">IFERROR(OFFSET(ТПроноз[[#This Row],[Дпп(б)%]],-1,0)+(OFFSET(ТПроноз[[#This Row],[Днп(б)%]],-1,0)-OFFSET(ТПроноз[[#This Row],[Дпп(б)%]],-1,0)*0.09)*0.11,90)</f>
        <v>98.719244461205406</v>
      </c>
      <c r="K32" s="14">
        <f>10*ТПроноз[[#This Row],[Базовый]]</f>
        <v>12.4</v>
      </c>
    </row>
    <row r="34" spans="2:4" x14ac:dyDescent="0.45">
      <c r="B34" s="4" t="s">
        <v>6</v>
      </c>
      <c r="C34" s="5" t="s">
        <v>14</v>
      </c>
      <c r="D34" s="6" t="s">
        <v>15</v>
      </c>
    </row>
    <row r="35" spans="2:4" x14ac:dyDescent="0.45">
      <c r="B35" s="4" t="s">
        <v>7</v>
      </c>
      <c r="C35" s="5" t="s">
        <v>14</v>
      </c>
      <c r="D35" s="6" t="s">
        <v>16</v>
      </c>
    </row>
    <row r="36" spans="2:4" x14ac:dyDescent="0.45">
      <c r="B36" s="4" t="s">
        <v>12</v>
      </c>
      <c r="C36" s="5" t="s">
        <v>14</v>
      </c>
      <c r="D36" s="6" t="s">
        <v>17</v>
      </c>
    </row>
    <row r="37" spans="2:4" x14ac:dyDescent="0.45">
      <c r="B37" s="4" t="s">
        <v>13</v>
      </c>
      <c r="C37" s="5" t="s">
        <v>14</v>
      </c>
      <c r="D37" s="6" t="s">
        <v>18</v>
      </c>
    </row>
  </sheetData>
  <mergeCells count="6">
    <mergeCell ref="H5:I5"/>
    <mergeCell ref="B4:D4"/>
    <mergeCell ref="B3:D3"/>
    <mergeCell ref="H2:I2"/>
    <mergeCell ref="H3:I3"/>
    <mergeCell ref="H4:I4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C71643-BD8A-4228-9941-C1F1EBCCC750}">
          <x14:formula1>
            <xm:f>Лист2!$A$2:$A$5</xm:f>
          </x14:formula1>
          <xm:sqref>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6B55-D37C-4B8B-A2D3-2054FE08BB42}">
  <dimension ref="A1:A5"/>
  <sheetViews>
    <sheetView workbookViewId="0">
      <selection activeCell="A4" sqref="A4"/>
    </sheetView>
  </sheetViews>
  <sheetFormatPr defaultRowHeight="14.25" x14ac:dyDescent="0.45"/>
  <cols>
    <col min="1" max="1" width="29.86328125" bestFit="1" customWidth="1"/>
  </cols>
  <sheetData>
    <row r="1" spans="1:1" x14ac:dyDescent="0.45">
      <c r="A1" t="s">
        <v>19</v>
      </c>
    </row>
    <row r="2" spans="1:1" x14ac:dyDescent="0.45">
      <c r="A2" t="s">
        <v>9</v>
      </c>
    </row>
    <row r="3" spans="1:1" x14ac:dyDescent="0.45">
      <c r="A3" t="s">
        <v>10</v>
      </c>
    </row>
    <row r="4" spans="1:1" x14ac:dyDescent="0.45">
      <c r="A4" t="s">
        <v>3</v>
      </c>
    </row>
    <row r="5" spans="1:1" x14ac:dyDescent="0.45">
      <c r="A5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2</vt:lpstr>
      <vt:lpstr>Лист2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2022-03-26T21:36:33Z</dcterms:created>
  <dcterms:modified xsi:type="dcterms:W3CDTF">2022-03-26T23:51:17Z</dcterms:modified>
  <cp:category/>
  <cp:contentStatus/>
</cp:coreProperties>
</file>