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2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7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2"/>
  </bookViews>
  <sheets>
    <sheet name="земельный участок" sheetId="1" state="visible" r:id="rId1"/>
    <sheet name="Мног_колич_блоков" sheetId="2" state="visible" r:id="rId2"/>
    <sheet name="Много_кол_бло_огр" sheetId="3" state="visible" r:id="rId3"/>
    <sheet name="Много_кол_энерг_огр" sheetId="4" state="visible" r:id="rId4"/>
    <sheet name="блоки_площади_огражд" sheetId="5" state="visible" r:id="rId5"/>
    <sheet name="Мног_колич_квартир" sheetId="6" state="visible" r:id="rId6"/>
    <sheet name="Мног_электро" sheetId="7" state="visible" r:id="rId7"/>
    <sheet name="Мног_колич_жителей" sheetId="8" state="visible" r:id="rId8"/>
    <sheet name="Мног_колич_кухня" sheetId="9" state="visible" r:id="rId9"/>
    <sheet name="Мног_потреб_вода" sheetId="10" state="visible" r:id="rId10"/>
    <sheet name="Мног_вода_нагрев" sheetId="11" state="visible" r:id="rId11"/>
    <sheet name="Мног_показ_благоуст_норматив" sheetId="12" state="visible" r:id="rId12"/>
    <sheet name="Малоэтажка_площади" sheetId="13" state="visible" r:id="rId13"/>
    <sheet name="Осн._характ_ки_малоэт_кварт" sheetId="14" state="visible" r:id="rId14"/>
    <sheet name="1тип(3кв)" sheetId="15" state="visible" r:id="rId15"/>
    <sheet name="2тип(4кв)" sheetId="16" state="visible" r:id="rId16"/>
    <sheet name="У_1тип(3кв)" sheetId="17" state="visible" r:id="rId17"/>
    <sheet name="У_2тип(4кв)" sheetId="18" state="visible" r:id="rId18"/>
  </sheets>
  <calcPr/>
</workbook>
</file>

<file path=xl/sharedStrings.xml><?xml version="1.0" encoding="utf-8"?>
<sst xmlns="http://schemas.openxmlformats.org/spreadsheetml/2006/main" count="175" uniqueCount="175">
  <si>
    <t xml:space="preserve">Номер микрорайона</t>
  </si>
  <si>
    <t xml:space="preserve">Номер дома</t>
  </si>
  <si>
    <t xml:space="preserve">Минимальный размер </t>
  </si>
  <si>
    <t xml:space="preserve">Максимальный размер</t>
  </si>
  <si>
    <t xml:space="preserve">Фактический размер</t>
  </si>
  <si>
    <t xml:space="preserve">Площадь застройки</t>
  </si>
  <si>
    <t xml:space="preserve">Процент застройки</t>
  </si>
  <si>
    <t>Норматив</t>
  </si>
  <si>
    <t>Факт</t>
  </si>
  <si>
    <t>1</t>
  </si>
  <si>
    <t>1-1</t>
  </si>
  <si>
    <t>-</t>
  </si>
  <si>
    <t>1-2</t>
  </si>
  <si>
    <t>1-3</t>
  </si>
  <si>
    <t>1-4</t>
  </si>
  <si>
    <t>1-5</t>
  </si>
  <si>
    <t>2</t>
  </si>
  <si>
    <t>2-1</t>
  </si>
  <si>
    <t>2-2</t>
  </si>
  <si>
    <t>2-3</t>
  </si>
  <si>
    <t>3</t>
  </si>
  <si>
    <t>3-1</t>
  </si>
  <si>
    <t>3-2</t>
  </si>
  <si>
    <t>3-3</t>
  </si>
  <si>
    <t>ИТОГО</t>
  </si>
  <si>
    <t>Номер_микрорайона</t>
  </si>
  <si>
    <t xml:space="preserve">Количество блоков, единиц</t>
  </si>
  <si>
    <t xml:space="preserve">Тип_1 (3кв)</t>
  </si>
  <si>
    <t>Тип_2(4кв)</t>
  </si>
  <si>
    <t>У_Тип_1(3кв)</t>
  </si>
  <si>
    <t>У_Тип2(4кв)</t>
  </si>
  <si>
    <t xml:space="preserve">Номер участка</t>
  </si>
  <si>
    <t xml:space="preserve">Количество секций на земельном участке, единиц</t>
  </si>
  <si>
    <t>промежут</t>
  </si>
  <si>
    <t>концевой</t>
  </si>
  <si>
    <t xml:space="preserve">Тип_1 (3кв) - промежуточный</t>
  </si>
  <si>
    <t xml:space="preserve">Тип_1 (3кв) - концевой</t>
  </si>
  <si>
    <t xml:space="preserve">Тип_2 (4кв) - промежуточный</t>
  </si>
  <si>
    <t xml:space="preserve">Тип_2 (4кв) - концевые</t>
  </si>
  <si>
    <t xml:space="preserve">У_Тип_1 (3кв) - промежуточный</t>
  </si>
  <si>
    <t xml:space="preserve">У_Тип_1 (3кв) - концевой</t>
  </si>
  <si>
    <t>Этажность</t>
  </si>
  <si>
    <t xml:space="preserve">Общая площадь ограждающих конструкций</t>
  </si>
  <si>
    <t xml:space="preserve">t, внутр</t>
  </si>
  <si>
    <t xml:space="preserve">t, нар.</t>
  </si>
  <si>
    <t>R</t>
  </si>
  <si>
    <t xml:space="preserve">1 этаж</t>
  </si>
  <si>
    <t xml:space="preserve">2 этаж</t>
  </si>
  <si>
    <t>стена</t>
  </si>
  <si>
    <t>окна_стеновые</t>
  </si>
  <si>
    <t>окна_лоджии</t>
  </si>
  <si>
    <t>двери</t>
  </si>
  <si>
    <t>перекрытия_пол</t>
  </si>
  <si>
    <t>перекрытия_чердак</t>
  </si>
  <si>
    <t>ВСЕГО</t>
  </si>
  <si>
    <t>вт</t>
  </si>
  <si>
    <t>ккал</t>
  </si>
  <si>
    <t>ГКал/час</t>
  </si>
  <si>
    <t>куб/час</t>
  </si>
  <si>
    <t>вт/час</t>
  </si>
  <si>
    <t xml:space="preserve">куб. м/час</t>
  </si>
  <si>
    <t>куб.м/час</t>
  </si>
  <si>
    <t xml:space="preserve">Площадь ограждающей поверхности, кв. м</t>
  </si>
  <si>
    <t xml:space="preserve">Тип_1(3кв) - промежуточный_1этаж</t>
  </si>
  <si>
    <t xml:space="preserve">Тип_1(3кв) - промежуточный_2+этаж</t>
  </si>
  <si>
    <t xml:space="preserve">Тип_1(3кв) - концевой_1этаж</t>
  </si>
  <si>
    <t xml:space="preserve">Тип_1(3кв) - концевой_2+этаж</t>
  </si>
  <si>
    <t xml:space="preserve">Тип_2(4кв) - промежуточный_1этаж</t>
  </si>
  <si>
    <t xml:space="preserve">Тип_2(4кв) - промежуточный_2+этаж</t>
  </si>
  <si>
    <t xml:space="preserve">Тип_2(4кв) - концевой_1этаж</t>
  </si>
  <si>
    <t xml:space="preserve">Тип_2(4кв) - концевой_2+этаж</t>
  </si>
  <si>
    <t xml:space="preserve">У_Тип_1(3кв) - промежуточный_1этаж</t>
  </si>
  <si>
    <t xml:space="preserve">У_Тип_1(3кв) - промежуточный_2+этаж</t>
  </si>
  <si>
    <t xml:space="preserve">У_Тип_1(3кв) - концевой_1этаж</t>
  </si>
  <si>
    <t xml:space="preserve">У_Тип_1(3кв) - концевой_2+этаж</t>
  </si>
  <si>
    <t xml:space="preserve">Количество квартир, единиц</t>
  </si>
  <si>
    <t xml:space="preserve">Итог микрорайон</t>
  </si>
  <si>
    <t xml:space="preserve">Коэфициент интерполяции</t>
  </si>
  <si>
    <t xml:space="preserve">Норматив потребления, кВт</t>
  </si>
  <si>
    <t xml:space="preserve">Потребление всего, кВт</t>
  </si>
  <si>
    <t xml:space="preserve">Количество проживающих (норматив), человек</t>
  </si>
  <si>
    <t xml:space="preserve">всего приборов</t>
  </si>
  <si>
    <t xml:space="preserve">всего приборов без горячей воды</t>
  </si>
  <si>
    <t xml:space="preserve">Общий, куб. м/час</t>
  </si>
  <si>
    <t xml:space="preserve">ХВС, куб. м/час</t>
  </si>
  <si>
    <t xml:space="preserve">ГВС зимой, куб. м/час</t>
  </si>
  <si>
    <t xml:space="preserve">ГВС летом, куб. м/час</t>
  </si>
  <si>
    <t xml:space="preserve">Общий, куб. м/сут</t>
  </si>
  <si>
    <t xml:space="preserve">ХВС, куб. м/сут</t>
  </si>
  <si>
    <t xml:space="preserve">ГВС зимой, куб. м/сут</t>
  </si>
  <si>
    <t xml:space="preserve">ГВС летом, куб. м/сут</t>
  </si>
  <si>
    <t xml:space="preserve">потребность  в МГдж/час</t>
  </si>
  <si>
    <t xml:space="preserve">Расход газа МГдж, куб/час</t>
  </si>
  <si>
    <t xml:space="preserve">потребность  в ГКал/час</t>
  </si>
  <si>
    <t xml:space="preserve">Потребность в элементах благоустройства, кв. м</t>
  </si>
  <si>
    <r>
      <t xml:space="preserve">Площадки </t>
    </r>
    <r>
      <t xml:space="preserve">
</t>
    </r>
    <r>
      <t xml:space="preserve">для отдыха детей</t>
    </r>
    <r>
      <t xml:space="preserve">
</t>
    </r>
    <r>
      <t xml:space="preserve"> и взрослых</t>
    </r>
  </si>
  <si>
    <t xml:space="preserve">Спортивные площадки</t>
  </si>
  <si>
    <t xml:space="preserve">Площадки для хозяйственных целей</t>
  </si>
  <si>
    <t xml:space="preserve">Гостевые автостоянки для жильцов дома</t>
  </si>
  <si>
    <t xml:space="preserve">ВСЕГО по участку-норматив</t>
  </si>
  <si>
    <t xml:space="preserve">ВСЕГО по участку-факт</t>
  </si>
  <si>
    <t xml:space="preserve">общая спорт</t>
  </si>
  <si>
    <t>норматив</t>
  </si>
  <si>
    <t>потребность</t>
  </si>
  <si>
    <t>факт</t>
  </si>
  <si>
    <t>Номер_участка</t>
  </si>
  <si>
    <t xml:space="preserve">Площадь квартир общая</t>
  </si>
  <si>
    <t xml:space="preserve">Основные характеристики</t>
  </si>
  <si>
    <r>
      <t>Единица</t>
    </r>
    <r>
      <t xml:space="preserve">
</t>
    </r>
    <r>
      <t>измерения</t>
    </r>
  </si>
  <si>
    <t>Типы</t>
  </si>
  <si>
    <t xml:space="preserve">Количество этажей</t>
  </si>
  <si>
    <t>шт.</t>
  </si>
  <si>
    <t xml:space="preserve">Количество 1к_квартир_этаж</t>
  </si>
  <si>
    <t xml:space="preserve">Количество 2к_квартир_этаж</t>
  </si>
  <si>
    <t xml:space="preserve">Количество 3к_квартир_этаж</t>
  </si>
  <si>
    <t>Всего_квартир_этаж</t>
  </si>
  <si>
    <t>Всего_квартир_секция</t>
  </si>
  <si>
    <t>Площадь_квартир_этаж</t>
  </si>
  <si>
    <t xml:space="preserve">кв. м.</t>
  </si>
  <si>
    <t>Площадь_квартир_секция</t>
  </si>
  <si>
    <t xml:space="preserve">Тип квартиры</t>
  </si>
  <si>
    <t xml:space="preserve">ед. изм</t>
  </si>
  <si>
    <t>Площадь</t>
  </si>
  <si>
    <t xml:space="preserve">1 комнатная</t>
  </si>
  <si>
    <t xml:space="preserve">2 комнатная</t>
  </si>
  <si>
    <t xml:space="preserve">3 комнатная</t>
  </si>
  <si>
    <t xml:space="preserve">Тип_1(3 кв) концевой</t>
  </si>
  <si>
    <t>окна</t>
  </si>
  <si>
    <t xml:space="preserve">Тип окна</t>
  </si>
  <si>
    <t xml:space="preserve">ширина, м</t>
  </si>
  <si>
    <t xml:space="preserve">высота, м</t>
  </si>
  <si>
    <t xml:space="preserve">площадь, кв. м</t>
  </si>
  <si>
    <t xml:space="preserve">кол-во, ед</t>
  </si>
  <si>
    <t xml:space="preserve">всего, кв. м</t>
  </si>
  <si>
    <t>окно_Тип_1_О1</t>
  </si>
  <si>
    <t>окно_Тип_1_О2</t>
  </si>
  <si>
    <t>окно_Тип_1_О3</t>
  </si>
  <si>
    <t>окно_Тип_1_О4</t>
  </si>
  <si>
    <t>окно_Тип_1_М1</t>
  </si>
  <si>
    <t>окно_Тип_1_М2</t>
  </si>
  <si>
    <t>окно_Тип_1_М3</t>
  </si>
  <si>
    <t>окно_Тип_1_М4</t>
  </si>
  <si>
    <t xml:space="preserve">Тип двери</t>
  </si>
  <si>
    <t>дверь_Тип_1_Д1</t>
  </si>
  <si>
    <t xml:space="preserve">стены 1 этаж</t>
  </si>
  <si>
    <t xml:space="preserve">Тип стены</t>
  </si>
  <si>
    <t xml:space="preserve">длина, м</t>
  </si>
  <si>
    <t xml:space="preserve">минус_окна_двери, кв. м</t>
  </si>
  <si>
    <t xml:space="preserve">итого стены, кв. м</t>
  </si>
  <si>
    <t>стена_Тип_1_С1</t>
  </si>
  <si>
    <t xml:space="preserve">стены 2 этаж и выше</t>
  </si>
  <si>
    <t xml:space="preserve">Тип_1(3 кв) промежуточный</t>
  </si>
  <si>
    <t>окно_Тип_1_М5</t>
  </si>
  <si>
    <t>перекрытия</t>
  </si>
  <si>
    <t xml:space="preserve">Тип_2(4 кв) концевой</t>
  </si>
  <si>
    <t>окно_Тип_2_О1</t>
  </si>
  <si>
    <t>окно_Тип_2_О2</t>
  </si>
  <si>
    <t>окно_Тип_2_О3</t>
  </si>
  <si>
    <t>окно_Тип_2_М1</t>
  </si>
  <si>
    <t>окно_Тип_2_М3</t>
  </si>
  <si>
    <t>дверь_Тип_2_Д1</t>
  </si>
  <si>
    <t>стена_Тип_2_С1</t>
  </si>
  <si>
    <t xml:space="preserve">Тип_2(4 кв) промежуточный</t>
  </si>
  <si>
    <t>окно_Тип_2_М2</t>
  </si>
  <si>
    <t xml:space="preserve">У_Тип_1(3 кв) - концевой</t>
  </si>
  <si>
    <t>окно_Тип_3_О1</t>
  </si>
  <si>
    <t>окно_Тип_3_О2</t>
  </si>
  <si>
    <t>окно_Тип_3_О3</t>
  </si>
  <si>
    <t>окно_Тип_3_О4</t>
  </si>
  <si>
    <t>окно_Тип_3_О5</t>
  </si>
  <si>
    <t>окно_Тип_3_О6</t>
  </si>
  <si>
    <t>окно_Тип_3_М1</t>
  </si>
  <si>
    <t>окно_Тип_3_М2</t>
  </si>
  <si>
    <t>окно_Тип_3_М3</t>
  </si>
  <si>
    <t xml:space="preserve">У_Тип_1(3 кв) - промежуточный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</si>
</sst>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_-* #,##0.00\ [$₽-19]_-;\-* #,##0.00\ [$₽-19]_-;_-* &quot;-&quot;??\ [$₽-19]_-;_-@_-"/>
  </numFmts>
  <fonts count="6">
    <font>
      <sz val="11.000000"/>
      <color theme="1" tint="0"/>
      <name val="Calibri"/>
    </font>
    <font>
      <sz val="11.000000"/>
      <color theme="1" tint="0"/>
      <name val="Calibri"/>
      <scheme val="minor"/>
    </font>
    <font>
      <b/>
      <sz val="11.000000"/>
      <color theme="1" tint="0"/>
      <name val="Calibri"/>
      <scheme val="minor"/>
    </font>
    <font>
      <b/>
      <i/>
      <sz val="11.000000"/>
      <name val="Calibri"/>
    </font>
    <font>
      <b/>
      <i/>
      <sz val="11.000000"/>
      <color theme="1" tint="0"/>
      <name val="Calibri"/>
      <scheme val="minor"/>
    </font>
    <font>
      <i/>
      <sz val="11.000000"/>
      <color theme="9" tint="-0.249977111117893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5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  <border>
      <left style="thin">
        <color auto="1"/>
      </left>
      <right style="thin">
        <color theme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ck">
        <color auto="1"/>
      </left>
      <right style="thin">
        <color theme="1"/>
      </right>
      <top style="thick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ck">
        <color auto="1"/>
      </top>
      <bottom style="thin">
        <color theme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theme="1"/>
      </right>
      <top style="thin">
        <color theme="1"/>
      </top>
      <bottom style="thick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theme="1"/>
      </left>
      <right style="thick">
        <color auto="1"/>
      </right>
      <top style="thick">
        <color auto="1"/>
      </top>
      <bottom style="thin">
        <color theme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theme="1"/>
      </left>
      <right style="thick">
        <color auto="1"/>
      </right>
      <top style="thin">
        <color theme="1"/>
      </top>
      <bottom style="thin">
        <color theme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theme="1"/>
      </left>
      <right style="thick">
        <color auto="1"/>
      </right>
      <top style="thin">
        <color theme="1"/>
      </top>
      <bottom style="thick">
        <color auto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/>
      <bottom style="thin">
        <color auto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ck">
        <color theme="1"/>
      </right>
      <top/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/>
      <top style="thin">
        <color theme="1"/>
      </top>
      <bottom style="thin">
        <color theme="1"/>
      </bottom>
      <diagonal/>
    </border>
    <border>
      <left style="thick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ck">
        <color theme="1"/>
      </right>
      <top style="thin">
        <color theme="1"/>
      </top>
      <bottom/>
      <diagonal/>
    </border>
    <border>
      <left style="thick">
        <color theme="1"/>
      </left>
      <right/>
      <top style="thin">
        <color theme="1"/>
      </top>
      <bottom style="thick">
        <color theme="1"/>
      </bottom>
      <diagonal/>
    </border>
    <border>
      <left/>
      <right/>
      <top style="thin">
        <color theme="1"/>
      </top>
      <bottom style="thick">
        <color theme="1"/>
      </bottom>
      <diagonal/>
    </border>
    <border>
      <left/>
      <right style="thick">
        <color theme="1"/>
      </right>
      <top style="thin">
        <color theme="1"/>
      </top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</borders>
  <cellStyleXfs count="1">
    <xf fontId="0" fillId="0" borderId="0" numFmtId="0" applyNumberFormat="1" applyFont="1" applyFill="1" applyBorder="1" quotePrefix="0"/>
  </cellStyleXfs>
  <cellXfs count="176">
    <xf fontId="1" fillId="0" borderId="0" numFmtId="0" xfId="0" applyFont="1" quotePrefix="0"/>
    <xf fontId="1" fillId="0" borderId="1" numFmtId="0" xfId="0" applyFont="1" applyBorder="1" applyAlignment="1" quotePrefix="0">
      <alignment horizontal="center" vertical="center"/>
    </xf>
    <xf fontId="1" fillId="0" borderId="2" numFmtId="0" xfId="0" applyFont="1" applyBorder="1" applyAlignment="1" quotePrefix="0">
      <alignment horizontal="center" vertical="center"/>
    </xf>
    <xf fontId="1" fillId="0" borderId="3" numFmtId="0" xfId="0" applyFont="1" applyBorder="1" applyAlignment="1" quotePrefix="0">
      <alignment horizontal="center" vertical="center"/>
    </xf>
    <xf fontId="1" fillId="0" borderId="1" numFmtId="49" xfId="0" applyNumberFormat="1" applyFont="1" applyBorder="1" applyAlignment="1" quotePrefix="0">
      <alignment horizontal="center" vertical="center"/>
    </xf>
    <xf fontId="1" fillId="0" borderId="1" numFmtId="49" xfId="0" applyNumberFormat="1" applyFont="1" applyBorder="1" applyAlignment="1" quotePrefix="0">
      <alignment horizontal="center"/>
    </xf>
    <xf fontId="1" fillId="0" borderId="1" numFmtId="0" xfId="0" applyFont="1" applyBorder="1" applyAlignment="1" quotePrefix="0">
      <alignment horizontal="center"/>
    </xf>
    <xf fontId="1" fillId="0" borderId="1" numFmtId="1" xfId="0" applyNumberFormat="1" applyFont="1" applyBorder="1" applyAlignment="1" quotePrefix="0">
      <alignment horizontal="center"/>
    </xf>
    <xf fontId="1" fillId="0" borderId="4" numFmtId="49" xfId="0" applyNumberFormat="1" applyFont="1" applyBorder="1" applyAlignment="1" quotePrefix="0">
      <alignment horizontal="center" vertical="center"/>
    </xf>
    <xf fontId="1" fillId="0" borderId="3" numFmtId="49" xfId="0" applyNumberFormat="1" applyFont="1" applyBorder="1" applyAlignment="1" quotePrefix="0">
      <alignment horizontal="center" vertical="center"/>
    </xf>
    <xf fontId="1" fillId="0" borderId="5" numFmtId="0" xfId="0" applyFont="1" applyBorder="1" applyAlignment="1" quotePrefix="0">
      <alignment horizontal="center"/>
    </xf>
    <xf fontId="1" fillId="0" borderId="2" numFmtId="0" xfId="0" applyFont="1" applyBorder="1" applyAlignment="1" quotePrefix="0">
      <alignment horizontal="center"/>
    </xf>
    <xf fontId="1" fillId="0" borderId="1" numFmtId="0" xfId="0" applyFont="1" applyBorder="1" quotePrefix="0"/>
    <xf fontId="1" fillId="0" borderId="6" numFmtId="0" xfId="0" applyFont="1" applyBorder="1" applyAlignment="1" quotePrefix="0">
      <alignment horizontal="center" vertical="center"/>
    </xf>
    <xf fontId="1" fillId="0" borderId="7" numFmtId="0" xfId="0" applyFont="1" applyBorder="1" applyAlignment="1" quotePrefix="0">
      <alignment horizontal="center" vertical="center"/>
    </xf>
    <xf fontId="1" fillId="0" borderId="8" numFmtId="0" xfId="0" applyFont="1" applyBorder="1" applyAlignment="1" quotePrefix="0">
      <alignment horizontal="center"/>
    </xf>
    <xf fontId="1" fillId="0" borderId="9" numFmtId="0" xfId="0" applyFont="1" applyBorder="1" applyAlignment="1" quotePrefix="0">
      <alignment horizontal="center"/>
    </xf>
    <xf fontId="1" fillId="0" borderId="10" numFmtId="0" xfId="0" applyFont="1" applyBorder="1" applyAlignment="1" quotePrefix="0">
      <alignment horizontal="center"/>
    </xf>
    <xf fontId="1" fillId="0" borderId="11" numFmtId="0" xfId="0" applyFont="1" applyBorder="1" applyAlignment="1" quotePrefix="0">
      <alignment horizontal="center" vertical="center"/>
    </xf>
    <xf fontId="1" fillId="0" borderId="4" numFmtId="0" xfId="0" applyFont="1" applyBorder="1" applyAlignment="1" quotePrefix="0">
      <alignment horizontal="center" vertical="center"/>
    </xf>
    <xf fontId="1" fillId="0" borderId="12" numFmtId="0" xfId="0" applyFont="1" applyBorder="1" applyAlignment="1" quotePrefix="0">
      <alignment horizontal="center"/>
    </xf>
    <xf fontId="1" fillId="0" borderId="13" numFmtId="0" xfId="0" applyFont="1" applyBorder="1" applyAlignment="1" quotePrefix="0">
      <alignment horizontal="center"/>
    </xf>
    <xf fontId="1" fillId="0" borderId="14" numFmtId="0" xfId="0" applyFont="1" applyBorder="1" applyAlignment="1" quotePrefix="0">
      <alignment horizontal="center" vertical="center"/>
    </xf>
    <xf fontId="0" fillId="0" borderId="15" numFmtId="0" xfId="0" applyBorder="1" applyAlignment="1" quotePrefix="0">
      <alignment horizontal="center"/>
    </xf>
    <xf fontId="1" fillId="0" borderId="3" numFmtId="49" xfId="0" applyNumberFormat="1" applyFont="1" applyBorder="1" applyAlignment="1" quotePrefix="0">
      <alignment horizontal="center"/>
    </xf>
    <xf fontId="1" fillId="0" borderId="0" numFmtId="0" xfId="0" applyFont="1" applyAlignment="1" quotePrefix="0">
      <alignment horizontal="center"/>
    </xf>
    <xf fontId="1" fillId="0" borderId="15" numFmtId="0" xfId="0" applyFont="1" applyBorder="1" applyAlignment="1" quotePrefix="0">
      <alignment horizontal="center" vertical="center"/>
    </xf>
    <xf fontId="0" fillId="0" borderId="15" numFmtId="0" xfId="0" applyBorder="1" applyAlignment="1" quotePrefix="0">
      <alignment horizontal="center" vertical="center"/>
    </xf>
    <xf fontId="1" fillId="0" borderId="15" numFmtId="0" xfId="0" applyFont="1" applyBorder="1" applyAlignment="1" quotePrefix="0">
      <alignment horizontal="center"/>
    </xf>
    <xf fontId="1" fillId="0" borderId="0" numFmtId="0" xfId="0" applyFont="1" quotePrefix="0">
      <protection hidden="0" locked="1"/>
    </xf>
    <xf fontId="1" fillId="0" borderId="16" numFmtId="0" xfId="0" applyFont="1" applyBorder="1" applyAlignment="1" quotePrefix="0">
      <alignment horizontal="center" vertical="center"/>
    </xf>
    <xf fontId="0" fillId="0" borderId="16" numFmtId="0" xfId="0" applyBorder="1" applyAlignment="1" quotePrefix="0">
      <alignment horizontal="center" vertical="center"/>
    </xf>
    <xf fontId="0" fillId="0" borderId="16" numFmtId="0" xfId="0" applyBorder="1" applyAlignment="1" quotePrefix="0">
      <alignment horizontal="center"/>
    </xf>
    <xf fontId="0" fillId="0" borderId="16" numFmtId="0" xfId="0" applyBorder="1" quotePrefix="0"/>
    <xf fontId="1" fillId="0" borderId="16" numFmtId="0" xfId="0" applyFont="1" applyBorder="1" applyAlignment="1" quotePrefix="0">
      <alignment horizontal="center"/>
    </xf>
    <xf fontId="0" fillId="0" borderId="0" numFmtId="0" xfId="0" quotePrefix="0">
      <protection hidden="0" locked="1"/>
    </xf>
    <xf fontId="1" fillId="0" borderId="17" numFmtId="49" xfId="0" applyNumberFormat="1" applyFont="1" applyBorder="1" applyAlignment="1" quotePrefix="0">
      <alignment horizontal="center" vertical="center"/>
    </xf>
    <xf fontId="1" fillId="0" borderId="18" numFmtId="49" xfId="0" applyNumberFormat="1" applyFont="1" applyBorder="1" applyAlignment="1" quotePrefix="0">
      <alignment horizontal="center"/>
    </xf>
    <xf fontId="1" fillId="0" borderId="18" numFmtId="2" xfId="0" applyNumberFormat="1" applyFont="1" applyBorder="1" applyAlignment="1" quotePrefix="0">
      <alignment horizontal="center"/>
    </xf>
    <xf fontId="1" fillId="0" borderId="18" numFmtId="0" xfId="0" applyFont="1" applyBorder="1" applyAlignment="1" quotePrefix="0">
      <alignment horizontal="center"/>
    </xf>
    <xf fontId="1" fillId="0" borderId="18" numFmtId="0" xfId="0" applyFont="1" applyBorder="1" applyAlignment="1" quotePrefix="0">
      <alignment horizontal="center" vertical="center"/>
    </xf>
    <xf fontId="1" fillId="0" borderId="18" numFmtId="0" xfId="0" applyFont="1" applyBorder="1" quotePrefix="0">
      <protection hidden="0" locked="1"/>
    </xf>
    <xf fontId="1" fillId="0" borderId="18" numFmtId="0" xfId="0" applyFont="1" applyBorder="1" quotePrefix="0"/>
    <xf fontId="1" fillId="0" borderId="19" numFmtId="0" xfId="0" applyFont="1" applyBorder="1" quotePrefix="0">
      <protection hidden="0" locked="1"/>
    </xf>
    <xf fontId="1" fillId="0" borderId="20" numFmtId="0" xfId="0" applyFont="1" applyBorder="1" quotePrefix="0">
      <protection hidden="0" locked="1"/>
    </xf>
    <xf fontId="1" fillId="0" borderId="21" numFmtId="49" xfId="0" applyNumberFormat="1" applyFont="1" applyBorder="1" applyAlignment="1" quotePrefix="0">
      <alignment horizontal="center" vertical="center"/>
    </xf>
    <xf fontId="1" fillId="0" borderId="15" numFmtId="49" xfId="0" applyNumberFormat="1" applyFont="1" applyBorder="1" applyAlignment="1" quotePrefix="0">
      <alignment horizontal="center"/>
    </xf>
    <xf fontId="1" fillId="0" borderId="15" numFmtId="2" xfId="0" applyNumberFormat="1" applyFont="1" applyBorder="1" applyAlignment="1" quotePrefix="0">
      <alignment horizontal="center"/>
    </xf>
    <xf fontId="1" fillId="0" borderId="15" numFmtId="0" xfId="0" applyFont="1" applyBorder="1" applyAlignment="1" quotePrefix="0">
      <alignment horizontal="center"/>
      <protection hidden="0" locked="1"/>
    </xf>
    <xf fontId="1" fillId="0" borderId="15" numFmtId="0" xfId="0" applyFont="1" applyBorder="1" quotePrefix="0">
      <protection hidden="0" locked="1"/>
    </xf>
    <xf fontId="1" fillId="0" borderId="15" numFmtId="0" xfId="0" applyFont="1" applyBorder="1" quotePrefix="0"/>
    <xf fontId="0" fillId="0" borderId="0" numFmtId="0" xfId="0" quotePrefix="0"/>
    <xf fontId="1" fillId="0" borderId="22" numFmtId="0" xfId="0" applyFont="1" applyBorder="1" quotePrefix="0">
      <protection hidden="0" locked="1"/>
    </xf>
    <xf fontId="1" fillId="0" borderId="23" numFmtId="49" xfId="0" applyNumberFormat="1" applyFont="1" applyBorder="1" applyAlignment="1" quotePrefix="0">
      <alignment horizontal="center" vertical="center"/>
    </xf>
    <xf fontId="1" fillId="0" borderId="24" numFmtId="49" xfId="0" applyNumberFormat="1" applyFont="1" applyBorder="1" applyAlignment="1" quotePrefix="0">
      <alignment horizontal="center"/>
    </xf>
    <xf fontId="1" fillId="0" borderId="24" numFmtId="2" xfId="0" applyNumberFormat="1" applyFont="1" applyBorder="1" applyAlignment="1" quotePrefix="0">
      <alignment horizontal="center"/>
    </xf>
    <xf fontId="1" fillId="0" borderId="24" numFmtId="0" xfId="0" applyFont="1" applyBorder="1" applyAlignment="1" quotePrefix="0">
      <alignment horizontal="center"/>
    </xf>
    <xf fontId="1" fillId="0" borderId="24" numFmtId="0" xfId="0" applyFont="1" applyBorder="1" applyAlignment="1" quotePrefix="0">
      <alignment horizontal="center" vertical="center"/>
    </xf>
    <xf fontId="1" fillId="0" borderId="24" numFmtId="0" xfId="0" applyFont="1" applyBorder="1" applyAlignment="1" quotePrefix="0">
      <alignment horizontal="center"/>
      <protection hidden="0" locked="1"/>
    </xf>
    <xf fontId="1" fillId="0" borderId="24" numFmtId="0" xfId="0" applyFont="1" applyBorder="1" quotePrefix="0">
      <protection hidden="0" locked="1"/>
    </xf>
    <xf fontId="1" fillId="0" borderId="24" numFmtId="0" xfId="0" applyFont="1" applyBorder="1" quotePrefix="0"/>
    <xf fontId="1" fillId="0" borderId="25" numFmtId="0" xfId="0" applyFont="1" applyBorder="1" quotePrefix="0">
      <protection hidden="0" locked="1"/>
    </xf>
    <xf fontId="0" fillId="0" borderId="25" numFmtId="0" xfId="0" applyBorder="1" quotePrefix="0"/>
    <xf fontId="1" fillId="0" borderId="26" numFmtId="0" xfId="0" applyFont="1" applyBorder="1" quotePrefix="0">
      <protection hidden="0" locked="1"/>
    </xf>
    <xf fontId="0" fillId="0" borderId="18" numFmtId="49" xfId="0" applyNumberFormat="1" applyBorder="1" applyAlignment="1" quotePrefix="0">
      <alignment horizontal="center"/>
    </xf>
    <xf fontId="1" fillId="0" borderId="18" numFmtId="0" xfId="0" applyFont="1" applyBorder="1" applyAlignment="1" quotePrefix="0">
      <alignment horizontal="center"/>
      <protection hidden="0" locked="1"/>
    </xf>
    <xf fontId="0" fillId="0" borderId="19" numFmtId="0" xfId="0" applyBorder="1" quotePrefix="0"/>
    <xf fontId="0" fillId="0" borderId="15" numFmtId="49" xfId="0" applyNumberFormat="1" applyBorder="1" applyAlignment="1" quotePrefix="0">
      <alignment horizontal="center"/>
    </xf>
    <xf fontId="0" fillId="0" borderId="24" numFmtId="49" xfId="0" applyNumberFormat="1" applyBorder="1" applyAlignment="1" quotePrefix="0">
      <alignment horizontal="center"/>
    </xf>
    <xf fontId="1" fillId="0" borderId="19" numFmtId="2" xfId="0" applyNumberFormat="1" applyFont="1" applyBorder="1" quotePrefix="0"/>
    <xf fontId="1" fillId="0" borderId="0" numFmtId="2" xfId="0" applyNumberFormat="1" applyFont="1" quotePrefix="0"/>
    <xf fontId="1" fillId="0" borderId="25" numFmtId="2" xfId="0" applyNumberFormat="1" applyFont="1" applyBorder="1" quotePrefix="0"/>
    <xf fontId="1" fillId="0" borderId="27" numFmtId="0" xfId="0" applyFont="1" applyBorder="1" applyAlignment="1" quotePrefix="0">
      <alignment horizontal="center"/>
    </xf>
    <xf fontId="1" fillId="0" borderId="27" numFmtId="0" xfId="0" applyFont="1" applyBorder="1" quotePrefix="0"/>
    <xf fontId="1" fillId="0" borderId="27" numFmtId="2" xfId="0" applyNumberFormat="1" applyFont="1" applyBorder="1" quotePrefix="0"/>
    <xf fontId="1" fillId="0" borderId="28" numFmtId="0" xfId="0" applyFont="1" applyBorder="1" applyAlignment="1" quotePrefix="0">
      <alignment horizontal="center" vertical="center"/>
    </xf>
    <xf fontId="0" fillId="0" borderId="6" numFmtId="0" xfId="0" applyBorder="1" applyAlignment="1" quotePrefix="0">
      <alignment horizontal="center"/>
    </xf>
    <xf fontId="0" fillId="0" borderId="5" numFmtId="0" xfId="0" applyBorder="1" applyAlignment="1" quotePrefix="0">
      <alignment horizontal="center"/>
    </xf>
    <xf fontId="0" fillId="0" borderId="1" numFmtId="0" xfId="0" applyBorder="1" applyAlignment="1" quotePrefix="0">
      <alignment horizontal="center"/>
    </xf>
    <xf fontId="0" fillId="0" borderId="1" numFmtId="0" xfId="0" applyBorder="1" quotePrefix="0"/>
    <xf fontId="0" fillId="0" borderId="1" numFmtId="0" xfId="0" applyBorder="1" applyAlignment="1" quotePrefix="0">
      <alignment vertical="center"/>
    </xf>
    <xf fontId="1" fillId="0" borderId="3" numFmtId="0" xfId="0" applyFont="1" applyBorder="1" quotePrefix="0"/>
    <xf fontId="1" fillId="0" borderId="4" numFmtId="0" xfId="0" applyFont="1" applyBorder="1" quotePrefix="0"/>
    <xf fontId="1" fillId="0" borderId="1" numFmtId="0" xfId="0" applyFont="1" applyBorder="1" applyAlignment="1" quotePrefix="0">
      <alignment horizontal="center" wrapText="1"/>
    </xf>
    <xf fontId="0" fillId="0" borderId="1" numFmtId="0" xfId="0" applyBorder="1" applyAlignment="1" quotePrefix="0">
      <alignment horizontal="center" wrapText="1"/>
    </xf>
    <xf fontId="1" fillId="0" borderId="28" numFmtId="0" xfId="0" applyFont="1" applyBorder="1" quotePrefix="0"/>
    <xf fontId="1" fillId="0" borderId="4" numFmtId="0" xfId="0" applyFont="1" applyBorder="1" applyAlignment="1" quotePrefix="0">
      <alignment horizontal="center" wrapText="1"/>
    </xf>
    <xf fontId="1" fillId="0" borderId="29" numFmtId="49" xfId="0" applyNumberFormat="1" applyFont="1" applyBorder="1" applyAlignment="1" quotePrefix="0">
      <alignment horizontal="center" vertical="center"/>
    </xf>
    <xf fontId="1" fillId="0" borderId="30" numFmtId="49" xfId="0" applyNumberFormat="1" applyFont="1" applyBorder="1" applyAlignment="1" quotePrefix="0">
      <alignment horizontal="center"/>
    </xf>
    <xf fontId="1" fillId="0" borderId="30" numFmtId="0" xfId="0" applyFont="1" applyBorder="1" quotePrefix="0"/>
    <xf fontId="1" fillId="0" borderId="30" numFmtId="0" xfId="0" applyFont="1" applyBorder="1" applyAlignment="1" quotePrefix="0">
      <alignment horizontal="center"/>
    </xf>
    <xf fontId="1" fillId="0" borderId="19" numFmtId="0" xfId="0" applyFont="1" applyBorder="1" quotePrefix="0"/>
    <xf fontId="1" fillId="0" borderId="31" numFmtId="0" xfId="0" applyFont="1" applyBorder="1" applyAlignment="1" quotePrefix="0">
      <alignment horizontal="center"/>
    </xf>
    <xf fontId="1" fillId="0" borderId="32" numFmtId="49" xfId="0" applyNumberFormat="1" applyFont="1" applyBorder="1" applyAlignment="1" quotePrefix="0">
      <alignment horizontal="center" vertical="center"/>
    </xf>
    <xf fontId="1" fillId="0" borderId="4" numFmtId="0" xfId="0" applyFont="1" applyBorder="1" applyAlignment="1" quotePrefix="0">
      <alignment horizontal="center"/>
    </xf>
    <xf fontId="1" fillId="0" borderId="33" numFmtId="0" xfId="0" applyFont="1" applyBorder="1" applyAlignment="1" quotePrefix="0">
      <alignment horizontal="center"/>
    </xf>
    <xf fontId="1" fillId="0" borderId="34" numFmtId="49" xfId="0" applyNumberFormat="1" applyFont="1" applyBorder="1" applyAlignment="1" quotePrefix="0">
      <alignment horizontal="center" vertical="center"/>
    </xf>
    <xf fontId="1" fillId="0" borderId="35" numFmtId="49" xfId="0" applyNumberFormat="1" applyFont="1" applyBorder="1" applyAlignment="1" quotePrefix="0">
      <alignment horizontal="center"/>
    </xf>
    <xf fontId="1" fillId="0" borderId="35" numFmtId="0" xfId="0" applyFont="1" applyBorder="1" quotePrefix="0"/>
    <xf fontId="1" fillId="0" borderId="36" numFmtId="0" xfId="0" applyFont="1" applyBorder="1" applyAlignment="1" quotePrefix="0">
      <alignment horizontal="center"/>
    </xf>
    <xf fontId="1" fillId="0" borderId="25" numFmtId="0" xfId="0" applyFont="1" applyBorder="1" quotePrefix="0"/>
    <xf fontId="1" fillId="0" borderId="37" numFmtId="0" xfId="0" applyFont="1" applyBorder="1" applyAlignment="1" quotePrefix="0">
      <alignment horizontal="center"/>
    </xf>
    <xf fontId="1" fillId="0" borderId="3" numFmtId="0" xfId="0" applyFont="1" applyBorder="1" applyAlignment="1" quotePrefix="0">
      <alignment horizontal="center"/>
    </xf>
    <xf fontId="2" fillId="0" borderId="27" numFmtId="0" xfId="0" applyFont="1" applyBorder="1" applyAlignment="1" quotePrefix="0">
      <alignment horizontal="center"/>
    </xf>
    <xf fontId="3" fillId="0" borderId="0" numFmtId="0" xfId="0" applyFont="1" quotePrefix="0"/>
    <xf fontId="4" fillId="0" borderId="6" numFmtId="0" xfId="0" applyFont="1" applyBorder="1" applyAlignment="1" quotePrefix="0">
      <alignment horizontal="center"/>
    </xf>
    <xf fontId="4" fillId="0" borderId="11" numFmtId="0" xfId="0" applyFont="1" applyBorder="1" applyAlignment="1" quotePrefix="0">
      <alignment horizontal="center"/>
    </xf>
    <xf fontId="4" fillId="0" borderId="6" numFmtId="0" xfId="0" applyFont="1" applyBorder="1" quotePrefix="0"/>
    <xf fontId="2" fillId="0" borderId="15" numFmtId="0" xfId="0" applyFont="1" applyBorder="1" quotePrefix="0"/>
    <xf fontId="4" fillId="0" borderId="15" numFmtId="0" xfId="0" applyFont="1" applyBorder="1" applyAlignment="1" quotePrefix="0">
      <alignment horizontal="center"/>
    </xf>
    <xf fontId="0" fillId="0" borderId="16" numFmtId="0" xfId="0" applyBorder="1" applyAlignment="1" quotePrefix="0">
      <alignment horizontal="center" wrapText="1"/>
    </xf>
    <xf fontId="0" fillId="0" borderId="15" numFmtId="0" xfId="0" applyBorder="1" applyAlignment="1" quotePrefix="0">
      <alignment horizontal="center" wrapText="1"/>
    </xf>
    <xf fontId="1" fillId="0" borderId="27" numFmtId="0" xfId="0" applyFont="1" applyBorder="1" applyAlignment="1" quotePrefix="0">
      <alignment horizontal="center" wrapText="1"/>
    </xf>
    <xf fontId="1" fillId="0" borderId="15" numFmtId="49" xfId="0" applyNumberFormat="1" applyFont="1" applyBorder="1" applyAlignment="1" quotePrefix="0">
      <alignment horizontal="center" vertical="center"/>
    </xf>
    <xf fontId="4" fillId="0" borderId="15" numFmtId="0" xfId="0" applyFont="1" applyBorder="1" quotePrefix="0"/>
    <xf fontId="1" fillId="2" borderId="0" numFmtId="0" xfId="0" applyFont="1" applyFill="1" quotePrefix="0"/>
    <xf fontId="0" fillId="0" borderId="0" numFmtId="0" xfId="0" applyAlignment="1" quotePrefix="0">
      <alignment horizontal="center" wrapText="1"/>
    </xf>
    <xf fontId="1" fillId="0" borderId="16" numFmtId="0" xfId="0" applyFont="1" applyBorder="1" quotePrefix="0"/>
    <xf fontId="4" fillId="0" borderId="16" numFmtId="0" xfId="0" applyFont="1" applyBorder="1" applyAlignment="1" quotePrefix="0">
      <alignment horizontal="center"/>
    </xf>
    <xf fontId="1" fillId="0" borderId="38" numFmtId="0" xfId="0" applyFont="1" applyBorder="1" applyAlignment="1" quotePrefix="0">
      <alignment horizontal="center"/>
    </xf>
    <xf fontId="1" fillId="0" borderId="38" numFmtId="0" xfId="0" applyFont="1" applyBorder="1" applyAlignment="1" quotePrefix="0">
      <alignment horizontal="center" wrapText="1"/>
    </xf>
    <xf fontId="4" fillId="0" borderId="18" numFmtId="0" xfId="0" applyFont="1" applyBorder="1" quotePrefix="0"/>
    <xf fontId="1" fillId="0" borderId="19" numFmtId="0" xfId="0" applyFont="1" applyBorder="1" applyAlignment="1" quotePrefix="0">
      <alignment horizontal="center"/>
    </xf>
    <xf fontId="1" fillId="0" borderId="20" numFmtId="0" xfId="0" applyFont="1" applyBorder="1" applyAlignment="1" quotePrefix="0">
      <alignment horizontal="center"/>
    </xf>
    <xf fontId="1" fillId="0" borderId="22" numFmtId="0" xfId="0" applyFont="1" applyBorder="1" applyAlignment="1" quotePrefix="0">
      <alignment horizontal="center"/>
    </xf>
    <xf fontId="4" fillId="0" borderId="24" numFmtId="0" xfId="0" applyFont="1" applyBorder="1" quotePrefix="0"/>
    <xf fontId="1" fillId="0" borderId="25" numFmtId="0" xfId="0" applyFont="1" applyBorder="1" applyAlignment="1" quotePrefix="0">
      <alignment horizontal="center"/>
    </xf>
    <xf fontId="1" fillId="0" borderId="26" numFmtId="0" xfId="0" applyFont="1" applyBorder="1" applyAlignment="1" quotePrefix="0">
      <alignment horizontal="center"/>
    </xf>
    <xf fontId="1" fillId="0" borderId="27" numFmtId="49" xfId="0" applyNumberFormat="1" applyFont="1" applyBorder="1" applyAlignment="1" quotePrefix="0">
      <alignment horizontal="center"/>
    </xf>
    <xf fontId="4" fillId="0" borderId="27" numFmtId="0" xfId="0" applyFont="1" applyBorder="1" applyAlignment="1" quotePrefix="0">
      <alignment horizontal="center"/>
    </xf>
    <xf fontId="2" fillId="0" borderId="0" numFmtId="0" xfId="0" applyFont="1" applyAlignment="1" quotePrefix="0">
      <alignment horizontal="center"/>
    </xf>
    <xf fontId="4" fillId="0" borderId="0" numFmtId="0" xfId="0" applyFont="1" applyAlignment="1" quotePrefix="0">
      <alignment horizontal="center"/>
    </xf>
    <xf fontId="2" fillId="0" borderId="0" numFmtId="0" xfId="0" applyFont="1" quotePrefix="0"/>
    <xf fontId="1" fillId="0" borderId="11" numFmtId="0" xfId="0" applyFont="1" applyBorder="1" applyAlignment="1" quotePrefix="0">
      <alignment horizontal="center"/>
    </xf>
    <xf fontId="1" fillId="0" borderId="39" numFmtId="0" xfId="0" applyFont="1" applyBorder="1" applyAlignment="1" quotePrefix="0">
      <alignment horizontal="center"/>
    </xf>
    <xf fontId="1" fillId="0" borderId="5" numFmtId="0" xfId="0" applyFont="1" applyBorder="1" applyAlignment="1" quotePrefix="0">
      <alignment horizontal="center" wrapText="1"/>
    </xf>
    <xf fontId="1" fillId="0" borderId="2" numFmtId="0" xfId="0" applyFont="1" applyBorder="1" applyAlignment="1" quotePrefix="0">
      <alignment horizontal="center" wrapText="1"/>
    </xf>
    <xf fontId="1" fillId="0" borderId="1" numFmtId="0" xfId="0" applyFont="1" applyBorder="1" applyAlignment="1" quotePrefix="0">
      <alignment horizontal="center" vertical="center" wrapText="1"/>
    </xf>
    <xf fontId="1" fillId="0" borderId="3" numFmtId="0" xfId="0" applyFont="1" applyBorder="1" applyAlignment="1" quotePrefix="0">
      <alignment horizontal="center" vertical="center" wrapText="1"/>
    </xf>
    <xf fontId="2" fillId="0" borderId="1" numFmtId="0" xfId="0" applyFont="1" applyBorder="1" applyAlignment="1" quotePrefix="0">
      <alignment horizontal="center"/>
    </xf>
    <xf fontId="5" fillId="0" borderId="0" numFmtId="0" xfId="0" applyFont="1" applyAlignment="1" quotePrefix="0">
      <alignment horizontal="center"/>
    </xf>
    <xf fontId="1" fillId="0" borderId="0" numFmtId="1" xfId="0" applyNumberFormat="1" applyFont="1" applyAlignment="1" quotePrefix="0">
      <alignment horizontal="center"/>
    </xf>
    <xf fontId="0" fillId="0" borderId="15" numFmtId="49" xfId="0" applyNumberFormat="1" applyBorder="1" applyAlignment="1" quotePrefix="0">
      <alignment horizontal="center" vertical="center"/>
    </xf>
    <xf fontId="1" fillId="0" borderId="0" numFmtId="160" xfId="0" applyNumberFormat="1" applyFont="1" quotePrefix="0"/>
    <xf fontId="4" fillId="0" borderId="1" numFmtId="0" xfId="0" applyFont="1" applyBorder="1" quotePrefix="0"/>
    <xf fontId="2" fillId="0" borderId="40" numFmtId="0" xfId="0" applyFont="1" applyBorder="1" applyAlignment="1" quotePrefix="0">
      <alignment horizontal="center"/>
    </xf>
    <xf fontId="2" fillId="0" borderId="41" numFmtId="0" xfId="0" applyFont="1" applyBorder="1" applyAlignment="1" quotePrefix="0">
      <alignment horizontal="center"/>
    </xf>
    <xf fontId="2" fillId="0" borderId="42" numFmtId="0" xfId="0" applyFont="1" applyBorder="1" applyAlignment="1" quotePrefix="0">
      <alignment horizontal="center"/>
    </xf>
    <xf fontId="1" fillId="0" borderId="43" numFmtId="0" xfId="0" applyFont="1" applyBorder="1" quotePrefix="0"/>
    <xf fontId="1" fillId="0" borderId="44" numFmtId="0" xfId="0" applyFont="1" applyBorder="1" quotePrefix="0">
      <protection hidden="0" locked="1"/>
    </xf>
    <xf fontId="1" fillId="0" borderId="45" numFmtId="0" xfId="0" applyFont="1" applyBorder="1" quotePrefix="0"/>
    <xf fontId="1" fillId="0" borderId="46" numFmtId="0" xfId="0" applyFont="1" applyBorder="1" quotePrefix="0"/>
    <xf fontId="1" fillId="0" borderId="47" numFmtId="0" xfId="0" applyFont="1" applyBorder="1" quotePrefix="0"/>
    <xf fontId="1" fillId="0" borderId="47" numFmtId="0" xfId="0" applyFont="1" applyBorder="1" applyAlignment="1" quotePrefix="0">
      <alignment horizontal="center"/>
    </xf>
    <xf fontId="0" fillId="0" borderId="46" numFmtId="0" xfId="0" applyBorder="1" quotePrefix="0"/>
    <xf fontId="2" fillId="0" borderId="48" numFmtId="0" xfId="0" applyFont="1" applyBorder="1" applyAlignment="1" quotePrefix="0">
      <alignment horizontal="center"/>
    </xf>
    <xf fontId="2" fillId="0" borderId="9" numFmtId="0" xfId="0" applyFont="1" applyBorder="1" applyAlignment="1" quotePrefix="0">
      <alignment horizontal="center"/>
    </xf>
    <xf fontId="2" fillId="0" borderId="10" numFmtId="0" xfId="0" applyFont="1" applyBorder="1" applyAlignment="1" quotePrefix="0">
      <alignment horizontal="center"/>
    </xf>
    <xf fontId="2" fillId="0" borderId="47" numFmtId="0" xfId="0" applyFont="1" applyBorder="1" applyAlignment="1" quotePrefix="0">
      <alignment horizontal="center"/>
    </xf>
    <xf fontId="1" fillId="0" borderId="49" numFmtId="0" xfId="0" applyFont="1" applyBorder="1" quotePrefix="0"/>
    <xf fontId="1" fillId="0" borderId="50" numFmtId="0" xfId="0" applyFont="1" applyBorder="1" quotePrefix="0">
      <protection hidden="0" locked="1"/>
    </xf>
    <xf fontId="1" fillId="0" borderId="51" numFmtId="0" xfId="0" applyFont="1" applyBorder="1" quotePrefix="0"/>
    <xf fontId="0" fillId="0" borderId="15" numFmtId="0" xfId="0" applyBorder="1" quotePrefix="0"/>
    <xf fontId="0" fillId="0" borderId="47" numFmtId="0" xfId="0" applyBorder="1" quotePrefix="0"/>
    <xf fontId="0" fillId="0" borderId="43" numFmtId="0" xfId="0" applyBorder="1" quotePrefix="0"/>
    <xf fontId="1" fillId="0" borderId="45" numFmtId="0" xfId="0" applyFont="1" applyBorder="1" quotePrefix="0">
      <protection hidden="0" locked="1"/>
    </xf>
    <xf fontId="1" fillId="0" borderId="52" numFmtId="0" xfId="0" applyFont="1" applyBorder="1" quotePrefix="0"/>
    <xf fontId="1" fillId="0" borderId="53" numFmtId="0" xfId="0" applyFont="1" applyBorder="1" quotePrefix="0"/>
    <xf fontId="1" fillId="0" borderId="54" numFmtId="0" xfId="0" applyFont="1" applyBorder="1" quotePrefix="0"/>
    <xf fontId="1" fillId="0" borderId="41" numFmtId="0" xfId="0" applyFont="1" applyBorder="1" quotePrefix="0">
      <protection hidden="0" locked="1"/>
    </xf>
    <xf fontId="1" fillId="0" borderId="55" numFmtId="0" xfId="0" applyFont="1" applyBorder="1" quotePrefix="0">
      <protection hidden="0" locked="1"/>
    </xf>
    <xf fontId="0" fillId="0" borderId="47" numFmtId="0" xfId="0" applyBorder="1" applyAlignment="1" quotePrefix="0">
      <alignment horizontal="center"/>
    </xf>
    <xf fontId="0" fillId="0" borderId="46" numFmtId="0" xfId="0" applyBorder="1" applyAlignment="1" quotePrefix="0">
      <alignment horizontal="center"/>
    </xf>
    <xf fontId="2" fillId="0" borderId="0" numFmtId="0" xfId="0" applyFont="1" quotePrefix="0">
      <protection hidden="0" locked="1"/>
    </xf>
    <xf fontId="1" fillId="0" borderId="56" numFmtId="0" xfId="0" applyFont="1" applyBorder="1" quotePrefix="0">
      <protection hidden="0" locked="1"/>
    </xf>
    <xf fontId="1" fillId="0" borderId="41" numFmtId="0" xfId="0" applyFont="1" applyBorder="1" quotePrefix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21" Type="http://schemas.openxmlformats.org/officeDocument/2006/relationships/styles" Target="styles.xml"/><Relationship  Id="rId13" Type="http://schemas.openxmlformats.org/officeDocument/2006/relationships/worksheet" Target="worksheets/sheet13.xml"/><Relationship  Id="rId11" Type="http://schemas.openxmlformats.org/officeDocument/2006/relationships/worksheet" Target="worksheets/sheet11.xml"/><Relationship  Id="rId18" Type="http://schemas.openxmlformats.org/officeDocument/2006/relationships/worksheet" Target="worksheets/sheet18.xml"/><Relationship  Id="rId17" Type="http://schemas.openxmlformats.org/officeDocument/2006/relationships/worksheet" Target="worksheets/sheet17.xml"/><Relationship  Id="rId10" Type="http://schemas.openxmlformats.org/officeDocument/2006/relationships/worksheet" Target="worksheets/sheet10.xml"/><Relationship  Id="rId15" Type="http://schemas.openxmlformats.org/officeDocument/2006/relationships/worksheet" Target="worksheets/sheet15.xml"/><Relationship  Id="rId9" Type="http://schemas.openxmlformats.org/officeDocument/2006/relationships/worksheet" Target="worksheets/sheet9.xml"/><Relationship  Id="rId20" Type="http://schemas.openxmlformats.org/officeDocument/2006/relationships/sharedStrings" Target="sharedStrings.xml"/><Relationship  Id="rId19" Type="http://schemas.openxmlformats.org/officeDocument/2006/relationships/theme" Target="theme/theme1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14" Type="http://schemas.openxmlformats.org/officeDocument/2006/relationships/worksheet" Target="worksheets/sheet14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16" Type="http://schemas.openxmlformats.org/officeDocument/2006/relationships/worksheet" Target="worksheets/sheet16.xml"/><Relationship  Id="rId12" Type="http://schemas.openxmlformats.org/officeDocument/2006/relationships/worksheet" Target="worksheets/sheet12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"/>
    </sheetView>
  </sheetViews>
  <sheetFormatPr baseColWidth="8" defaultColWidth="9.1406253092569294" defaultRowHeight="14.25"/>
  <cols>
    <col bestFit="1" customWidth="1" min="1" max="1" width="20.2851566656466"/>
    <col bestFit="1" customWidth="1" min="2" max="2" width="14.425781467405001"/>
    <col bestFit="1" customWidth="1" min="3" max="3" width="22.425781467404999"/>
    <col bestFit="1" customWidth="1" min="4" max="4" width="22.570312992960801"/>
    <col bestFit="1" customWidth="1" min="5" max="5" width="20.140625140090702"/>
    <col customWidth="1" min="6" max="6" width="20.140625140090702"/>
    <col bestFit="1" customWidth="1" min="7" max="7" width="18.71093813305159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>
      <c r="A2" s="3"/>
      <c r="B2" s="3"/>
      <c r="C2" s="3"/>
      <c r="D2" s="3"/>
      <c r="E2" s="3"/>
      <c r="F2" s="3"/>
      <c r="G2" s="1" t="s">
        <v>7</v>
      </c>
      <c r="H2" s="1" t="s">
        <v>8</v>
      </c>
    </row>
    <row r="3">
      <c r="A3" s="4" t="s">
        <v>9</v>
      </c>
      <c r="B3" s="5" t="s">
        <v>10</v>
      </c>
      <c r="C3" s="6">
        <v>500</v>
      </c>
      <c r="D3" s="6" t="s">
        <v>11</v>
      </c>
      <c r="E3" s="6">
        <v>15115</v>
      </c>
      <c r="F3" s="6">
        <v>3185</v>
      </c>
      <c r="G3" s="6">
        <v>50</v>
      </c>
      <c r="H3" s="7">
        <f t="shared" ref="H3:H9" si="0">F3/E3*100</f>
        <v>21.071782997022826</v>
      </c>
    </row>
    <row r="4">
      <c r="A4" s="8"/>
      <c r="B4" s="5" t="s">
        <v>12</v>
      </c>
      <c r="C4" s="6">
        <v>500</v>
      </c>
      <c r="D4" s="6" t="s">
        <v>11</v>
      </c>
      <c r="E4" s="6">
        <v>18988</v>
      </c>
      <c r="F4" s="6">
        <v>3535</v>
      </c>
      <c r="G4" s="6">
        <v>50</v>
      </c>
      <c r="H4" s="7">
        <f t="shared" si="0"/>
        <v>18.617021276595743</v>
      </c>
    </row>
    <row r="5">
      <c r="A5" s="8"/>
      <c r="B5" s="5" t="s">
        <v>13</v>
      </c>
      <c r="C5" s="6">
        <v>500</v>
      </c>
      <c r="D5" s="6" t="s">
        <v>11</v>
      </c>
      <c r="E5" s="6">
        <v>11699</v>
      </c>
      <c r="F5" s="6">
        <v>3184</v>
      </c>
      <c r="G5" s="6">
        <v>50</v>
      </c>
      <c r="H5" s="7">
        <f t="shared" si="0"/>
        <v>27.21600136763826</v>
      </c>
    </row>
    <row r="6">
      <c r="A6" s="8"/>
      <c r="B6" s="5" t="s">
        <v>14</v>
      </c>
      <c r="C6" s="6">
        <v>500</v>
      </c>
      <c r="D6" s="6" t="s">
        <v>11</v>
      </c>
      <c r="E6" s="6">
        <v>9275</v>
      </c>
      <c r="F6" s="6">
        <v>2122</v>
      </c>
      <c r="G6" s="6">
        <v>50</v>
      </c>
      <c r="H6" s="7">
        <f t="shared" si="0"/>
        <v>22.878706199460915</v>
      </c>
    </row>
    <row r="7">
      <c r="A7" s="9"/>
      <c r="B7" s="5" t="s">
        <v>15</v>
      </c>
      <c r="C7" s="6">
        <v>500</v>
      </c>
      <c r="D7" s="6" t="s">
        <v>11</v>
      </c>
      <c r="E7" s="6">
        <v>8403</v>
      </c>
      <c r="F7" s="6">
        <v>1769</v>
      </c>
      <c r="G7" s="6">
        <v>50</v>
      </c>
      <c r="H7" s="7">
        <f t="shared" si="0"/>
        <v>21.052005236225156</v>
      </c>
    </row>
    <row r="8">
      <c r="A8" s="4" t="s">
        <v>16</v>
      </c>
      <c r="B8" s="5" t="s">
        <v>17</v>
      </c>
      <c r="C8" s="6">
        <v>500</v>
      </c>
      <c r="D8" s="6" t="s">
        <v>11</v>
      </c>
      <c r="E8" s="6">
        <v>14293</v>
      </c>
      <c r="F8" s="6">
        <v>3182</v>
      </c>
      <c r="G8" s="6">
        <v>50</v>
      </c>
      <c r="H8" s="7">
        <f t="shared" si="0"/>
        <v>22.262646050514238</v>
      </c>
    </row>
    <row r="9">
      <c r="A9" s="8"/>
      <c r="B9" s="5" t="s">
        <v>18</v>
      </c>
      <c r="C9" s="6">
        <v>500</v>
      </c>
      <c r="D9" s="6" t="s">
        <v>11</v>
      </c>
      <c r="E9" s="6">
        <v>14293</v>
      </c>
      <c r="F9" s="6">
        <v>3182</v>
      </c>
      <c r="G9" s="6">
        <v>50</v>
      </c>
      <c r="H9" s="7">
        <f t="shared" si="0"/>
        <v>22.262646050514238</v>
      </c>
    </row>
    <row r="10">
      <c r="A10" s="9"/>
      <c r="B10" s="5" t="s">
        <v>19</v>
      </c>
      <c r="C10" s="6">
        <v>500</v>
      </c>
      <c r="D10" s="6" t="s">
        <v>11</v>
      </c>
      <c r="E10" s="6">
        <v>11651</v>
      </c>
      <c r="F10" s="6">
        <v>3182</v>
      </c>
      <c r="G10" s="6">
        <v>50</v>
      </c>
      <c r="H10" s="7">
        <f t="shared" ref="H10:H14" si="1">F10/E10*100</f>
        <v>27.310960432580895</v>
      </c>
    </row>
    <row r="11">
      <c r="A11" s="4" t="s">
        <v>20</v>
      </c>
      <c r="B11" s="5" t="s">
        <v>21</v>
      </c>
      <c r="C11" s="6">
        <v>500</v>
      </c>
      <c r="D11" s="6" t="s">
        <v>11</v>
      </c>
      <c r="E11" s="6">
        <v>13878</v>
      </c>
      <c r="F11" s="6">
        <v>3182</v>
      </c>
      <c r="G11" s="6">
        <v>50</v>
      </c>
      <c r="H11" s="7">
        <f t="shared" si="1"/>
        <v>22.928375846663783</v>
      </c>
    </row>
    <row r="12">
      <c r="A12" s="8"/>
      <c r="B12" s="5" t="s">
        <v>22</v>
      </c>
      <c r="C12" s="6">
        <v>500</v>
      </c>
      <c r="D12" s="6" t="s">
        <v>11</v>
      </c>
      <c r="E12" s="6">
        <v>13842</v>
      </c>
      <c r="F12" s="6">
        <v>3182</v>
      </c>
      <c r="G12" s="6">
        <v>50</v>
      </c>
      <c r="H12" s="7">
        <f t="shared" si="1"/>
        <v>22.988007513365122</v>
      </c>
    </row>
    <row r="13">
      <c r="A13" s="9"/>
      <c r="B13" s="5" t="s">
        <v>23</v>
      </c>
      <c r="C13" s="6">
        <v>500</v>
      </c>
      <c r="D13" s="6" t="s">
        <v>11</v>
      </c>
      <c r="E13" s="6">
        <v>20869</v>
      </c>
      <c r="F13" s="6">
        <v>3528</v>
      </c>
      <c r="G13" s="6">
        <v>50</v>
      </c>
      <c r="H13" s="7">
        <f t="shared" si="1"/>
        <v>16.905457856150271</v>
      </c>
    </row>
    <row r="14">
      <c r="A14" s="5" t="s">
        <v>24</v>
      </c>
      <c r="B14" s="5"/>
      <c r="C14" s="6"/>
      <c r="D14" s="6"/>
      <c r="E14" s="6">
        <f>SUM(E3:E13)</f>
        <v>152306</v>
      </c>
      <c r="F14" s="6">
        <f>SUM(F3:F13)</f>
        <v>33233</v>
      </c>
      <c r="G14" s="6"/>
      <c r="H14" s="7">
        <f t="shared" si="1"/>
        <v>21.819888907856551</v>
      </c>
    </row>
  </sheetData>
  <mergeCells count="10">
    <mergeCell ref="A1:A2"/>
    <mergeCell ref="B1:B2"/>
    <mergeCell ref="C1:C2"/>
    <mergeCell ref="D1:D2"/>
    <mergeCell ref="E1:E2"/>
    <mergeCell ref="F1:F2"/>
    <mergeCell ref="G1:H1"/>
    <mergeCell ref="A3:A7"/>
    <mergeCell ref="A8:A10"/>
    <mergeCell ref="A11:A13"/>
  </mergeCells>
  <printOptions headings="0" gridLines="0"/>
  <pageMargins left="0.70000004768371604" right="0.70000004768371604" top="0.75" bottom="0.75" header="0.30000001192092901" footer="0.30000001192092901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topLeftCell="G1" zoomScale="100" workbookViewId="0">
      <selection activeCell="A1" activeCellId="0" sqref="A1"/>
    </sheetView>
  </sheetViews>
  <sheetFormatPr baseColWidth="8" defaultColWidth="9.1406253092569294" defaultRowHeight="14.25"/>
  <cols>
    <col bestFit="1" customWidth="1" min="1" max="1" width="20.855468643610301"/>
    <col customWidth="1" min="2" max="2" width="20.855468643610301"/>
    <col customWidth="1" hidden="1" min="3" max="3" width="12.855468643610299"/>
    <col customWidth="1" hidden="1" min="4" max="4" width="12.2851566656466"/>
    <col customWidth="1" hidden="1" min="5" max="5" width="12.855468643610299"/>
    <col customWidth="1" hidden="1" min="6" max="6" width="11.855469151108901"/>
    <col bestFit="1" customWidth="1" min="7" max="7" style="104" width="9.1406253092569294"/>
    <col customWidth="1" hidden="1" min="8" max="10" style="25" width="16.57421875"/>
    <col customWidth="1" min="11" max="14" style="25" width="13.140625"/>
    <col customWidth="1" min="15" max="18" width="13.140625"/>
    <col customWidth="1" min="19" max="26" width="10.7109375"/>
  </cols>
  <sheetData>
    <row r="1">
      <c r="A1" s="26" t="s">
        <v>25</v>
      </c>
      <c r="B1" s="26" t="s">
        <v>1</v>
      </c>
      <c r="C1" s="28" t="s">
        <v>80</v>
      </c>
      <c r="D1" s="28"/>
      <c r="E1" s="28"/>
      <c r="F1" s="28"/>
      <c r="G1" s="109" t="s">
        <v>54</v>
      </c>
      <c r="H1" s="28" t="s">
        <v>76</v>
      </c>
      <c r="I1" s="32" t="s">
        <v>81</v>
      </c>
      <c r="J1" s="110" t="s">
        <v>82</v>
      </c>
      <c r="K1" s="111" t="s">
        <v>83</v>
      </c>
      <c r="L1" s="111" t="s">
        <v>84</v>
      </c>
      <c r="M1" s="111" t="s">
        <v>85</v>
      </c>
      <c r="N1" s="111" t="s">
        <v>86</v>
      </c>
      <c r="O1" s="110" t="s">
        <v>87</v>
      </c>
      <c r="P1" s="110" t="s">
        <v>88</v>
      </c>
      <c r="Q1" s="110" t="s">
        <v>89</v>
      </c>
      <c r="R1" s="110" t="s">
        <v>90</v>
      </c>
      <c r="S1" s="110" t="s">
        <v>83</v>
      </c>
      <c r="T1" s="110" t="s">
        <v>84</v>
      </c>
      <c r="U1" s="110" t="s">
        <v>85</v>
      </c>
      <c r="V1" s="110" t="s">
        <v>86</v>
      </c>
      <c r="W1" s="110" t="s">
        <v>87</v>
      </c>
      <c r="X1" s="110" t="s">
        <v>88</v>
      </c>
      <c r="Y1" s="110" t="s">
        <v>89</v>
      </c>
      <c r="Z1" s="110" t="s">
        <v>90</v>
      </c>
    </row>
    <row r="2">
      <c r="A2" s="26"/>
      <c r="B2" s="26"/>
      <c r="C2" s="50" t="s">
        <v>27</v>
      </c>
      <c r="D2" s="50" t="s">
        <v>28</v>
      </c>
      <c r="E2" s="50" t="s">
        <v>29</v>
      </c>
      <c r="F2" s="50" t="s">
        <v>30</v>
      </c>
      <c r="G2" s="109"/>
      <c r="H2" s="28"/>
      <c r="I2" s="72"/>
      <c r="J2" s="112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</row>
    <row r="3">
      <c r="A3" s="113" t="s">
        <v>9</v>
      </c>
      <c r="B3" s="46" t="s">
        <v>10</v>
      </c>
      <c r="C3" s="50">
        <f>Мног_колич_квартир!C3*3</f>
        <v>0</v>
      </c>
      <c r="D3" s="50">
        <f>Мног_колич_квартир!D3*3</f>
        <v>768</v>
      </c>
      <c r="E3" s="50">
        <f>Мног_колич_квартир!E3*3</f>
        <v>72</v>
      </c>
      <c r="F3" s="50">
        <f>Мног_колич_квартир!F3*3</f>
        <v>0</v>
      </c>
      <c r="G3" s="114">
        <f t="shared" ref="G3:G9" si="55">SUM(C3:F3)</f>
        <v>840</v>
      </c>
      <c r="H3" s="28">
        <f>SUM(G3:G7)</f>
        <v>3600</v>
      </c>
      <c r="I3" s="28">
        <f t="shared" ref="I3:I9" si="56">G3/3*5</f>
        <v>1400</v>
      </c>
      <c r="J3" s="28">
        <f t="shared" ref="J3:J9" si="57">G3/3*3</f>
        <v>840</v>
      </c>
      <c r="K3" s="28">
        <v>19.219999999999999</v>
      </c>
      <c r="L3" s="28">
        <v>9.4100000000000001</v>
      </c>
      <c r="M3" s="28">
        <v>10.539999999999999</v>
      </c>
      <c r="N3" s="28">
        <f t="shared" ref="N3:N9" si="58">M3</f>
        <v>10.539999999999999</v>
      </c>
      <c r="O3" s="28">
        <v>252</v>
      </c>
      <c r="P3" s="28">
        <v>166.31999999999999</v>
      </c>
      <c r="Q3" s="28">
        <f t="shared" ref="Q3:Q9" si="59">O3-P3</f>
        <v>85.680000000000007</v>
      </c>
      <c r="R3" s="28">
        <f t="shared" ref="R3:R9" si="60">Q3</f>
        <v>85.680000000000007</v>
      </c>
      <c r="Y3" s="115"/>
    </row>
    <row r="4">
      <c r="A4" s="113"/>
      <c r="B4" s="46" t="s">
        <v>12</v>
      </c>
      <c r="C4" s="50">
        <f>Мног_колич_квартир!C4*3</f>
        <v>0</v>
      </c>
      <c r="D4" s="50">
        <f>Мног_колич_квартир!D4*3</f>
        <v>864</v>
      </c>
      <c r="E4" s="50">
        <f>Мног_колич_квартир!E4*3</f>
        <v>72</v>
      </c>
      <c r="F4" s="50">
        <f>Мног_колич_квартир!F4*3</f>
        <v>0</v>
      </c>
      <c r="G4" s="114">
        <f t="shared" si="55"/>
        <v>936</v>
      </c>
      <c r="H4" s="28"/>
      <c r="I4" s="28">
        <f t="shared" si="56"/>
        <v>1560</v>
      </c>
      <c r="J4" s="28">
        <f t="shared" si="57"/>
        <v>936</v>
      </c>
      <c r="K4" s="28">
        <v>21.02</v>
      </c>
      <c r="L4" s="28">
        <v>10.26</v>
      </c>
      <c r="M4" s="28">
        <f>K4-L4</f>
        <v>10.76</v>
      </c>
      <c r="N4" s="28">
        <f t="shared" si="58"/>
        <v>10.76</v>
      </c>
      <c r="O4" s="28">
        <v>280.80000000000001</v>
      </c>
      <c r="P4" s="28">
        <v>168.47999999999999</v>
      </c>
      <c r="Q4" s="28">
        <f t="shared" si="59"/>
        <v>112.32000000000002</v>
      </c>
      <c r="R4" s="28">
        <f t="shared" si="60"/>
        <v>112.32000000000002</v>
      </c>
      <c r="Y4" s="115"/>
    </row>
    <row r="5">
      <c r="A5" s="113"/>
      <c r="B5" s="46" t="s">
        <v>13</v>
      </c>
      <c r="C5" s="50">
        <f>Мног_колич_квартир!C5*3</f>
        <v>0</v>
      </c>
      <c r="D5" s="50">
        <f>Мног_колич_квартир!D5*3</f>
        <v>672</v>
      </c>
      <c r="E5" s="50">
        <f>Мног_колич_квартир!E5*3</f>
        <v>144</v>
      </c>
      <c r="F5" s="50">
        <f>Мног_колич_квартир!F5*3</f>
        <v>0</v>
      </c>
      <c r="G5" s="114">
        <f t="shared" si="55"/>
        <v>816</v>
      </c>
      <c r="H5" s="28"/>
      <c r="I5" s="28">
        <f t="shared" si="56"/>
        <v>1360</v>
      </c>
      <c r="J5" s="28">
        <f t="shared" si="57"/>
        <v>816</v>
      </c>
      <c r="K5" s="28">
        <v>18.77</v>
      </c>
      <c r="L5" s="28">
        <v>7.6399999999999997</v>
      </c>
      <c r="M5" s="28">
        <v>12.109999999999999</v>
      </c>
      <c r="N5" s="28">
        <f t="shared" si="58"/>
        <v>12.109999999999999</v>
      </c>
      <c r="O5" s="28">
        <v>244.80000000000001</v>
      </c>
      <c r="P5" s="28">
        <v>146.88</v>
      </c>
      <c r="Q5" s="28">
        <f t="shared" si="59"/>
        <v>97.920000000000016</v>
      </c>
      <c r="R5" s="28">
        <f t="shared" si="60"/>
        <v>97.920000000000016</v>
      </c>
      <c r="Y5" s="115"/>
    </row>
    <row r="6">
      <c r="A6" s="113"/>
      <c r="B6" s="46" t="s">
        <v>14</v>
      </c>
      <c r="C6" s="50">
        <f>Мног_колич_квартир!C6*3</f>
        <v>0</v>
      </c>
      <c r="D6" s="50">
        <f>Мног_колич_квартир!D6*3</f>
        <v>480</v>
      </c>
      <c r="E6" s="50">
        <f>Мног_колич_квартир!E6*3</f>
        <v>72</v>
      </c>
      <c r="F6" s="50">
        <f>Мног_колич_квартир!F6*3</f>
        <v>0</v>
      </c>
      <c r="G6" s="114">
        <f t="shared" si="55"/>
        <v>552</v>
      </c>
      <c r="H6" s="28"/>
      <c r="I6" s="28">
        <f t="shared" si="56"/>
        <v>920</v>
      </c>
      <c r="J6" s="28">
        <f t="shared" si="57"/>
        <v>552</v>
      </c>
      <c r="K6" s="28">
        <v>13.699999999999999</v>
      </c>
      <c r="L6" s="28">
        <v>5.6699999999999999</v>
      </c>
      <c r="M6" s="28">
        <v>8.8499999999999996</v>
      </c>
      <c r="N6" s="28">
        <f t="shared" si="58"/>
        <v>8.8499999999999996</v>
      </c>
      <c r="O6" s="28">
        <v>165.59999999999999</v>
      </c>
      <c r="P6" s="28">
        <v>99.359999999999999</v>
      </c>
      <c r="Q6" s="28">
        <f t="shared" si="59"/>
        <v>66.239999999999995</v>
      </c>
      <c r="R6" s="28">
        <f t="shared" si="60"/>
        <v>66.239999999999995</v>
      </c>
      <c r="Y6" s="115"/>
    </row>
    <row r="7">
      <c r="A7" s="113"/>
      <c r="B7" s="46" t="s">
        <v>15</v>
      </c>
      <c r="C7" s="50">
        <f>Мног_колич_квартир!C7*3</f>
        <v>0</v>
      </c>
      <c r="D7" s="50">
        <f>Мног_колич_квартир!D7*3</f>
        <v>384</v>
      </c>
      <c r="E7" s="50">
        <f>Мног_колич_квартир!E7*3</f>
        <v>72</v>
      </c>
      <c r="F7" s="50">
        <f>Мног_колич_квартир!F7*3</f>
        <v>0</v>
      </c>
      <c r="G7" s="114">
        <f t="shared" si="55"/>
        <v>456</v>
      </c>
      <c r="H7" s="28"/>
      <c r="I7" s="28">
        <f t="shared" si="56"/>
        <v>760</v>
      </c>
      <c r="J7" s="28">
        <f t="shared" si="57"/>
        <v>456</v>
      </c>
      <c r="K7" s="28">
        <v>11.789999999999999</v>
      </c>
      <c r="L7" s="28">
        <v>4.9199999999999999</v>
      </c>
      <c r="M7" s="28">
        <v>7.6200000000000001</v>
      </c>
      <c r="N7" s="28">
        <f t="shared" si="58"/>
        <v>7.6200000000000001</v>
      </c>
      <c r="O7" s="28">
        <v>136.80000000000001</v>
      </c>
      <c r="P7" s="28">
        <v>82.079999999999998</v>
      </c>
      <c r="Q7" s="28">
        <f t="shared" si="59"/>
        <v>54.720000000000013</v>
      </c>
      <c r="R7" s="28">
        <f t="shared" si="60"/>
        <v>54.720000000000013</v>
      </c>
      <c r="S7">
        <f>SUM(K3:K7)</f>
        <v>84.5</v>
      </c>
      <c r="T7">
        <f>SUM(L3:L7)</f>
        <v>37.900000000000006</v>
      </c>
      <c r="U7">
        <f>SUM(M3:M7)</f>
        <v>49.879999999999995</v>
      </c>
      <c r="V7">
        <f>SUM(N3:N7)</f>
        <v>49.879999999999995</v>
      </c>
      <c r="W7">
        <f>SUM(O3:O7)</f>
        <v>1080</v>
      </c>
      <c r="X7">
        <f>SUM(P3:P7)</f>
        <v>663.12</v>
      </c>
      <c r="Y7" s="115">
        <f>SUM(Q3:Q7)</f>
        <v>416.88000000000011</v>
      </c>
      <c r="Z7">
        <f>SUM(R3:R7)</f>
        <v>416.88000000000011</v>
      </c>
    </row>
    <row r="8">
      <c r="A8" s="113" t="s">
        <v>16</v>
      </c>
      <c r="B8" s="46" t="s">
        <v>17</v>
      </c>
      <c r="C8" s="50">
        <f>Мног_колич_квартир!C8*3</f>
        <v>0</v>
      </c>
      <c r="D8" s="50">
        <f>Мног_колич_квартир!D8*3</f>
        <v>672</v>
      </c>
      <c r="E8" s="50">
        <f>Мног_колич_квартир!E8*3</f>
        <v>144</v>
      </c>
      <c r="F8" s="50">
        <f>Мног_колич_квартир!F8*3</f>
        <v>0</v>
      </c>
      <c r="G8" s="114">
        <f t="shared" si="55"/>
        <v>816</v>
      </c>
      <c r="H8" s="28">
        <f>SUM(G8:G10)</f>
        <v>2448</v>
      </c>
      <c r="I8" s="28">
        <f t="shared" si="56"/>
        <v>1360</v>
      </c>
      <c r="J8" s="28">
        <f t="shared" si="57"/>
        <v>816</v>
      </c>
      <c r="K8" s="28">
        <v>18.77</v>
      </c>
      <c r="L8" s="28">
        <v>7.6399999999999997</v>
      </c>
      <c r="M8" s="28">
        <v>12.109999999999999</v>
      </c>
      <c r="N8" s="28">
        <f t="shared" si="58"/>
        <v>12.109999999999999</v>
      </c>
      <c r="O8" s="28">
        <v>244.80000000000001</v>
      </c>
      <c r="P8" s="28">
        <v>146.88</v>
      </c>
      <c r="Q8" s="28">
        <f t="shared" si="59"/>
        <v>97.920000000000016</v>
      </c>
      <c r="R8" s="28">
        <f t="shared" si="60"/>
        <v>97.920000000000016</v>
      </c>
      <c r="Y8" s="115"/>
    </row>
    <row r="9">
      <c r="A9" s="113"/>
      <c r="B9" s="46" t="s">
        <v>18</v>
      </c>
      <c r="C9" s="50">
        <f>Мног_колич_квартир!C9*3</f>
        <v>0</v>
      </c>
      <c r="D9" s="50">
        <f>Мног_колич_квартир!D9*3</f>
        <v>672</v>
      </c>
      <c r="E9" s="50">
        <f>Мног_колич_квартир!E9*3</f>
        <v>144</v>
      </c>
      <c r="F9" s="50">
        <f>Мног_колич_квартир!F9*3</f>
        <v>0</v>
      </c>
      <c r="G9" s="114">
        <f t="shared" si="55"/>
        <v>816</v>
      </c>
      <c r="H9" s="28"/>
      <c r="I9" s="28">
        <f t="shared" si="56"/>
        <v>1360</v>
      </c>
      <c r="J9" s="28">
        <f t="shared" si="57"/>
        <v>816</v>
      </c>
      <c r="K9" s="28">
        <v>18.77</v>
      </c>
      <c r="L9" s="28">
        <v>7.6399999999999997</v>
      </c>
      <c r="M9" s="28">
        <v>12.109999999999999</v>
      </c>
      <c r="N9" s="28">
        <f t="shared" si="58"/>
        <v>12.109999999999999</v>
      </c>
      <c r="O9" s="28">
        <v>244.80000000000001</v>
      </c>
      <c r="P9" s="28">
        <v>146.88</v>
      </c>
      <c r="Q9" s="28">
        <f t="shared" si="59"/>
        <v>97.920000000000016</v>
      </c>
      <c r="R9" s="28">
        <f t="shared" si="60"/>
        <v>97.920000000000016</v>
      </c>
      <c r="Y9" s="115"/>
    </row>
    <row r="10">
      <c r="A10" s="113"/>
      <c r="B10" s="46" t="s">
        <v>19</v>
      </c>
      <c r="C10" s="50">
        <f>Мног_колич_квартир!C10*3</f>
        <v>0</v>
      </c>
      <c r="D10" s="50">
        <f>Мног_колич_квартир!D10*3</f>
        <v>672</v>
      </c>
      <c r="E10" s="50">
        <f>Мног_колич_квартир!E10*3</f>
        <v>144</v>
      </c>
      <c r="F10" s="50">
        <f>Мног_колич_квартир!F10*3</f>
        <v>0</v>
      </c>
      <c r="G10" s="114">
        <f t="shared" ref="G10:G13" si="61">SUM(C10:F10)</f>
        <v>816</v>
      </c>
      <c r="H10" s="28"/>
      <c r="I10" s="28">
        <f t="shared" ref="I10:I13" si="62">G10/3*5</f>
        <v>1360</v>
      </c>
      <c r="J10" s="28">
        <f t="shared" ref="J10:J13" si="63">G10/3*3</f>
        <v>816</v>
      </c>
      <c r="K10" s="28">
        <v>18.77</v>
      </c>
      <c r="L10" s="28">
        <v>7.6399999999999997</v>
      </c>
      <c r="M10" s="28">
        <v>12.109999999999999</v>
      </c>
      <c r="N10" s="28">
        <f t="shared" ref="N10:N13" si="64">M10</f>
        <v>12.109999999999999</v>
      </c>
      <c r="O10" s="28">
        <v>244.80000000000001</v>
      </c>
      <c r="P10" s="28">
        <v>146.88</v>
      </c>
      <c r="Q10" s="28">
        <f t="shared" ref="Q10:Q13" si="65">O10-P10</f>
        <v>97.920000000000016</v>
      </c>
      <c r="R10" s="28">
        <f t="shared" ref="R10:R13" si="66">Q10</f>
        <v>97.920000000000016</v>
      </c>
      <c r="S10">
        <f>SUM(K8:K10)</f>
        <v>56.310000000000002</v>
      </c>
      <c r="T10">
        <f>SUM(L8:L10)</f>
        <v>22.919999999999998</v>
      </c>
      <c r="U10">
        <f>SUM(M8:M10)</f>
        <v>36.329999999999998</v>
      </c>
      <c r="V10">
        <f>SUM(N8:N10)</f>
        <v>36.329999999999998</v>
      </c>
      <c r="W10">
        <f>SUM(O8:O10)</f>
        <v>734.40000000000009</v>
      </c>
      <c r="X10">
        <f>SUM(P8:P10)</f>
        <v>440.63999999999999</v>
      </c>
      <c r="Y10" s="115">
        <f>SUM(Q8:Q10)</f>
        <v>293.76000000000005</v>
      </c>
      <c r="Z10">
        <f>SUM(R8:R10)</f>
        <v>293.76000000000005</v>
      </c>
    </row>
    <row r="11">
      <c r="A11" s="113" t="s">
        <v>20</v>
      </c>
      <c r="B11" s="46" t="s">
        <v>21</v>
      </c>
      <c r="C11" s="50">
        <f>Мног_колич_квартир!C11*3</f>
        <v>0</v>
      </c>
      <c r="D11" s="50">
        <f>Мног_колич_квартир!D11*3</f>
        <v>672</v>
      </c>
      <c r="E11" s="50">
        <f>Мног_колич_квартир!E11*3</f>
        <v>144</v>
      </c>
      <c r="F11" s="50">
        <f>Мног_колич_квартир!F11*3</f>
        <v>0</v>
      </c>
      <c r="G11" s="114">
        <f t="shared" si="61"/>
        <v>816</v>
      </c>
      <c r="H11" s="28">
        <f>SUM(G11:G13)</f>
        <v>2568</v>
      </c>
      <c r="I11" s="28">
        <f t="shared" si="62"/>
        <v>1360</v>
      </c>
      <c r="J11" s="28">
        <f t="shared" si="63"/>
        <v>816</v>
      </c>
      <c r="K11" s="28">
        <v>18.77</v>
      </c>
      <c r="L11" s="28">
        <v>7.6399999999999997</v>
      </c>
      <c r="M11" s="28">
        <v>12.109999999999999</v>
      </c>
      <c r="N11" s="28">
        <f t="shared" si="64"/>
        <v>12.109999999999999</v>
      </c>
      <c r="O11" s="28">
        <v>244.80000000000001</v>
      </c>
      <c r="P11" s="28">
        <v>146.88</v>
      </c>
      <c r="Q11" s="28">
        <f t="shared" si="65"/>
        <v>97.920000000000016</v>
      </c>
      <c r="R11" s="28">
        <f t="shared" si="66"/>
        <v>97.920000000000016</v>
      </c>
      <c r="Y11" s="115"/>
    </row>
    <row r="12">
      <c r="A12" s="113"/>
      <c r="B12" s="46" t="s">
        <v>22</v>
      </c>
      <c r="C12" s="50">
        <f>Мног_колич_квартир!C12*3</f>
        <v>0</v>
      </c>
      <c r="D12" s="50">
        <f>Мног_колич_квартир!D12*3</f>
        <v>672</v>
      </c>
      <c r="E12" s="50">
        <f>Мног_колич_квартир!E12*3</f>
        <v>144</v>
      </c>
      <c r="F12" s="50">
        <f>Мног_колич_квартир!F12*3</f>
        <v>0</v>
      </c>
      <c r="G12" s="114">
        <f t="shared" si="61"/>
        <v>816</v>
      </c>
      <c r="H12" s="28"/>
      <c r="I12" s="28">
        <f t="shared" si="62"/>
        <v>1360</v>
      </c>
      <c r="J12" s="28">
        <f t="shared" si="63"/>
        <v>816</v>
      </c>
      <c r="K12" s="28">
        <v>18.77</v>
      </c>
      <c r="L12" s="28">
        <v>7.6399999999999997</v>
      </c>
      <c r="M12" s="28">
        <v>12.109999999999999</v>
      </c>
      <c r="N12" s="28">
        <f t="shared" si="64"/>
        <v>12.109999999999999</v>
      </c>
      <c r="O12" s="28">
        <v>244.80000000000001</v>
      </c>
      <c r="P12" s="28">
        <v>146.88</v>
      </c>
      <c r="Q12" s="28">
        <f t="shared" si="65"/>
        <v>97.920000000000016</v>
      </c>
      <c r="R12" s="28">
        <f t="shared" si="66"/>
        <v>97.920000000000016</v>
      </c>
      <c r="Y12" s="115"/>
    </row>
    <row r="13">
      <c r="A13" s="113"/>
      <c r="B13" s="46" t="s">
        <v>23</v>
      </c>
      <c r="C13" s="50">
        <f>Мног_колич_квартир!C13*3</f>
        <v>0</v>
      </c>
      <c r="D13" s="50">
        <f>Мног_колич_квартир!D13*3</f>
        <v>864</v>
      </c>
      <c r="E13" s="50">
        <f>Мног_колич_квартир!E13*3</f>
        <v>72</v>
      </c>
      <c r="F13" s="50">
        <f>Мног_колич_квартир!F13*3</f>
        <v>0</v>
      </c>
      <c r="G13" s="114">
        <f t="shared" si="61"/>
        <v>936</v>
      </c>
      <c r="H13" s="28"/>
      <c r="I13" s="28">
        <f t="shared" si="62"/>
        <v>1560</v>
      </c>
      <c r="J13" s="28">
        <f t="shared" si="63"/>
        <v>936</v>
      </c>
      <c r="K13" s="28">
        <v>21.02</v>
      </c>
      <c r="L13" s="28">
        <v>10.26</v>
      </c>
      <c r="M13" s="28">
        <f>K13-L13</f>
        <v>10.76</v>
      </c>
      <c r="N13" s="28">
        <f t="shared" si="64"/>
        <v>10.76</v>
      </c>
      <c r="O13" s="28">
        <v>280.80000000000001</v>
      </c>
      <c r="P13" s="28">
        <v>168.47999999999999</v>
      </c>
      <c r="Q13" s="28">
        <f t="shared" si="65"/>
        <v>112.32000000000002</v>
      </c>
      <c r="R13" s="28">
        <f t="shared" si="66"/>
        <v>112.32000000000002</v>
      </c>
      <c r="S13">
        <f>SUM(K11:K13)</f>
        <v>58.560000000000002</v>
      </c>
      <c r="T13">
        <f>SUM(L11:L13)</f>
        <v>25.539999999999999</v>
      </c>
      <c r="U13">
        <f>SUM(M11:M13)</f>
        <v>34.979999999999997</v>
      </c>
      <c r="V13">
        <f>SUM(N11:N13)</f>
        <v>34.979999999999997</v>
      </c>
      <c r="W13">
        <f>SUM(O11:O13)</f>
        <v>770.40000000000009</v>
      </c>
      <c r="X13">
        <f>SUM(P11:P13)</f>
        <v>462.24000000000001</v>
      </c>
      <c r="Y13" s="115">
        <f>SUM(Q11:Q13)</f>
        <v>308.16000000000008</v>
      </c>
      <c r="Z13">
        <f>SUM(R11:R13)</f>
        <v>308.16000000000008</v>
      </c>
    </row>
    <row r="14">
      <c r="A14" s="46" t="s">
        <v>24</v>
      </c>
      <c r="B14" s="46"/>
      <c r="C14" s="50">
        <f>SUM(C3:C13)</f>
        <v>0</v>
      </c>
      <c r="D14" s="50">
        <f>SUM(D3:D13)</f>
        <v>7392</v>
      </c>
      <c r="E14" s="50">
        <f>SUM(E3:E13)</f>
        <v>1224</v>
      </c>
      <c r="F14" s="50">
        <f>SUM(F3:F13)</f>
        <v>0</v>
      </c>
      <c r="G14" s="109">
        <f>SUM(G3:G13)</f>
        <v>8616</v>
      </c>
      <c r="H14" s="109">
        <f>SUM(H3:H13)</f>
        <v>8616</v>
      </c>
      <c r="I14" s="109">
        <f>SUM(I3:I13)</f>
        <v>14360</v>
      </c>
      <c r="J14" s="109">
        <f>SUM(J3:J13)</f>
        <v>8616</v>
      </c>
      <c r="K14" s="109">
        <f>SUM(K3:K13)</f>
        <v>199.37000000000003</v>
      </c>
      <c r="L14" s="109">
        <f>SUM(L3:L13)</f>
        <v>86.360000000000014</v>
      </c>
      <c r="M14" s="109">
        <f>SUM(M3:M13)</f>
        <v>121.19</v>
      </c>
      <c r="N14" s="109">
        <f>SUM(N3:N13)</f>
        <v>121.19</v>
      </c>
      <c r="O14" s="109">
        <f>SUM(O3:O13)</f>
        <v>2584.8000000000002</v>
      </c>
      <c r="P14" s="109">
        <f>SUM(P3:P13)</f>
        <v>1566</v>
      </c>
      <c r="Q14" s="109">
        <f>SUM(Q3:Q13)</f>
        <v>1018.8000000000005</v>
      </c>
      <c r="R14" s="109">
        <f>SUM(R3:R13)</f>
        <v>1018.8000000000005</v>
      </c>
    </row>
  </sheetData>
  <mergeCells count="29">
    <mergeCell ref="A1:A2"/>
    <mergeCell ref="B1:B2"/>
    <mergeCell ref="C1:F1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3:A7"/>
    <mergeCell ref="H3:H7"/>
    <mergeCell ref="A8:A10"/>
    <mergeCell ref="H8:H10"/>
    <mergeCell ref="A11:A13"/>
    <mergeCell ref="H11:H13"/>
  </mergeCells>
  <printOptions headings="0" gridLines="0"/>
  <pageMargins left="0.70000004768371604" right="0.70000004768371604" top="0.75" bottom="0.75" header="0.30000001192092901" footer="0.30000001192092901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topLeftCell="Q1" zoomScale="100" workbookViewId="0">
      <selection activeCell="A1" activeCellId="0" sqref="A1"/>
    </sheetView>
  </sheetViews>
  <sheetFormatPr baseColWidth="8" defaultColWidth="9.1406253092569294" defaultRowHeight="14.25"/>
  <cols>
    <col bestFit="1" customWidth="1" min="1" max="1" width="20.855468643610301"/>
    <col customWidth="1" min="2" max="2" width="20.855468643610301"/>
    <col customWidth="1" hidden="1" min="3" max="3" width="12.855468643610299"/>
    <col customWidth="1" hidden="1" min="4" max="4" width="12.2851566656466"/>
    <col customWidth="1" hidden="1" min="5" max="5" width="12.855468643610299"/>
    <col customWidth="1" hidden="1" min="6" max="6" width="11.855469151108901"/>
    <col bestFit="1" customWidth="1" min="7" max="7" style="104" width="9.1406253092569294"/>
    <col customWidth="1" hidden="1" min="8" max="10" style="25" width="16.57421875"/>
    <col customWidth="1" min="11" max="14" style="25" width="13.140625"/>
    <col customWidth="1" min="15" max="24" width="13.140625"/>
  </cols>
  <sheetData>
    <row r="1">
      <c r="A1" s="26" t="s">
        <v>25</v>
      </c>
      <c r="B1" s="26" t="s">
        <v>1</v>
      </c>
      <c r="C1" s="28" t="s">
        <v>80</v>
      </c>
      <c r="D1" s="28"/>
      <c r="E1" s="28"/>
      <c r="F1" s="28"/>
      <c r="G1" s="109" t="s">
        <v>54</v>
      </c>
      <c r="H1" s="28" t="s">
        <v>76</v>
      </c>
      <c r="I1" s="32" t="s">
        <v>81</v>
      </c>
      <c r="J1" s="110" t="s">
        <v>82</v>
      </c>
      <c r="K1" s="111" t="s">
        <v>83</v>
      </c>
      <c r="L1" s="111" t="s">
        <v>84</v>
      </c>
      <c r="M1" s="111" t="s">
        <v>85</v>
      </c>
      <c r="N1" s="111" t="s">
        <v>86</v>
      </c>
      <c r="O1" s="110" t="s">
        <v>87</v>
      </c>
      <c r="P1" s="110" t="s">
        <v>88</v>
      </c>
      <c r="Q1" s="110" t="s">
        <v>89</v>
      </c>
      <c r="R1" s="110" t="s">
        <v>90</v>
      </c>
      <c r="S1" s="116" t="s">
        <v>91</v>
      </c>
      <c r="T1" s="116" t="s">
        <v>92</v>
      </c>
      <c r="U1" s="116"/>
      <c r="V1" s="116" t="s">
        <v>93</v>
      </c>
      <c r="W1" s="116" t="s">
        <v>92</v>
      </c>
      <c r="X1" s="116"/>
    </row>
    <row r="2">
      <c r="A2" s="30"/>
      <c r="B2" s="30"/>
      <c r="C2" s="117" t="s">
        <v>27</v>
      </c>
      <c r="D2" s="117" t="s">
        <v>28</v>
      </c>
      <c r="E2" s="117" t="s">
        <v>29</v>
      </c>
      <c r="F2" s="117" t="s">
        <v>30</v>
      </c>
      <c r="G2" s="118"/>
      <c r="H2" s="34"/>
      <c r="I2" s="119"/>
      <c r="J2" s="120"/>
      <c r="K2" s="110"/>
      <c r="L2" s="110"/>
      <c r="M2" s="110"/>
      <c r="N2" s="110"/>
      <c r="O2" s="110"/>
      <c r="P2" s="110"/>
      <c r="Q2" s="110"/>
      <c r="R2" s="110"/>
      <c r="S2" s="116"/>
      <c r="T2" s="116"/>
      <c r="U2" s="116"/>
      <c r="V2" s="116"/>
      <c r="W2" s="116"/>
      <c r="X2" s="116"/>
    </row>
    <row r="3">
      <c r="A3" s="36" t="s">
        <v>9</v>
      </c>
      <c r="B3" s="37" t="s">
        <v>10</v>
      </c>
      <c r="C3" s="42">
        <f>Мног_колич_квартир!C3*3</f>
        <v>0</v>
      </c>
      <c r="D3" s="42">
        <f>Мног_колич_квартир!D3*3</f>
        <v>768</v>
      </c>
      <c r="E3" s="42">
        <f>Мног_колич_квартир!E3*3</f>
        <v>72</v>
      </c>
      <c r="F3" s="42">
        <f>Мног_колич_квартир!F3*3</f>
        <v>0</v>
      </c>
      <c r="G3" s="121">
        <f t="shared" ref="G3:G9" si="67">SUM(C3:F3)</f>
        <v>840</v>
      </c>
      <c r="H3" s="39">
        <f>SUM(G3:G7)</f>
        <v>3600</v>
      </c>
      <c r="I3" s="39">
        <f t="shared" ref="I3:I9" si="68">G3/3*5</f>
        <v>1400</v>
      </c>
      <c r="J3" s="39">
        <f t="shared" ref="J3:J9" si="69">G3/3*3</f>
        <v>840</v>
      </c>
      <c r="K3" s="39">
        <v>19.219999999999999</v>
      </c>
      <c r="L3" s="39">
        <v>9.4100000000000001</v>
      </c>
      <c r="M3" s="39">
        <v>10.539999999999999</v>
      </c>
      <c r="N3" s="39">
        <f t="shared" ref="N3:N9" si="70">M3</f>
        <v>10.539999999999999</v>
      </c>
      <c r="O3" s="39">
        <v>252</v>
      </c>
      <c r="P3" s="39">
        <v>166.31999999999999</v>
      </c>
      <c r="Q3" s="39">
        <f t="shared" ref="Q3:Q9" si="71">O3-P3</f>
        <v>85.680000000000007</v>
      </c>
      <c r="R3" s="39">
        <f t="shared" ref="R3:R9" si="72">Q3</f>
        <v>85.680000000000007</v>
      </c>
      <c r="S3" s="122">
        <f t="shared" ref="S3:S9" si="73">M3*276.26</f>
        <v>2911.7803999999996</v>
      </c>
      <c r="T3" s="122">
        <f t="shared" ref="T3:T9" si="74">S3/31.8</f>
        <v>91.565421383647788</v>
      </c>
      <c r="U3" s="122"/>
      <c r="V3" s="122">
        <f t="shared" ref="V3:V9" si="75">S3*239.005736*0.000001</f>
        <v>0.69593221757237433</v>
      </c>
      <c r="W3" s="122">
        <f t="shared" ref="W3:W9" si="76">V3*128</f>
        <v>89.079323849263915</v>
      </c>
      <c r="X3" s="123"/>
      <c r="Y3">
        <f t="shared" ref="Y3:Y9" si="77">M3*8.69</f>
        <v>91.59259999999999</v>
      </c>
      <c r="AB3" s="25">
        <v>0.00027799999999999998</v>
      </c>
      <c r="AC3">
        <f t="shared" ref="AC3:AC9" si="78">S3*AB3</f>
        <v>0.80947495119999979</v>
      </c>
    </row>
    <row r="4">
      <c r="A4" s="45"/>
      <c r="B4" s="46" t="s">
        <v>12</v>
      </c>
      <c r="C4" s="50">
        <f>Мног_колич_квартир!C4*3</f>
        <v>0</v>
      </c>
      <c r="D4" s="50">
        <f>Мног_колич_квартир!D4*3</f>
        <v>864</v>
      </c>
      <c r="E4" s="50">
        <f>Мног_колич_квартир!E4*3</f>
        <v>72</v>
      </c>
      <c r="F4" s="50">
        <f>Мног_колич_квартир!F4*3</f>
        <v>0</v>
      </c>
      <c r="G4" s="114">
        <f t="shared" si="67"/>
        <v>936</v>
      </c>
      <c r="H4" s="28"/>
      <c r="I4" s="28">
        <f t="shared" si="68"/>
        <v>1560</v>
      </c>
      <c r="J4" s="28">
        <f t="shared" si="69"/>
        <v>936</v>
      </c>
      <c r="K4" s="28">
        <v>21.02</v>
      </c>
      <c r="L4" s="28">
        <v>10.26</v>
      </c>
      <c r="M4" s="28">
        <f>K4-L4</f>
        <v>10.76</v>
      </c>
      <c r="N4" s="28">
        <f t="shared" si="70"/>
        <v>10.76</v>
      </c>
      <c r="O4" s="28">
        <v>280.80000000000001</v>
      </c>
      <c r="P4" s="28">
        <v>168.47999999999999</v>
      </c>
      <c r="Q4" s="28">
        <f t="shared" si="71"/>
        <v>112.32000000000002</v>
      </c>
      <c r="R4" s="28">
        <f t="shared" si="72"/>
        <v>112.32000000000002</v>
      </c>
      <c r="S4" s="25">
        <f t="shared" si="73"/>
        <v>2972.5575999999996</v>
      </c>
      <c r="T4" s="25">
        <f t="shared" si="74"/>
        <v>93.476654088050296</v>
      </c>
      <c r="U4" s="25"/>
      <c r="V4" s="25">
        <f t="shared" si="75"/>
        <v>0.71045831699039352</v>
      </c>
      <c r="W4" s="25">
        <f t="shared" si="76"/>
        <v>90.938664574770371</v>
      </c>
      <c r="X4" s="124"/>
      <c r="Y4">
        <f t="shared" si="77"/>
        <v>93.50439999999999</v>
      </c>
      <c r="AB4" s="25">
        <v>0.00027799999999999998</v>
      </c>
      <c r="AC4">
        <f t="shared" si="78"/>
        <v>0.8263710127999998</v>
      </c>
    </row>
    <row r="5">
      <c r="A5" s="45"/>
      <c r="B5" s="46" t="s">
        <v>13</v>
      </c>
      <c r="C5" s="50">
        <f>Мног_колич_квартир!C5*3</f>
        <v>0</v>
      </c>
      <c r="D5" s="50">
        <f>Мног_колич_квартир!D5*3</f>
        <v>672</v>
      </c>
      <c r="E5" s="50">
        <f>Мног_колич_квартир!E5*3</f>
        <v>144</v>
      </c>
      <c r="F5" s="50">
        <f>Мног_колич_квартир!F5*3</f>
        <v>0</v>
      </c>
      <c r="G5" s="114">
        <f t="shared" si="67"/>
        <v>816</v>
      </c>
      <c r="H5" s="28"/>
      <c r="I5" s="28">
        <f t="shared" si="68"/>
        <v>1360</v>
      </c>
      <c r="J5" s="28">
        <f t="shared" si="69"/>
        <v>816</v>
      </c>
      <c r="K5" s="28">
        <v>18.77</v>
      </c>
      <c r="L5" s="28">
        <v>7.6399999999999997</v>
      </c>
      <c r="M5" s="28">
        <v>12.109999999999999</v>
      </c>
      <c r="N5" s="28">
        <f t="shared" si="70"/>
        <v>12.109999999999999</v>
      </c>
      <c r="O5" s="28">
        <v>244.80000000000001</v>
      </c>
      <c r="P5" s="28">
        <v>146.88</v>
      </c>
      <c r="Q5" s="28">
        <f t="shared" si="71"/>
        <v>97.920000000000016</v>
      </c>
      <c r="R5" s="28">
        <f t="shared" si="72"/>
        <v>97.920000000000016</v>
      </c>
      <c r="S5" s="25">
        <f t="shared" si="73"/>
        <v>3345.5085999999997</v>
      </c>
      <c r="T5" s="25">
        <f t="shared" si="74"/>
        <v>105.20467295597483</v>
      </c>
      <c r="U5" s="25"/>
      <c r="V5" s="25">
        <f t="shared" si="75"/>
        <v>0.79959574523732946</v>
      </c>
      <c r="W5" s="25">
        <f t="shared" si="76"/>
        <v>102.34825539037817</v>
      </c>
      <c r="X5" s="124"/>
      <c r="Y5">
        <f t="shared" si="77"/>
        <v>105.23589999999999</v>
      </c>
      <c r="AB5" s="25">
        <v>0.00027799999999999998</v>
      </c>
      <c r="AC5">
        <f t="shared" si="78"/>
        <v>0.93005139079999988</v>
      </c>
    </row>
    <row r="6">
      <c r="A6" s="45"/>
      <c r="B6" s="46" t="s">
        <v>14</v>
      </c>
      <c r="C6" s="50">
        <f>Мног_колич_квартир!C6*3</f>
        <v>0</v>
      </c>
      <c r="D6" s="50">
        <f>Мног_колич_квартир!D6*3</f>
        <v>480</v>
      </c>
      <c r="E6" s="50">
        <f>Мног_колич_квартир!E6*3</f>
        <v>72</v>
      </c>
      <c r="F6" s="50">
        <f>Мног_колич_квартир!F6*3</f>
        <v>0</v>
      </c>
      <c r="G6" s="114">
        <f t="shared" si="67"/>
        <v>552</v>
      </c>
      <c r="H6" s="28"/>
      <c r="I6" s="28">
        <f t="shared" si="68"/>
        <v>920</v>
      </c>
      <c r="J6" s="28">
        <f t="shared" si="69"/>
        <v>552</v>
      </c>
      <c r="K6" s="28">
        <v>13.699999999999999</v>
      </c>
      <c r="L6" s="28">
        <v>5.6699999999999999</v>
      </c>
      <c r="M6" s="28">
        <v>8.8499999999999996</v>
      </c>
      <c r="N6" s="28">
        <f t="shared" si="70"/>
        <v>8.8499999999999996</v>
      </c>
      <c r="O6" s="28">
        <v>165.59999999999999</v>
      </c>
      <c r="P6" s="28">
        <v>99.359999999999999</v>
      </c>
      <c r="Q6" s="28">
        <f t="shared" si="71"/>
        <v>66.239999999999995</v>
      </c>
      <c r="R6" s="28">
        <f t="shared" si="72"/>
        <v>66.239999999999995</v>
      </c>
      <c r="S6" s="25">
        <f t="shared" si="73"/>
        <v>2444.9009999999998</v>
      </c>
      <c r="T6" s="25">
        <f t="shared" si="74"/>
        <v>76.883679245283005</v>
      </c>
      <c r="U6" s="25"/>
      <c r="V6" s="25">
        <f t="shared" si="75"/>
        <v>0.5843453629521359</v>
      </c>
      <c r="W6" s="25">
        <f t="shared" si="76"/>
        <v>74.796206457873396</v>
      </c>
      <c r="X6" s="124"/>
      <c r="Y6">
        <f t="shared" si="77"/>
        <v>76.906499999999994</v>
      </c>
      <c r="AB6" s="25">
        <v>0.00027799999999999998</v>
      </c>
      <c r="AC6">
        <f t="shared" si="78"/>
        <v>0.67968247799999992</v>
      </c>
    </row>
    <row r="7">
      <c r="A7" s="53"/>
      <c r="B7" s="54" t="s">
        <v>15</v>
      </c>
      <c r="C7" s="60">
        <f>Мног_колич_квартир!C7*3</f>
        <v>0</v>
      </c>
      <c r="D7" s="60">
        <f>Мног_колич_квартир!D7*3</f>
        <v>384</v>
      </c>
      <c r="E7" s="60">
        <f>Мног_колич_квартир!E7*3</f>
        <v>72</v>
      </c>
      <c r="F7" s="60">
        <f>Мног_колич_квартир!F7*3</f>
        <v>0</v>
      </c>
      <c r="G7" s="125">
        <f t="shared" si="67"/>
        <v>456</v>
      </c>
      <c r="H7" s="56"/>
      <c r="I7" s="56">
        <f t="shared" si="68"/>
        <v>760</v>
      </c>
      <c r="J7" s="56">
        <f t="shared" si="69"/>
        <v>456</v>
      </c>
      <c r="K7" s="56">
        <v>11.789999999999999</v>
      </c>
      <c r="L7" s="56">
        <v>4.9199999999999999</v>
      </c>
      <c r="M7" s="56">
        <v>7.6200000000000001</v>
      </c>
      <c r="N7" s="56">
        <f t="shared" si="70"/>
        <v>7.6200000000000001</v>
      </c>
      <c r="O7" s="56">
        <v>136.80000000000001</v>
      </c>
      <c r="P7" s="56">
        <v>82.079999999999998</v>
      </c>
      <c r="Q7" s="56">
        <f t="shared" si="71"/>
        <v>54.720000000000013</v>
      </c>
      <c r="R7" s="56">
        <f t="shared" si="72"/>
        <v>54.720000000000013</v>
      </c>
      <c r="S7" s="126">
        <f t="shared" si="73"/>
        <v>2105.1012000000001</v>
      </c>
      <c r="T7" s="126">
        <f t="shared" si="74"/>
        <v>66.198150943396229</v>
      </c>
      <c r="U7" s="126"/>
      <c r="V7" s="126">
        <f t="shared" si="75"/>
        <v>0.50313126166048328</v>
      </c>
      <c r="W7" s="126">
        <f t="shared" si="76"/>
        <v>64.400801492541859</v>
      </c>
      <c r="X7" s="127"/>
      <c r="Y7">
        <f t="shared" si="77"/>
        <v>66.217799999999997</v>
      </c>
      <c r="Z7">
        <f>SUM(Y3:Y7)</f>
        <v>433.4572</v>
      </c>
      <c r="AB7" s="25">
        <v>0.00027799999999999998</v>
      </c>
      <c r="AC7">
        <f t="shared" si="78"/>
        <v>0.58521813359999997</v>
      </c>
      <c r="AD7">
        <f>SUM(AC3:AC7)</f>
        <v>3.8307979663999996</v>
      </c>
      <c r="AE7">
        <f>'Много_кол_энерг_огр'!DA8</f>
        <v>9.7296647899999993</v>
      </c>
      <c r="AF7">
        <f>AD7+AE7</f>
        <v>13.5604627564</v>
      </c>
    </row>
    <row r="8">
      <c r="A8" s="36" t="s">
        <v>16</v>
      </c>
      <c r="B8" s="37" t="s">
        <v>17</v>
      </c>
      <c r="C8" s="42">
        <f>Мног_колич_квартир!C8*3</f>
        <v>0</v>
      </c>
      <c r="D8" s="42">
        <f>Мног_колич_квартир!D8*3</f>
        <v>672</v>
      </c>
      <c r="E8" s="42">
        <f>Мног_колич_квартир!E8*3</f>
        <v>144</v>
      </c>
      <c r="F8" s="42">
        <f>Мног_колич_квартир!F8*3</f>
        <v>0</v>
      </c>
      <c r="G8" s="121">
        <f t="shared" si="67"/>
        <v>816</v>
      </c>
      <c r="H8" s="39">
        <f>SUM(G8:G10)</f>
        <v>2448</v>
      </c>
      <c r="I8" s="39">
        <f t="shared" si="68"/>
        <v>1360</v>
      </c>
      <c r="J8" s="39">
        <f t="shared" si="69"/>
        <v>816</v>
      </c>
      <c r="K8" s="39">
        <v>18.77</v>
      </c>
      <c r="L8" s="39">
        <v>7.6399999999999997</v>
      </c>
      <c r="M8" s="39">
        <v>12.109999999999999</v>
      </c>
      <c r="N8" s="39">
        <f t="shared" si="70"/>
        <v>12.109999999999999</v>
      </c>
      <c r="O8" s="39">
        <v>244.80000000000001</v>
      </c>
      <c r="P8" s="39">
        <v>146.88</v>
      </c>
      <c r="Q8" s="39">
        <f t="shared" si="71"/>
        <v>97.920000000000016</v>
      </c>
      <c r="R8" s="39">
        <f t="shared" si="72"/>
        <v>97.920000000000016</v>
      </c>
      <c r="S8" s="122">
        <f t="shared" si="73"/>
        <v>3345.5085999999997</v>
      </c>
      <c r="T8" s="122">
        <f t="shared" si="74"/>
        <v>105.20467295597483</v>
      </c>
      <c r="U8" s="122"/>
      <c r="V8" s="122">
        <f t="shared" si="75"/>
        <v>0.79959574523732946</v>
      </c>
      <c r="W8" s="122">
        <f t="shared" si="76"/>
        <v>102.34825539037817</v>
      </c>
      <c r="X8" s="123"/>
      <c r="Y8">
        <f t="shared" si="77"/>
        <v>105.23589999999999</v>
      </c>
      <c r="AB8" s="25">
        <v>0.00027799999999999998</v>
      </c>
      <c r="AC8">
        <f t="shared" si="78"/>
        <v>0.93005139079999988</v>
      </c>
    </row>
    <row r="9">
      <c r="A9" s="45"/>
      <c r="B9" s="46" t="s">
        <v>18</v>
      </c>
      <c r="C9" s="50">
        <f>Мног_колич_квартир!C9*3</f>
        <v>0</v>
      </c>
      <c r="D9" s="50">
        <f>Мног_колич_квартир!D9*3</f>
        <v>672</v>
      </c>
      <c r="E9" s="50">
        <f>Мног_колич_квартир!E9*3</f>
        <v>144</v>
      </c>
      <c r="F9" s="50">
        <f>Мног_колич_квартир!F9*3</f>
        <v>0</v>
      </c>
      <c r="G9" s="114">
        <f t="shared" si="67"/>
        <v>816</v>
      </c>
      <c r="H9" s="28"/>
      <c r="I9" s="28">
        <f t="shared" si="68"/>
        <v>1360</v>
      </c>
      <c r="J9" s="28">
        <f t="shared" si="69"/>
        <v>816</v>
      </c>
      <c r="K9" s="28">
        <v>18.77</v>
      </c>
      <c r="L9" s="28">
        <v>7.6399999999999997</v>
      </c>
      <c r="M9" s="28">
        <v>12.109999999999999</v>
      </c>
      <c r="N9" s="28">
        <f t="shared" si="70"/>
        <v>12.109999999999999</v>
      </c>
      <c r="O9" s="28">
        <v>244.80000000000001</v>
      </c>
      <c r="P9" s="28">
        <v>146.88</v>
      </c>
      <c r="Q9" s="28">
        <f t="shared" si="71"/>
        <v>97.920000000000016</v>
      </c>
      <c r="R9" s="28">
        <f t="shared" si="72"/>
        <v>97.920000000000016</v>
      </c>
      <c r="S9" s="25">
        <f t="shared" si="73"/>
        <v>3345.5085999999997</v>
      </c>
      <c r="T9" s="25">
        <f t="shared" si="74"/>
        <v>105.20467295597483</v>
      </c>
      <c r="U9" s="25"/>
      <c r="V9" s="25">
        <f t="shared" si="75"/>
        <v>0.79959574523732946</v>
      </c>
      <c r="W9" s="25">
        <f t="shared" si="76"/>
        <v>102.34825539037817</v>
      </c>
      <c r="X9" s="124"/>
      <c r="Y9">
        <f t="shared" si="77"/>
        <v>105.23589999999999</v>
      </c>
      <c r="AB9" s="25">
        <v>0.00027799999999999998</v>
      </c>
      <c r="AC9">
        <f t="shared" si="78"/>
        <v>0.93005139079999988</v>
      </c>
    </row>
    <row r="10">
      <c r="A10" s="53"/>
      <c r="B10" s="54" t="s">
        <v>19</v>
      </c>
      <c r="C10" s="60">
        <f>Мног_колич_квартир!C10*3</f>
        <v>0</v>
      </c>
      <c r="D10" s="60">
        <f>Мног_колич_квартир!D10*3</f>
        <v>672</v>
      </c>
      <c r="E10" s="60">
        <f>Мног_колич_квартир!E10*3</f>
        <v>144</v>
      </c>
      <c r="F10" s="60">
        <f>Мног_колич_квартир!F10*3</f>
        <v>0</v>
      </c>
      <c r="G10" s="125">
        <f t="shared" ref="G10:G13" si="79">SUM(C10:F10)</f>
        <v>816</v>
      </c>
      <c r="H10" s="56"/>
      <c r="I10" s="56">
        <f t="shared" ref="I10:I13" si="80">G10/3*5</f>
        <v>1360</v>
      </c>
      <c r="J10" s="56">
        <f t="shared" ref="J10:J13" si="81">G10/3*3</f>
        <v>816</v>
      </c>
      <c r="K10" s="56">
        <v>18.77</v>
      </c>
      <c r="L10" s="56">
        <v>7.6399999999999997</v>
      </c>
      <c r="M10" s="56">
        <v>12.109999999999999</v>
      </c>
      <c r="N10" s="56">
        <f t="shared" ref="N10:N13" si="82">M10</f>
        <v>12.109999999999999</v>
      </c>
      <c r="O10" s="56">
        <v>244.80000000000001</v>
      </c>
      <c r="P10" s="56">
        <v>146.88</v>
      </c>
      <c r="Q10" s="56">
        <f t="shared" ref="Q10:Q13" si="83">O10-P10</f>
        <v>97.920000000000016</v>
      </c>
      <c r="R10" s="56">
        <f t="shared" ref="R10:R13" si="84">Q10</f>
        <v>97.920000000000016</v>
      </c>
      <c r="S10" s="126">
        <f t="shared" ref="S10:S13" si="85">M10*276.26</f>
        <v>3345.5085999999997</v>
      </c>
      <c r="T10" s="126">
        <f t="shared" ref="T10:T13" si="86">S10/31.8</f>
        <v>105.20467295597483</v>
      </c>
      <c r="U10" s="126"/>
      <c r="V10" s="126">
        <f t="shared" ref="V10:V13" si="87">S10*239.005736*0.000001</f>
        <v>0.79959574523732946</v>
      </c>
      <c r="W10" s="126">
        <f t="shared" ref="W10:W13" si="88">V10*128</f>
        <v>102.34825539037817</v>
      </c>
      <c r="X10" s="127"/>
      <c r="Y10">
        <f t="shared" ref="Y10:Y13" si="89">M10*8.69</f>
        <v>105.23589999999999</v>
      </c>
      <c r="Z10">
        <f>SUM(Y8:Y10)</f>
        <v>315.70769999999993</v>
      </c>
      <c r="AB10" s="25">
        <v>0.00027799999999999998</v>
      </c>
      <c r="AC10">
        <f t="shared" ref="AC10:AC13" si="90">S10*AB10</f>
        <v>0.93005139079999988</v>
      </c>
      <c r="AD10">
        <f>SUM(AC8:AC10)</f>
        <v>2.7901541723999994</v>
      </c>
      <c r="AE10">
        <f>'Много_кол_энерг_огр'!DA11</f>
        <v>6.6638129099999999</v>
      </c>
      <c r="AF10">
        <f>AD10+AE10</f>
        <v>9.4539670823999984</v>
      </c>
    </row>
    <row r="11">
      <c r="A11" s="36" t="s">
        <v>20</v>
      </c>
      <c r="B11" s="37" t="s">
        <v>21</v>
      </c>
      <c r="C11" s="42">
        <f>Мног_колич_квартир!C11*3</f>
        <v>0</v>
      </c>
      <c r="D11" s="42">
        <f>Мног_колич_квартир!D11*3</f>
        <v>672</v>
      </c>
      <c r="E11" s="42">
        <f>Мног_колич_квартир!E11*3</f>
        <v>144</v>
      </c>
      <c r="F11" s="42">
        <f>Мног_колич_квартир!F11*3</f>
        <v>0</v>
      </c>
      <c r="G11" s="121">
        <f t="shared" si="79"/>
        <v>816</v>
      </c>
      <c r="H11" s="39">
        <f>SUM(G11:G13)</f>
        <v>2568</v>
      </c>
      <c r="I11" s="39">
        <f t="shared" si="80"/>
        <v>1360</v>
      </c>
      <c r="J11" s="39">
        <f t="shared" si="81"/>
        <v>816</v>
      </c>
      <c r="K11" s="39">
        <v>18.77</v>
      </c>
      <c r="L11" s="39">
        <v>7.6399999999999997</v>
      </c>
      <c r="M11" s="39">
        <v>12.109999999999999</v>
      </c>
      <c r="N11" s="39">
        <f t="shared" si="82"/>
        <v>12.109999999999999</v>
      </c>
      <c r="O11" s="39">
        <v>244.80000000000001</v>
      </c>
      <c r="P11" s="39">
        <v>146.88</v>
      </c>
      <c r="Q11" s="39">
        <f t="shared" si="83"/>
        <v>97.920000000000016</v>
      </c>
      <c r="R11" s="39">
        <f t="shared" si="84"/>
        <v>97.920000000000016</v>
      </c>
      <c r="S11" s="122">
        <f t="shared" si="85"/>
        <v>3345.5085999999997</v>
      </c>
      <c r="T11" s="122">
        <f t="shared" si="86"/>
        <v>105.20467295597483</v>
      </c>
      <c r="U11" s="122"/>
      <c r="V11" s="122">
        <f t="shared" si="87"/>
        <v>0.79959574523732946</v>
      </c>
      <c r="W11" s="122">
        <f t="shared" si="88"/>
        <v>102.34825539037817</v>
      </c>
      <c r="X11" s="123"/>
      <c r="Y11">
        <f t="shared" si="89"/>
        <v>105.23589999999999</v>
      </c>
      <c r="AB11" s="25">
        <v>0.00027799999999999998</v>
      </c>
      <c r="AC11">
        <f t="shared" si="90"/>
        <v>0.93005139079999988</v>
      </c>
    </row>
    <row r="12">
      <c r="A12" s="45"/>
      <c r="B12" s="46" t="s">
        <v>22</v>
      </c>
      <c r="C12" s="50">
        <f>Мног_колич_квартир!C12*3</f>
        <v>0</v>
      </c>
      <c r="D12" s="50">
        <f>Мног_колич_квартир!D12*3</f>
        <v>672</v>
      </c>
      <c r="E12" s="50">
        <f>Мног_колич_квартир!E12*3</f>
        <v>144</v>
      </c>
      <c r="F12" s="50">
        <f>Мног_колич_квартир!F12*3</f>
        <v>0</v>
      </c>
      <c r="G12" s="114">
        <f t="shared" si="79"/>
        <v>816</v>
      </c>
      <c r="H12" s="28"/>
      <c r="I12" s="28">
        <f t="shared" si="80"/>
        <v>1360</v>
      </c>
      <c r="J12" s="28">
        <f t="shared" si="81"/>
        <v>816</v>
      </c>
      <c r="K12" s="28">
        <v>18.77</v>
      </c>
      <c r="L12" s="28">
        <v>7.6399999999999997</v>
      </c>
      <c r="M12" s="28">
        <v>12.109999999999999</v>
      </c>
      <c r="N12" s="28">
        <f t="shared" si="82"/>
        <v>12.109999999999999</v>
      </c>
      <c r="O12" s="28">
        <v>244.80000000000001</v>
      </c>
      <c r="P12" s="28">
        <v>146.88</v>
      </c>
      <c r="Q12" s="28">
        <f t="shared" si="83"/>
        <v>97.920000000000016</v>
      </c>
      <c r="R12" s="28">
        <f t="shared" si="84"/>
        <v>97.920000000000016</v>
      </c>
      <c r="S12" s="25">
        <f t="shared" si="85"/>
        <v>3345.5085999999997</v>
      </c>
      <c r="T12" s="25">
        <f t="shared" si="86"/>
        <v>105.20467295597483</v>
      </c>
      <c r="U12" s="25"/>
      <c r="V12" s="25">
        <f t="shared" si="87"/>
        <v>0.79959574523732946</v>
      </c>
      <c r="W12" s="25">
        <f t="shared" si="88"/>
        <v>102.34825539037817</v>
      </c>
      <c r="X12" s="124"/>
      <c r="Y12">
        <f t="shared" si="89"/>
        <v>105.23589999999999</v>
      </c>
      <c r="AB12" s="25">
        <v>0.00027799999999999998</v>
      </c>
      <c r="AC12">
        <f t="shared" si="90"/>
        <v>0.93005139079999988</v>
      </c>
    </row>
    <row r="13">
      <c r="A13" s="53"/>
      <c r="B13" s="54" t="s">
        <v>23</v>
      </c>
      <c r="C13" s="60">
        <f>Мног_колич_квартир!C13*3</f>
        <v>0</v>
      </c>
      <c r="D13" s="60">
        <f>Мног_колич_квартир!D13*3</f>
        <v>864</v>
      </c>
      <c r="E13" s="60">
        <f>Мног_колич_квартир!E13*3</f>
        <v>72</v>
      </c>
      <c r="F13" s="60">
        <f>Мног_колич_квартир!F13*3</f>
        <v>0</v>
      </c>
      <c r="G13" s="125">
        <f t="shared" si="79"/>
        <v>936</v>
      </c>
      <c r="H13" s="56"/>
      <c r="I13" s="56">
        <f t="shared" si="80"/>
        <v>1560</v>
      </c>
      <c r="J13" s="56">
        <f t="shared" si="81"/>
        <v>936</v>
      </c>
      <c r="K13" s="56">
        <v>21.02</v>
      </c>
      <c r="L13" s="56">
        <v>10.26</v>
      </c>
      <c r="M13" s="56">
        <f>K13-L13</f>
        <v>10.76</v>
      </c>
      <c r="N13" s="56">
        <f t="shared" si="82"/>
        <v>10.76</v>
      </c>
      <c r="O13" s="56">
        <v>280.80000000000001</v>
      </c>
      <c r="P13" s="56">
        <v>168.47999999999999</v>
      </c>
      <c r="Q13" s="56">
        <f t="shared" si="83"/>
        <v>112.32000000000002</v>
      </c>
      <c r="R13" s="56">
        <f t="shared" si="84"/>
        <v>112.32000000000002</v>
      </c>
      <c r="S13" s="126">
        <f t="shared" si="85"/>
        <v>2972.5575999999996</v>
      </c>
      <c r="T13" s="126">
        <f t="shared" si="86"/>
        <v>93.476654088050296</v>
      </c>
      <c r="U13" s="126"/>
      <c r="V13" s="126">
        <f t="shared" si="87"/>
        <v>0.71045831699039352</v>
      </c>
      <c r="W13" s="126">
        <f t="shared" si="88"/>
        <v>90.938664574770371</v>
      </c>
      <c r="X13" s="127"/>
      <c r="Y13">
        <f t="shared" si="89"/>
        <v>93.50439999999999</v>
      </c>
      <c r="Z13">
        <f>SUM(Y11:Y13)</f>
        <v>303.97619999999995</v>
      </c>
      <c r="AB13" s="25">
        <v>0.00027799999999999998</v>
      </c>
      <c r="AC13">
        <f t="shared" si="90"/>
        <v>0.8263710127999998</v>
      </c>
      <c r="AD13">
        <f>SUM(AC11:AC13)</f>
        <v>2.6864737943999994</v>
      </c>
      <c r="AE13">
        <f>'Много_кол_энерг_огр'!DA14</f>
        <v>6.9693583000000006</v>
      </c>
      <c r="AF13">
        <f>AD13+AE13</f>
        <v>9.6558320944000009</v>
      </c>
    </row>
    <row r="14">
      <c r="A14" s="128" t="s">
        <v>24</v>
      </c>
      <c r="B14" s="128"/>
      <c r="C14" s="73">
        <f>SUM(C3:C13)</f>
        <v>0</v>
      </c>
      <c r="D14" s="73">
        <f>SUM(D3:D13)</f>
        <v>7392</v>
      </c>
      <c r="E14" s="73">
        <f>SUM(E3:E13)</f>
        <v>1224</v>
      </c>
      <c r="F14" s="73">
        <f>SUM(F3:F13)</f>
        <v>0</v>
      </c>
      <c r="G14" s="129">
        <f>SUM(G3:G13)</f>
        <v>8616</v>
      </c>
      <c r="H14" s="129">
        <f>SUM(H3:H13)</f>
        <v>8616</v>
      </c>
      <c r="I14" s="129">
        <f>SUM(I3:I13)</f>
        <v>14360</v>
      </c>
      <c r="J14" s="129">
        <f>SUM(J3:J13)</f>
        <v>8616</v>
      </c>
      <c r="K14" s="129">
        <f>SUM(K3:K13)</f>
        <v>199.37000000000003</v>
      </c>
      <c r="L14" s="129">
        <f>SUM(L3:L13)</f>
        <v>86.360000000000014</v>
      </c>
      <c r="M14" s="129">
        <f>SUM(M3:M13)</f>
        <v>121.19</v>
      </c>
      <c r="N14" s="129">
        <f>SUM(N3:N13)</f>
        <v>121.19</v>
      </c>
      <c r="O14" s="129">
        <f>SUM(O3:O13)</f>
        <v>2584.8000000000002</v>
      </c>
      <c r="P14" s="129">
        <f>SUM(P3:P13)</f>
        <v>1566</v>
      </c>
      <c r="Q14" s="129">
        <f>SUM(Q3:Q13)</f>
        <v>1018.8000000000005</v>
      </c>
      <c r="R14" s="129">
        <f>SUM(R3:R13)</f>
        <v>1018.8000000000005</v>
      </c>
      <c r="S14" s="130">
        <f>SUM(S3:S13)</f>
        <v>33479.949400000005</v>
      </c>
      <c r="T14" s="130">
        <f>SUM(T3:T13)</f>
        <v>1052.8285974842768</v>
      </c>
      <c r="U14" s="131"/>
      <c r="V14" s="130">
        <f>SUM(V3:V13)</f>
        <v>8.0018999475897576</v>
      </c>
      <c r="W14" s="130">
        <f>SUM(W3:W13)</f>
        <v>1024.243193291489</v>
      </c>
      <c r="X14" s="131"/>
      <c r="Y14" s="132">
        <f>SUM(Y3:Y13)</f>
        <v>1053.1411000000001</v>
      </c>
    </row>
  </sheetData>
  <mergeCells count="25">
    <mergeCell ref="A1:A2"/>
    <mergeCell ref="B1:B2"/>
    <mergeCell ref="C1:F1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V1:V2"/>
    <mergeCell ref="W1:W2"/>
    <mergeCell ref="A3:A7"/>
    <mergeCell ref="H3:H7"/>
    <mergeCell ref="A8:A10"/>
    <mergeCell ref="H8:H10"/>
    <mergeCell ref="A11:A13"/>
    <mergeCell ref="H11:H13"/>
  </mergeCells>
  <printOptions headings="0" gridLines="0"/>
  <pageMargins left="0.70000004768371604" right="0.70000004768371604" top="0.75" bottom="0.75" header="0.30000001192092901" footer="0.30000001192092901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topLeftCell="B1" zoomScale="100" workbookViewId="0">
      <selection activeCell="A1" activeCellId="0" sqref="A1"/>
    </sheetView>
  </sheetViews>
  <sheetFormatPr baseColWidth="8" defaultColWidth="9.1406253092569294" defaultRowHeight="14.25"/>
  <cols>
    <col bestFit="1" customWidth="1" min="1" max="2" style="25" width="20.855468643610301"/>
    <col bestFit="1" customWidth="1" min="3" max="3" style="25" width="9.8554688127765093"/>
    <col bestFit="1" customWidth="1" min="4" max="4" style="25" width="12.5703126546285"/>
    <col customWidth="1" min="5" max="5" style="25" width="12.5703126546285"/>
    <col bestFit="1" customWidth="1" min="6" max="6" style="25" width="9.8554688127765093"/>
    <col bestFit="1" customWidth="1" min="7" max="7" style="25" width="12.5703126546285"/>
    <col customWidth="1" min="8" max="8" style="25" width="12.5703126546285"/>
    <col bestFit="1" customWidth="1" min="9" max="9" style="25" width="9.8554688127765093"/>
    <col bestFit="1" customWidth="1" min="10" max="10" style="25" width="12.5703126546285"/>
    <col customWidth="1" min="11" max="11" style="25" width="12.5703126546285"/>
    <col bestFit="1" customWidth="1" min="12" max="12" style="25" width="9.8554688127765093"/>
    <col bestFit="1" customWidth="1" min="13" max="13" style="25" width="12.5703126546285"/>
    <col customWidth="1" min="14" max="14" style="25" width="12.5703126546285"/>
    <col customWidth="1" min="15" max="15" style="25" width="10.5703123162961"/>
    <col bestFit="1" customWidth="1" min="16" max="16" style="25" width="9.8554688127765093"/>
    <col bestFit="1" customWidth="1" min="17" max="17" style="25" width="9.1406253092569294"/>
    <col bestFit="1" customWidth="1" min="18" max="18" style="25" width="12.4257811290726"/>
    <col bestFit="1" customWidth="1" min="19" max="16384" style="25" width="9.1406253092569294"/>
  </cols>
  <sheetData>
    <row r="1">
      <c r="A1" s="1" t="s">
        <v>0</v>
      </c>
      <c r="B1" s="1" t="s">
        <v>1</v>
      </c>
      <c r="C1" s="133" t="s">
        <v>94</v>
      </c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</row>
    <row r="2" ht="48" customHeight="1">
      <c r="A2" s="19"/>
      <c r="B2" s="19"/>
      <c r="C2" s="83" t="s">
        <v>95</v>
      </c>
      <c r="D2" s="135"/>
      <c r="E2" s="136"/>
      <c r="F2" s="83" t="s">
        <v>96</v>
      </c>
      <c r="G2" s="135"/>
      <c r="H2" s="136"/>
      <c r="I2" s="83" t="s">
        <v>97</v>
      </c>
      <c r="J2" s="135"/>
      <c r="K2" s="136"/>
      <c r="L2" s="83" t="s">
        <v>98</v>
      </c>
      <c r="M2" s="135"/>
      <c r="N2" s="136"/>
      <c r="O2" s="137" t="s">
        <v>99</v>
      </c>
      <c r="P2" s="137" t="s">
        <v>100</v>
      </c>
      <c r="R2" s="25" t="s">
        <v>101</v>
      </c>
    </row>
    <row r="3">
      <c r="A3" s="3"/>
      <c r="B3" s="3"/>
      <c r="C3" s="6" t="s">
        <v>102</v>
      </c>
      <c r="D3" s="6" t="s">
        <v>103</v>
      </c>
      <c r="E3" s="6" t="s">
        <v>104</v>
      </c>
      <c r="F3" s="6" t="s">
        <v>102</v>
      </c>
      <c r="G3" s="6" t="s">
        <v>103</v>
      </c>
      <c r="H3" s="6" t="s">
        <v>104</v>
      </c>
      <c r="I3" s="6" t="s">
        <v>102</v>
      </c>
      <c r="J3" s="6" t="s">
        <v>103</v>
      </c>
      <c r="K3" s="6" t="s">
        <v>104</v>
      </c>
      <c r="L3" s="6" t="s">
        <v>102</v>
      </c>
      <c r="M3" s="6" t="s">
        <v>103</v>
      </c>
      <c r="N3" s="6" t="s">
        <v>104</v>
      </c>
      <c r="O3" s="138"/>
      <c r="P3" s="138"/>
    </row>
    <row r="4">
      <c r="A4" s="4" t="s">
        <v>9</v>
      </c>
      <c r="B4" s="5" t="s">
        <v>10</v>
      </c>
      <c r="C4" s="6">
        <v>0.69999999999999996</v>
      </c>
      <c r="D4" s="6">
        <f>C4*Мног_колич_жителей!G3</f>
        <v>588</v>
      </c>
      <c r="E4" s="7">
        <f t="shared" ref="E4:E9" si="91">R4-H4</f>
        <v>1230.8400000000001</v>
      </c>
      <c r="F4" s="6">
        <v>2</v>
      </c>
      <c r="G4" s="6">
        <f>F4*Мног_колич_жителей!G3</f>
        <v>1680</v>
      </c>
      <c r="H4" s="7">
        <f t="shared" ref="H4:H9" si="92">R4*0.74</f>
        <v>3503.1599999999999</v>
      </c>
      <c r="I4" s="6">
        <v>0.29999999999999999</v>
      </c>
      <c r="J4" s="6">
        <f>I4*Мног_колич_жителей!G3</f>
        <v>252</v>
      </c>
      <c r="K4" s="6">
        <v>446</v>
      </c>
      <c r="L4" s="6">
        <v>1.3999999999999999</v>
      </c>
      <c r="M4" s="6">
        <f>L4*Мног_колич_жителей!G3</f>
        <v>1176</v>
      </c>
      <c r="N4" s="6">
        <v>1999</v>
      </c>
      <c r="O4" s="139">
        <f t="shared" ref="O4:O9" si="93">M4+J4+G4+D4</f>
        <v>3696</v>
      </c>
      <c r="P4" s="139">
        <f t="shared" ref="P4:P9" si="94">N4+K4+H4+E4</f>
        <v>7179</v>
      </c>
      <c r="Q4" s="140">
        <f t="shared" ref="Q4:Q9" si="95">P4-O4</f>
        <v>3483</v>
      </c>
      <c r="R4" s="25">
        <v>4734</v>
      </c>
    </row>
    <row r="5">
      <c r="A5" s="8"/>
      <c r="B5" s="5" t="s">
        <v>12</v>
      </c>
      <c r="C5" s="6">
        <v>0.69999999999999996</v>
      </c>
      <c r="D5" s="6">
        <f>C5*Мног_колич_жителей!G4</f>
        <v>655.19999999999993</v>
      </c>
      <c r="E5" s="7">
        <f t="shared" si="91"/>
        <v>1443.2600000000002</v>
      </c>
      <c r="F5" s="6">
        <v>2</v>
      </c>
      <c r="G5" s="6">
        <f>F5*Мног_колич_жителей!G4</f>
        <v>1872</v>
      </c>
      <c r="H5" s="7">
        <f t="shared" si="92"/>
        <v>4107.7399999999998</v>
      </c>
      <c r="I5" s="6">
        <v>0.29999999999999999</v>
      </c>
      <c r="J5" s="6">
        <f>I5*Мног_колич_жителей!G4</f>
        <v>280.80000000000001</v>
      </c>
      <c r="K5" s="6">
        <v>413</v>
      </c>
      <c r="L5" s="6">
        <v>1.3999999999999999</v>
      </c>
      <c r="M5" s="6">
        <f>L5*Мног_колич_жителей!G4</f>
        <v>1310.3999999999999</v>
      </c>
      <c r="N5" s="6">
        <v>1989</v>
      </c>
      <c r="O5" s="139">
        <f t="shared" si="93"/>
        <v>4118.3999999999996</v>
      </c>
      <c r="P5" s="139">
        <f t="shared" si="94"/>
        <v>7953</v>
      </c>
      <c r="Q5" s="140">
        <f t="shared" si="95"/>
        <v>3834.6000000000004</v>
      </c>
      <c r="R5" s="25">
        <v>5551</v>
      </c>
    </row>
    <row r="6">
      <c r="A6" s="8"/>
      <c r="B6" s="5" t="s">
        <v>13</v>
      </c>
      <c r="C6" s="6">
        <v>0.69999999999999996</v>
      </c>
      <c r="D6" s="6">
        <f>C6*Мног_колич_жителей!G5</f>
        <v>571.19999999999993</v>
      </c>
      <c r="E6" s="7">
        <f t="shared" si="91"/>
        <v>616.98000000000002</v>
      </c>
      <c r="F6" s="6">
        <v>2</v>
      </c>
      <c r="G6" s="6">
        <f>F6*Мног_колич_жителей!G5</f>
        <v>1632</v>
      </c>
      <c r="H6" s="7">
        <f t="shared" si="92"/>
        <v>1756.02</v>
      </c>
      <c r="I6" s="6">
        <v>0.29999999999999999</v>
      </c>
      <c r="J6" s="6">
        <f>I6*Мног_колич_жителей!G5</f>
        <v>244.79999999999998</v>
      </c>
      <c r="K6" s="6">
        <v>254</v>
      </c>
      <c r="L6" s="6">
        <v>1.3999999999999999</v>
      </c>
      <c r="M6" s="6">
        <f>L6*Мног_колич_жителей!G5</f>
        <v>1142.3999999999999</v>
      </c>
      <c r="N6" s="6">
        <v>3079</v>
      </c>
      <c r="O6" s="139">
        <f t="shared" si="93"/>
        <v>3590.3999999999996</v>
      </c>
      <c r="P6" s="139">
        <f t="shared" si="94"/>
        <v>5706</v>
      </c>
      <c r="Q6" s="140">
        <f t="shared" si="95"/>
        <v>2115.6000000000004</v>
      </c>
      <c r="R6" s="25">
        <v>2373</v>
      </c>
    </row>
    <row r="7">
      <c r="A7" s="8"/>
      <c r="B7" s="5" t="s">
        <v>14</v>
      </c>
      <c r="C7" s="6">
        <v>0.69999999999999996</v>
      </c>
      <c r="D7" s="6">
        <f>C7*Мног_колич_жителей!G6</f>
        <v>386.39999999999998</v>
      </c>
      <c r="E7" s="7">
        <f t="shared" si="91"/>
        <v>587.07999999999993</v>
      </c>
      <c r="F7" s="6">
        <v>2</v>
      </c>
      <c r="G7" s="6">
        <f>F7*Мног_колич_жителей!G6</f>
        <v>1104</v>
      </c>
      <c r="H7" s="7">
        <f t="shared" si="92"/>
        <v>1670.9200000000001</v>
      </c>
      <c r="I7" s="6">
        <v>0.29999999999999999</v>
      </c>
      <c r="J7" s="6">
        <f>I7*Мног_колич_жителей!G6</f>
        <v>165.59999999999999</v>
      </c>
      <c r="K7" s="6">
        <v>239</v>
      </c>
      <c r="L7" s="6">
        <v>1.3999999999999999</v>
      </c>
      <c r="M7" s="6">
        <f>L7*Мног_колич_жителей!G6</f>
        <v>772.79999999999995</v>
      </c>
      <c r="N7" s="6">
        <v>1169</v>
      </c>
      <c r="O7" s="139">
        <f t="shared" si="93"/>
        <v>2428.8000000000002</v>
      </c>
      <c r="P7" s="139">
        <f t="shared" si="94"/>
        <v>3666</v>
      </c>
      <c r="Q7" s="140">
        <f t="shared" si="95"/>
        <v>1237.1999999999998</v>
      </c>
      <c r="R7" s="25">
        <v>2258</v>
      </c>
    </row>
    <row r="8">
      <c r="A8" s="9"/>
      <c r="B8" s="5" t="s">
        <v>15</v>
      </c>
      <c r="C8" s="6">
        <v>0.69999999999999996</v>
      </c>
      <c r="D8" s="6">
        <f>C8*Мног_колич_жителей!G7</f>
        <v>319.19999999999999</v>
      </c>
      <c r="E8" s="7">
        <f t="shared" si="91"/>
        <v>468.77999999999997</v>
      </c>
      <c r="F8" s="6">
        <v>2</v>
      </c>
      <c r="G8" s="6">
        <f>F8*Мног_колич_жителей!G7</f>
        <v>912</v>
      </c>
      <c r="H8" s="7">
        <f t="shared" si="92"/>
        <v>1334.22</v>
      </c>
      <c r="I8" s="6">
        <v>0.29999999999999999</v>
      </c>
      <c r="J8" s="6">
        <f>I8*Мног_колич_жителей!G7</f>
        <v>136.79999999999998</v>
      </c>
      <c r="K8" s="6">
        <v>274</v>
      </c>
      <c r="L8" s="6">
        <v>1.3999999999999999</v>
      </c>
      <c r="M8" s="6">
        <f>L8*Мног_колич_жителей!G7</f>
        <v>638.39999999999998</v>
      </c>
      <c r="N8" s="6">
        <v>1078</v>
      </c>
      <c r="O8" s="139">
        <f t="shared" si="93"/>
        <v>2006.3999999999999</v>
      </c>
      <c r="P8" s="139">
        <f t="shared" si="94"/>
        <v>3155</v>
      </c>
      <c r="Q8" s="140">
        <f t="shared" si="95"/>
        <v>1148.6000000000001</v>
      </c>
      <c r="R8" s="25">
        <v>1803</v>
      </c>
    </row>
    <row r="9">
      <c r="A9" s="4" t="s">
        <v>16</v>
      </c>
      <c r="B9" s="5" t="s">
        <v>17</v>
      </c>
      <c r="C9" s="6">
        <v>0.69999999999999996</v>
      </c>
      <c r="D9" s="6">
        <f>C9*Мног_колич_жителей!G8</f>
        <v>571.19999999999993</v>
      </c>
      <c r="E9" s="7">
        <f t="shared" si="91"/>
        <v>754.51999999999998</v>
      </c>
      <c r="F9" s="6">
        <v>2</v>
      </c>
      <c r="G9" s="6">
        <f>F9*Мног_колич_жителей!G8</f>
        <v>1632</v>
      </c>
      <c r="H9" s="7">
        <f t="shared" si="92"/>
        <v>2147.48</v>
      </c>
      <c r="I9" s="6">
        <v>0.29999999999999999</v>
      </c>
      <c r="J9" s="6">
        <f>I9*Мног_колич_жителей!G8</f>
        <v>244.79999999999998</v>
      </c>
      <c r="K9" s="6">
        <v>376</v>
      </c>
      <c r="L9" s="6">
        <v>1.3999999999999999</v>
      </c>
      <c r="M9" s="6">
        <f>L9*Мног_колич_жителей!G8</f>
        <v>1142.3999999999999</v>
      </c>
      <c r="N9" s="6">
        <v>1467</v>
      </c>
      <c r="O9" s="139">
        <f t="shared" si="93"/>
        <v>3590.3999999999996</v>
      </c>
      <c r="P9" s="139">
        <f t="shared" si="94"/>
        <v>4745</v>
      </c>
      <c r="Q9" s="140">
        <f t="shared" si="95"/>
        <v>1154.6000000000004</v>
      </c>
      <c r="R9" s="25">
        <v>2902</v>
      </c>
    </row>
    <row r="10">
      <c r="A10" s="8"/>
      <c r="B10" s="5" t="s">
        <v>18</v>
      </c>
      <c r="C10" s="6">
        <v>0.69999999999999996</v>
      </c>
      <c r="D10" s="6">
        <f>C10*Мног_колич_жителей!G9</f>
        <v>571.19999999999993</v>
      </c>
      <c r="E10" s="7">
        <f t="shared" ref="E10:E14" si="96">R10-H10</f>
        <v>757.63999999999987</v>
      </c>
      <c r="F10" s="6">
        <v>2</v>
      </c>
      <c r="G10" s="6">
        <f>F10*Мног_колич_жителей!G9</f>
        <v>1632</v>
      </c>
      <c r="H10" s="7">
        <f t="shared" ref="H10:H14" si="97">R10*0.74</f>
        <v>2156.3600000000001</v>
      </c>
      <c r="I10" s="6">
        <v>0.29999999999999999</v>
      </c>
      <c r="J10" s="6">
        <f>I10*Мног_колич_жителей!G9</f>
        <v>244.79999999999998</v>
      </c>
      <c r="K10" s="6">
        <v>378</v>
      </c>
      <c r="L10" s="6">
        <v>1.3999999999999999</v>
      </c>
      <c r="M10" s="6">
        <f>L10*Мног_колич_жителей!G9</f>
        <v>1142.3999999999999</v>
      </c>
      <c r="N10" s="6">
        <v>1460</v>
      </c>
      <c r="O10" s="139">
        <f t="shared" ref="O10:O15" si="98">M10+J10+G10+D10</f>
        <v>3590.3999999999996</v>
      </c>
      <c r="P10" s="139">
        <f t="shared" ref="P10:P15" si="99">N10+K10+H10+E10</f>
        <v>4752</v>
      </c>
      <c r="Q10" s="140">
        <f t="shared" ref="Q10:Q15" si="100">P10-O10</f>
        <v>1161.6000000000004</v>
      </c>
      <c r="R10" s="25">
        <v>2914</v>
      </c>
    </row>
    <row r="11">
      <c r="A11" s="9"/>
      <c r="B11" s="5" t="s">
        <v>19</v>
      </c>
      <c r="C11" s="6">
        <v>0.69999999999999996</v>
      </c>
      <c r="D11" s="6">
        <f>C11*Мног_колич_жителей!G10</f>
        <v>571.19999999999993</v>
      </c>
      <c r="E11" s="7">
        <f t="shared" si="96"/>
        <v>578.24000000000001</v>
      </c>
      <c r="F11" s="6">
        <v>2</v>
      </c>
      <c r="G11" s="6">
        <f>F11*Мног_колич_жителей!G10</f>
        <v>1632</v>
      </c>
      <c r="H11" s="7">
        <f t="shared" si="97"/>
        <v>1645.76</v>
      </c>
      <c r="I11" s="6">
        <v>0.29999999999999999</v>
      </c>
      <c r="J11" s="6">
        <f>I11*Мног_колич_жителей!G10</f>
        <v>244.79999999999998</v>
      </c>
      <c r="K11" s="6">
        <v>293</v>
      </c>
      <c r="L11" s="6">
        <v>1.3999999999999999</v>
      </c>
      <c r="M11" s="6">
        <f>L11*Мног_колич_жителей!G10</f>
        <v>1142.3999999999999</v>
      </c>
      <c r="N11" s="6">
        <v>2133</v>
      </c>
      <c r="O11" s="139">
        <f t="shared" si="98"/>
        <v>3590.3999999999996</v>
      </c>
      <c r="P11" s="139">
        <f t="shared" si="99"/>
        <v>4650</v>
      </c>
      <c r="Q11" s="140">
        <f t="shared" si="100"/>
        <v>1059.6000000000004</v>
      </c>
      <c r="R11" s="25">
        <v>2224</v>
      </c>
    </row>
    <row r="12">
      <c r="A12" s="4" t="s">
        <v>20</v>
      </c>
      <c r="B12" s="5" t="s">
        <v>21</v>
      </c>
      <c r="C12" s="6">
        <v>0.69999999999999996</v>
      </c>
      <c r="D12" s="6">
        <f>C12*Мног_колич_жителей!G11</f>
        <v>571.19999999999993</v>
      </c>
      <c r="E12" s="7">
        <f t="shared" si="96"/>
        <v>722.01999999999998</v>
      </c>
      <c r="F12" s="6">
        <v>2</v>
      </c>
      <c r="G12" s="6">
        <f>F12*Мног_колич_жителей!G11</f>
        <v>1632</v>
      </c>
      <c r="H12" s="7">
        <f t="shared" si="97"/>
        <v>2054.98</v>
      </c>
      <c r="I12" s="6">
        <v>0.29999999999999999</v>
      </c>
      <c r="J12" s="6">
        <f>I12*Мног_колич_жителей!G11</f>
        <v>244.79999999999998</v>
      </c>
      <c r="K12" s="6">
        <v>539</v>
      </c>
      <c r="L12" s="6">
        <v>1.3999999999999999</v>
      </c>
      <c r="M12" s="6">
        <f>L12*Мног_колич_жителей!G11</f>
        <v>1142.3999999999999</v>
      </c>
      <c r="N12" s="6">
        <v>2430</v>
      </c>
      <c r="O12" s="139">
        <f t="shared" si="98"/>
        <v>3590.3999999999996</v>
      </c>
      <c r="P12" s="139">
        <f t="shared" si="99"/>
        <v>5746</v>
      </c>
      <c r="Q12" s="140">
        <f t="shared" si="100"/>
        <v>2155.6000000000004</v>
      </c>
      <c r="R12" s="25">
        <v>2777</v>
      </c>
    </row>
    <row r="13">
      <c r="A13" s="8"/>
      <c r="B13" s="5" t="s">
        <v>22</v>
      </c>
      <c r="C13" s="6">
        <v>0.69999999999999996</v>
      </c>
      <c r="D13" s="6">
        <f>C13*Мног_колич_жителей!G12</f>
        <v>571.19999999999993</v>
      </c>
      <c r="E13" s="7">
        <f t="shared" si="96"/>
        <v>718.12000000000012</v>
      </c>
      <c r="F13" s="6">
        <v>2</v>
      </c>
      <c r="G13" s="6">
        <f>F13*Мног_колич_жителей!G12</f>
        <v>1632</v>
      </c>
      <c r="H13" s="7">
        <f t="shared" si="97"/>
        <v>2043.8799999999999</v>
      </c>
      <c r="I13" s="6">
        <v>0.29999999999999999</v>
      </c>
      <c r="J13" s="6">
        <f>I13*Мног_колич_жителей!G12</f>
        <v>244.79999999999998</v>
      </c>
      <c r="K13" s="6">
        <v>536</v>
      </c>
      <c r="L13" s="6">
        <v>1.3999999999999999</v>
      </c>
      <c r="M13" s="6">
        <f>L13*Мног_колич_жителей!G12</f>
        <v>1142.3999999999999</v>
      </c>
      <c r="N13" s="6">
        <v>2419</v>
      </c>
      <c r="O13" s="139">
        <f t="shared" si="98"/>
        <v>3590.3999999999996</v>
      </c>
      <c r="P13" s="139">
        <f t="shared" si="99"/>
        <v>5717</v>
      </c>
      <c r="Q13" s="140">
        <f t="shared" si="100"/>
        <v>2126.6000000000004</v>
      </c>
      <c r="R13" s="25">
        <v>2762</v>
      </c>
    </row>
    <row r="14">
      <c r="A14" s="9"/>
      <c r="B14" s="5" t="s">
        <v>23</v>
      </c>
      <c r="C14" s="6">
        <v>0.69999999999999996</v>
      </c>
      <c r="D14" s="6">
        <f>C14*Мног_колич_жителей!G13</f>
        <v>655.19999999999993</v>
      </c>
      <c r="E14" s="7">
        <f t="shared" si="96"/>
        <v>1351.7400000000002</v>
      </c>
      <c r="F14" s="6">
        <v>2</v>
      </c>
      <c r="G14" s="6">
        <f>F14*Мног_колич_жителей!G13</f>
        <v>1872</v>
      </c>
      <c r="H14" s="7">
        <f t="shared" si="97"/>
        <v>3847.2599999999998</v>
      </c>
      <c r="I14" s="6">
        <v>0.29999999999999999</v>
      </c>
      <c r="J14" s="6">
        <f>I14*Мног_колич_жителей!G13</f>
        <v>280.80000000000001</v>
      </c>
      <c r="K14" s="6">
        <v>311</v>
      </c>
      <c r="L14" s="6">
        <v>1.3999999999999999</v>
      </c>
      <c r="M14" s="6">
        <f>L14*Мног_колич_жителей!G13</f>
        <v>1310.3999999999999</v>
      </c>
      <c r="N14" s="6">
        <v>2191</v>
      </c>
      <c r="O14" s="139">
        <f t="shared" si="98"/>
        <v>4118.3999999999996</v>
      </c>
      <c r="P14" s="139">
        <f t="shared" si="99"/>
        <v>7701</v>
      </c>
      <c r="Q14" s="140">
        <f t="shared" si="100"/>
        <v>3582.6000000000004</v>
      </c>
      <c r="R14" s="25">
        <v>5199</v>
      </c>
    </row>
    <row r="15">
      <c r="A15" s="5" t="s">
        <v>24</v>
      </c>
      <c r="B15" s="5"/>
      <c r="C15" s="6">
        <v>0.69999999999999996</v>
      </c>
      <c r="D15" s="6">
        <f>SUM(D4:D14)</f>
        <v>6031.1999999999989</v>
      </c>
      <c r="E15" s="7">
        <f>SUM(E4:E14)</f>
        <v>9229.2200000000012</v>
      </c>
      <c r="F15" s="6">
        <v>2</v>
      </c>
      <c r="G15" s="6">
        <f>SUM(G4:G14)</f>
        <v>17232</v>
      </c>
      <c r="H15" s="6">
        <f>SUM(H4:H14)</f>
        <v>26267.779999999995</v>
      </c>
      <c r="I15" s="6">
        <v>0.29999999999999999</v>
      </c>
      <c r="J15" s="6">
        <f>SUM(J4:J14)</f>
        <v>2584.8000000000002</v>
      </c>
      <c r="K15" s="6">
        <f>SUM(K4:K14)</f>
        <v>4059</v>
      </c>
      <c r="L15" s="6">
        <v>1.3999999999999999</v>
      </c>
      <c r="M15" s="6">
        <f>SUM(M4:M14)</f>
        <v>12062.399999999998</v>
      </c>
      <c r="N15" s="6">
        <f>SUM(N4:N14)</f>
        <v>21414</v>
      </c>
      <c r="O15" s="139">
        <f t="shared" si="98"/>
        <v>37910.399999999994</v>
      </c>
      <c r="P15" s="139">
        <f t="shared" si="99"/>
        <v>60970</v>
      </c>
      <c r="Q15" s="140">
        <f t="shared" si="100"/>
        <v>23059.600000000006</v>
      </c>
      <c r="R15" s="25"/>
    </row>
  </sheetData>
  <mergeCells count="12">
    <mergeCell ref="A1:A3"/>
    <mergeCell ref="B1:B3"/>
    <mergeCell ref="C1:P1"/>
    <mergeCell ref="C2:E2"/>
    <mergeCell ref="F2:H2"/>
    <mergeCell ref="I2:K2"/>
    <mergeCell ref="L2:N2"/>
    <mergeCell ref="O2:O3"/>
    <mergeCell ref="P2:P3"/>
    <mergeCell ref="A4:A8"/>
    <mergeCell ref="A9:A11"/>
    <mergeCell ref="A12:A14"/>
  </mergeCells>
  <printOptions headings="0" gridLines="0"/>
  <pageMargins left="0.70000004768371604" right="0.70000004768371604" top="0.75" bottom="0.75" header="0.30000001192092901" footer="0.30000001192092901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"/>
    </sheetView>
  </sheetViews>
  <sheetFormatPr baseColWidth="8" defaultColWidth="9.1406253092569294" defaultRowHeight="14.25"/>
  <cols>
    <col bestFit="1" customWidth="1" min="1" max="1" width="20.855468643610301"/>
    <col customWidth="1" min="2" max="2" width="20.855468643610301"/>
    <col customWidth="1" min="3" max="3" width="12.855468643610299"/>
    <col customWidth="1" min="4" max="4" width="12.2851566656466"/>
    <col bestFit="1" customWidth="1" min="5" max="5" width="12.855468643610299"/>
    <col bestFit="1" customWidth="1" min="6" max="6" width="11.855469151108901"/>
    <col bestFit="1" customWidth="1" min="8" max="8" width="16.570311977963701"/>
    <col customWidth="1" min="9" max="9" width="16.140624463426001"/>
    <col bestFit="1" customWidth="1" min="10" max="10" width="18.421875"/>
    <col bestFit="1" customWidth="1" min="12" max="12" width="17.421875"/>
  </cols>
  <sheetData>
    <row r="1">
      <c r="A1" s="1" t="s">
        <v>25</v>
      </c>
      <c r="B1" s="1" t="s">
        <v>105</v>
      </c>
      <c r="C1" s="6" t="s">
        <v>106</v>
      </c>
      <c r="D1" s="10"/>
      <c r="E1" s="10"/>
      <c r="F1" s="11"/>
      <c r="G1" s="12"/>
    </row>
    <row r="2">
      <c r="A2" s="3"/>
      <c r="B2" s="3"/>
      <c r="C2" s="12" t="s">
        <v>27</v>
      </c>
      <c r="D2" s="12" t="s">
        <v>28</v>
      </c>
      <c r="E2" s="12" t="s">
        <v>29</v>
      </c>
      <c r="F2" s="12" t="s">
        <v>30</v>
      </c>
      <c r="G2" s="12"/>
    </row>
    <row r="3">
      <c r="A3" s="4" t="s">
        <v>9</v>
      </c>
      <c r="B3" s="5" t="s">
        <v>10</v>
      </c>
      <c r="C3" s="12">
        <f>Мног_колич_блоков!C3*Осн._характ_ки_малоэт_кварт!$C$10</f>
        <v>0</v>
      </c>
      <c r="D3" s="12">
        <f>Мног_колич_блоков!D3*Осн._характ_ки_малоэт_кварт!$D$10</f>
        <v>15104</v>
      </c>
      <c r="E3" s="12">
        <f>Мног_колич_блоков!E3*Осн._характ_ки_малоэт_кварт!$E$10</f>
        <v>2030.4000000000001</v>
      </c>
      <c r="F3" s="12">
        <f>Мног_колич_блоков!F3*Осн._характ_ки_малоэт_кварт!$F$10</f>
        <v>0</v>
      </c>
      <c r="G3" s="12">
        <f t="shared" ref="G3:G9" si="101">SUM(C3:F3)</f>
        <v>17134.400000000001</v>
      </c>
      <c r="H3">
        <f t="shared" ref="H3:H9" si="102">G3*3500</f>
        <v>59970400.000000007</v>
      </c>
      <c r="I3" s="141">
        <f>H3/'земельный участок'!E3*100</f>
        <v>396760.83360899775</v>
      </c>
      <c r="J3">
        <f>G3*80000</f>
        <v>1370752000</v>
      </c>
      <c r="L3">
        <f>G3*10000</f>
        <v>171344000</v>
      </c>
    </row>
    <row r="4">
      <c r="A4" s="8"/>
      <c r="B4" s="5" t="s">
        <v>12</v>
      </c>
      <c r="C4" s="12">
        <f>Мног_колич_блоков!C4*Осн._характ_ки_малоэт_кварт!$C$10</f>
        <v>0</v>
      </c>
      <c r="D4" s="12">
        <f>Мног_колич_блоков!D4*Осн._характ_ки_малоэт_кварт!$D$10</f>
        <v>16992</v>
      </c>
      <c r="E4" s="12">
        <f>Мног_колич_блоков!E4*Осн._характ_ки_малоэт_кварт!$E$10</f>
        <v>2030.4000000000001</v>
      </c>
      <c r="F4" s="12">
        <f>Мног_колич_блоков!F4*Осн._характ_ки_малоэт_кварт!$F$10</f>
        <v>0</v>
      </c>
      <c r="G4" s="12">
        <f t="shared" si="101"/>
        <v>19022.400000000001</v>
      </c>
      <c r="H4">
        <f t="shared" si="102"/>
        <v>66578400.000000007</v>
      </c>
      <c r="I4" s="141">
        <f>H4/'земельный участок'!E4*100</f>
        <v>350634.08468506427</v>
      </c>
      <c r="J4">
        <f>G4*80000</f>
        <v>1521792000</v>
      </c>
      <c r="L4">
        <f>G4*10000</f>
        <v>190224000</v>
      </c>
    </row>
    <row r="5">
      <c r="A5" s="8"/>
      <c r="B5" s="5" t="s">
        <v>13</v>
      </c>
      <c r="C5" s="12">
        <f>Мног_колич_блоков!C5*Осн._характ_ки_малоэт_кварт!$C$10</f>
        <v>0</v>
      </c>
      <c r="D5" s="12">
        <f>Мног_колич_блоков!D5*Осн._характ_ки_малоэт_кварт!$D$10</f>
        <v>13216</v>
      </c>
      <c r="E5" s="12">
        <f>Мног_колич_блоков!E5*Осн._характ_ки_малоэт_кварт!$E$10</f>
        <v>4060.8000000000002</v>
      </c>
      <c r="F5" s="12">
        <f>Мног_колич_блоков!F5*Осн._характ_ки_малоэт_кварт!$F$10</f>
        <v>0</v>
      </c>
      <c r="G5" s="12">
        <f t="shared" si="101"/>
        <v>17276.799999999999</v>
      </c>
      <c r="H5">
        <f t="shared" si="102"/>
        <v>60468800</v>
      </c>
      <c r="I5" s="141">
        <f>H5/'земельный участок'!E5*100</f>
        <v>516871.52748098125</v>
      </c>
      <c r="J5">
        <f>G5*80000</f>
        <v>1382144000</v>
      </c>
      <c r="L5">
        <f>G5*10000</f>
        <v>172768000</v>
      </c>
    </row>
    <row r="6">
      <c r="A6" s="8"/>
      <c r="B6" s="5" t="s">
        <v>14</v>
      </c>
      <c r="C6" s="12">
        <f>Мног_колич_блоков!C6*Осн._характ_ки_малоэт_кварт!$C$10</f>
        <v>0</v>
      </c>
      <c r="D6" s="12">
        <f>Мног_колич_блоков!D6*Осн._характ_ки_малоэт_кварт!$D$10</f>
        <v>9440</v>
      </c>
      <c r="E6" s="12">
        <f>Мног_колич_блоков!E6*Осн._характ_ки_малоэт_кварт!$E$10</f>
        <v>2030.4000000000001</v>
      </c>
      <c r="F6" s="12">
        <f>Мног_колич_блоков!F6*Осн._характ_ки_малоэт_кварт!$F$10</f>
        <v>0</v>
      </c>
      <c r="G6" s="12">
        <f t="shared" si="101"/>
        <v>11470.4</v>
      </c>
      <c r="H6">
        <f t="shared" si="102"/>
        <v>40146400</v>
      </c>
      <c r="I6" s="141">
        <f>H6/'земельный участок'!E6*100</f>
        <v>432845.28301886795</v>
      </c>
      <c r="J6">
        <f>G6*80000</f>
        <v>917632000</v>
      </c>
      <c r="L6">
        <f>G6*10000</f>
        <v>114704000</v>
      </c>
    </row>
    <row r="7">
      <c r="A7" s="9"/>
      <c r="B7" s="5" t="s">
        <v>15</v>
      </c>
      <c r="C7" s="12">
        <f>Мног_колич_блоков!C7*Осн._характ_ки_малоэт_кварт!$C$10</f>
        <v>0</v>
      </c>
      <c r="D7" s="12">
        <f>Мног_колич_блоков!D7*Осн._характ_ки_малоэт_кварт!$D$10</f>
        <v>7552</v>
      </c>
      <c r="E7" s="12">
        <f>Мног_колич_блоков!E7*Осн._характ_ки_малоэт_кварт!$E$10</f>
        <v>2030.4000000000001</v>
      </c>
      <c r="F7" s="12">
        <f>Мног_колич_блоков!F7*Осн._характ_ки_малоэт_кварт!$F$10</f>
        <v>0</v>
      </c>
      <c r="G7" s="12">
        <f t="shared" si="101"/>
        <v>9582.3999999999996</v>
      </c>
      <c r="H7">
        <f t="shared" si="102"/>
        <v>33538400</v>
      </c>
      <c r="I7" s="141">
        <f>H7/'земельный участок'!E7*100</f>
        <v>399124.12233726052</v>
      </c>
      <c r="J7">
        <f>G7*80000</f>
        <v>766592000</v>
      </c>
      <c r="L7">
        <f>G7*10000</f>
        <v>95824000</v>
      </c>
      <c r="N7">
        <f>SUM(G3:G7)</f>
        <v>74486.400000000009</v>
      </c>
    </row>
    <row r="8">
      <c r="A8" s="4" t="s">
        <v>16</v>
      </c>
      <c r="B8" s="5" t="s">
        <v>17</v>
      </c>
      <c r="C8" s="12">
        <f>Мног_колич_блоков!C8*Осн._характ_ки_малоэт_кварт!$C$10</f>
        <v>0</v>
      </c>
      <c r="D8" s="12">
        <f>Мног_колич_блоков!D8*Осн._характ_ки_малоэт_кварт!$D$10</f>
        <v>13216</v>
      </c>
      <c r="E8" s="12">
        <f>Мног_колич_блоков!E8*Осн._характ_ки_малоэт_кварт!$E$10</f>
        <v>4060.8000000000002</v>
      </c>
      <c r="F8" s="12">
        <f>Мног_колич_блоков!F8*Осн._характ_ки_малоэт_кварт!$F$10</f>
        <v>0</v>
      </c>
      <c r="G8" s="12">
        <f t="shared" si="101"/>
        <v>17276.799999999999</v>
      </c>
      <c r="H8">
        <f t="shared" si="102"/>
        <v>60468800</v>
      </c>
      <c r="I8" s="141">
        <f>H8/'земельный участок'!E8*100</f>
        <v>423065.83642342401</v>
      </c>
      <c r="J8">
        <f>G8*80000</f>
        <v>1382144000</v>
      </c>
      <c r="L8">
        <f>G8*10000</f>
        <v>172768000</v>
      </c>
    </row>
    <row r="9">
      <c r="A9" s="8"/>
      <c r="B9" s="5" t="s">
        <v>18</v>
      </c>
      <c r="C9" s="12">
        <f>Мног_колич_блоков!C9*Осн._характ_ки_малоэт_кварт!$C$10</f>
        <v>0</v>
      </c>
      <c r="D9" s="12">
        <f>Мног_колич_блоков!D9*Осн._характ_ки_малоэт_кварт!$D$10</f>
        <v>13216</v>
      </c>
      <c r="E9" s="12">
        <f>Мног_колич_блоков!E9*Осн._характ_ки_малоэт_кварт!$E$10</f>
        <v>4060.8000000000002</v>
      </c>
      <c r="F9" s="12">
        <f>Мног_колич_блоков!F9*Осн._характ_ки_малоэт_кварт!$F$10</f>
        <v>0</v>
      </c>
      <c r="G9" s="12">
        <f t="shared" si="101"/>
        <v>17276.799999999999</v>
      </c>
      <c r="H9">
        <f t="shared" si="102"/>
        <v>60468800</v>
      </c>
      <c r="I9" s="141">
        <f>H9/'земельный участок'!E9*100</f>
        <v>423065.83642342401</v>
      </c>
      <c r="J9">
        <f>G9*80000</f>
        <v>1382144000</v>
      </c>
      <c r="L9">
        <f>G9*10000</f>
        <v>172768000</v>
      </c>
    </row>
    <row r="10">
      <c r="A10" s="9"/>
      <c r="B10" s="5" t="s">
        <v>19</v>
      </c>
      <c r="C10" s="12">
        <f>Мног_колич_блоков!C10*Осн._характ_ки_малоэт_кварт!$C$10</f>
        <v>0</v>
      </c>
      <c r="D10" s="12">
        <f>Мног_колич_блоков!D10*Осн._характ_ки_малоэт_кварт!$D$10</f>
        <v>13216</v>
      </c>
      <c r="E10" s="12">
        <f>Мног_колич_блоков!E10*Осн._характ_ки_малоэт_кварт!$E$10</f>
        <v>4060.8000000000002</v>
      </c>
      <c r="F10" s="12">
        <f>Мног_колич_блоков!F10*Осн._характ_ки_малоэт_кварт!$F$10</f>
        <v>0</v>
      </c>
      <c r="G10" s="12">
        <f t="shared" ref="G10:G14" si="103">SUM(C10:F10)</f>
        <v>17276.799999999999</v>
      </c>
      <c r="H10">
        <f t="shared" ref="H10:H14" si="104">G10*3500</f>
        <v>60468800</v>
      </c>
      <c r="I10" s="141">
        <f>H10/'земельный участок'!E10*100</f>
        <v>519000.94412496785</v>
      </c>
      <c r="J10">
        <f>G10*80000</f>
        <v>1382144000</v>
      </c>
      <c r="L10">
        <f>G10*10000</f>
        <v>172768000</v>
      </c>
      <c r="N10">
        <f>SUM(G8:G10)</f>
        <v>51830.399999999994</v>
      </c>
    </row>
    <row r="11">
      <c r="A11" s="4" t="s">
        <v>20</v>
      </c>
      <c r="B11" s="5" t="s">
        <v>21</v>
      </c>
      <c r="C11" s="12">
        <f>Мног_колич_блоков!C11*Осн._характ_ки_малоэт_кварт!$C$10</f>
        <v>0</v>
      </c>
      <c r="D11" s="12">
        <f>Мног_колич_блоков!D11*Осн._характ_ки_малоэт_кварт!$D$10</f>
        <v>13216</v>
      </c>
      <c r="E11" s="12">
        <f>Мног_колич_блоков!E11*Осн._характ_ки_малоэт_кварт!$E$10</f>
        <v>4060.8000000000002</v>
      </c>
      <c r="F11" s="12">
        <f>Мног_колич_блоков!F11*Осн._характ_ки_малоэт_кварт!$F$10</f>
        <v>0</v>
      </c>
      <c r="G11" s="12">
        <f t="shared" si="103"/>
        <v>17276.799999999999</v>
      </c>
      <c r="H11">
        <f t="shared" si="104"/>
        <v>60468800</v>
      </c>
      <c r="I11" s="141">
        <f>H11/'земельный участок'!E11*100</f>
        <v>435716.96209828503</v>
      </c>
      <c r="J11">
        <f>G11*80000</f>
        <v>1382144000</v>
      </c>
      <c r="L11">
        <f>G11*10000</f>
        <v>172768000</v>
      </c>
    </row>
    <row r="12">
      <c r="A12" s="8"/>
      <c r="B12" s="5" t="s">
        <v>22</v>
      </c>
      <c r="C12" s="12">
        <f>Мног_колич_блоков!C12*Осн._характ_ки_малоэт_кварт!$C$10</f>
        <v>0</v>
      </c>
      <c r="D12" s="12">
        <f>Мног_колич_блоков!D12*Осн._характ_ки_малоэт_кварт!$D$10</f>
        <v>13216</v>
      </c>
      <c r="E12" s="12">
        <f>Мног_колич_блоков!E12*Осн._характ_ки_малоэт_кварт!$E$10</f>
        <v>4060.8000000000002</v>
      </c>
      <c r="F12" s="12">
        <f>Мног_колич_блоков!F12*Осн._характ_ки_малоэт_кварт!$F$10</f>
        <v>0</v>
      </c>
      <c r="G12" s="12">
        <f t="shared" si="103"/>
        <v>17276.799999999999</v>
      </c>
      <c r="H12">
        <f t="shared" si="104"/>
        <v>60468800</v>
      </c>
      <c r="I12" s="141">
        <f>H12/'земельный участок'!E12*100</f>
        <v>436850.16616095934</v>
      </c>
      <c r="J12">
        <f>G12*80000</f>
        <v>1382144000</v>
      </c>
      <c r="L12">
        <f>G12*10000</f>
        <v>172768000</v>
      </c>
    </row>
    <row r="13">
      <c r="A13" s="9"/>
      <c r="B13" s="5" t="s">
        <v>23</v>
      </c>
      <c r="C13" s="12">
        <f>Мног_колич_блоков!C13*Осн._характ_ки_малоэт_кварт!$C$10</f>
        <v>0</v>
      </c>
      <c r="D13" s="12">
        <f>Мног_колич_блоков!D13*Осн._характ_ки_малоэт_кварт!$D$10</f>
        <v>16992</v>
      </c>
      <c r="E13" s="12">
        <f>Мног_колич_блоков!E13*Осн._характ_ки_малоэт_кварт!$E$10</f>
        <v>2030.4000000000001</v>
      </c>
      <c r="F13" s="12">
        <f>Мног_колич_блоков!F13*Осн._характ_ки_малоэт_кварт!$F$10</f>
        <v>0</v>
      </c>
      <c r="G13" s="12">
        <f t="shared" si="103"/>
        <v>19022.400000000001</v>
      </c>
      <c r="H13">
        <f t="shared" si="104"/>
        <v>66578400.000000007</v>
      </c>
      <c r="I13" s="141">
        <f>H13/'земельный участок'!E13*100</f>
        <v>319030.14039963589</v>
      </c>
      <c r="J13">
        <f>G13*80000</f>
        <v>1521792000</v>
      </c>
      <c r="L13">
        <f>G13*10000</f>
        <v>190224000</v>
      </c>
      <c r="N13">
        <f>SUM(G11:G13)</f>
        <v>53576</v>
      </c>
    </row>
    <row r="14">
      <c r="A14" s="142" t="s">
        <v>24</v>
      </c>
      <c r="B14" s="5"/>
      <c r="C14" s="12">
        <f>Мног_колич_блоков!C14*Осн._характ_ки_малоэт_кварт!$C$10</f>
        <v>0</v>
      </c>
      <c r="D14" s="12">
        <f>Мног_колич_блоков!D14*Осн._характ_ки_малоэт_кварт!$D$10</f>
        <v>145376</v>
      </c>
      <c r="E14" s="12">
        <f>Мног_колич_блоков!E14*Осн._характ_ки_малоэт_кварт!$E$10</f>
        <v>34516.800000000003</v>
      </c>
      <c r="F14" s="12">
        <f>Мног_колич_блоков!F14*Осн._характ_ки_малоэт_кварт!$F$10</f>
        <v>0</v>
      </c>
      <c r="G14" s="12">
        <f t="shared" si="103"/>
        <v>179892.79999999999</v>
      </c>
      <c r="H14">
        <f t="shared" si="104"/>
        <v>629624800</v>
      </c>
      <c r="I14" s="141">
        <f>H14/'земельный участок'!E14*100</f>
        <v>413394.61347550323</v>
      </c>
      <c r="J14" s="143">
        <f>SUM(J3:J13)</f>
        <v>14391424000</v>
      </c>
      <c r="L14" s="143">
        <f>SUM(L3:L13)</f>
        <v>1798928000</v>
      </c>
    </row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</sheetData>
  <mergeCells count="6">
    <mergeCell ref="A1:A2"/>
    <mergeCell ref="B1:B2"/>
    <mergeCell ref="C1:F1"/>
    <mergeCell ref="A3:A7"/>
    <mergeCell ref="A8:A10"/>
    <mergeCell ref="A11:A13"/>
  </mergeCells>
  <printOptions headings="0" gridLines="0"/>
  <pageMargins left="0.70000004768371604" right="0.70000004768371604" top="0.75" bottom="0.75" header="0.30000001192092901" footer="0.30000001192092901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"/>
    </sheetView>
  </sheetViews>
  <sheetFormatPr baseColWidth="8" defaultColWidth="9.1406253092569294" defaultRowHeight="14.25"/>
  <cols>
    <col bestFit="1" customWidth="1" min="1" max="1" width="28.2851566656466"/>
    <col customWidth="1" min="2" max="2" width="28.2851566656466"/>
    <col bestFit="1" customWidth="1" min="3" max="3" width="11.1406249709246"/>
    <col bestFit="1" customWidth="1" min="4" max="4" width="10.7109374563868"/>
    <col bestFit="1" customWidth="1" min="5" max="5" width="12.855468643610299"/>
    <col bestFit="1" customWidth="1" min="6" max="6" width="11.855469151108901"/>
  </cols>
  <sheetData>
    <row r="1">
      <c r="A1" s="1" t="s">
        <v>107</v>
      </c>
      <c r="B1" s="137" t="s">
        <v>108</v>
      </c>
      <c r="C1" s="6" t="s">
        <v>109</v>
      </c>
      <c r="D1" s="10"/>
      <c r="E1" s="10"/>
      <c r="F1" s="11"/>
    </row>
    <row r="2">
      <c r="A2" s="3"/>
      <c r="B2" s="138"/>
      <c r="C2" s="12" t="s">
        <v>27</v>
      </c>
      <c r="D2" s="12" t="s">
        <v>28</v>
      </c>
      <c r="E2" s="12" t="s">
        <v>29</v>
      </c>
      <c r="F2" s="12" t="s">
        <v>30</v>
      </c>
    </row>
    <row r="3">
      <c r="A3" s="12" t="s">
        <v>110</v>
      </c>
      <c r="B3" s="6" t="s">
        <v>111</v>
      </c>
      <c r="C3" s="12">
        <v>8</v>
      </c>
      <c r="D3" s="12">
        <v>8</v>
      </c>
      <c r="E3" s="12">
        <v>8</v>
      </c>
      <c r="F3" s="12">
        <v>8</v>
      </c>
    </row>
    <row r="4">
      <c r="A4" s="12" t="s">
        <v>112</v>
      </c>
      <c r="B4" s="6" t="s">
        <v>111</v>
      </c>
      <c r="C4" s="12">
        <v>1</v>
      </c>
      <c r="D4" s="12">
        <v>1</v>
      </c>
      <c r="E4" s="12">
        <v>0</v>
      </c>
      <c r="F4" s="12">
        <v>1</v>
      </c>
    </row>
    <row r="5">
      <c r="A5" s="12" t="s">
        <v>113</v>
      </c>
      <c r="B5" s="6" t="s">
        <v>111</v>
      </c>
      <c r="C5" s="12">
        <v>1</v>
      </c>
      <c r="D5" s="12">
        <v>2</v>
      </c>
      <c r="E5" s="12">
        <v>1</v>
      </c>
      <c r="F5" s="12">
        <v>1</v>
      </c>
    </row>
    <row r="6">
      <c r="A6" s="12" t="s">
        <v>114</v>
      </c>
      <c r="B6" s="6" t="s">
        <v>111</v>
      </c>
      <c r="C6" s="12">
        <v>1</v>
      </c>
      <c r="D6" s="12">
        <v>1</v>
      </c>
      <c r="E6" s="12">
        <v>2</v>
      </c>
      <c r="F6" s="12">
        <v>2</v>
      </c>
    </row>
    <row r="7">
      <c r="A7" s="12" t="s">
        <v>115</v>
      </c>
      <c r="B7" s="6" t="s">
        <v>111</v>
      </c>
      <c r="C7" s="12">
        <f>SUM(C4:C6)</f>
        <v>3</v>
      </c>
      <c r="D7" s="12">
        <f>SUM(D4:D6)</f>
        <v>4</v>
      </c>
      <c r="E7" s="12">
        <f>SUM(E4:E6)</f>
        <v>3</v>
      </c>
      <c r="F7" s="12">
        <f>SUM(F4:F6)</f>
        <v>4</v>
      </c>
    </row>
    <row r="8">
      <c r="A8" s="12" t="s">
        <v>116</v>
      </c>
      <c r="B8" s="6" t="s">
        <v>111</v>
      </c>
      <c r="C8" s="12">
        <f>C7*C3</f>
        <v>24</v>
      </c>
      <c r="D8" s="12">
        <f>D7*D3</f>
        <v>32</v>
      </c>
      <c r="E8" s="12">
        <f>E7*E3</f>
        <v>24</v>
      </c>
      <c r="F8" s="12">
        <f>F7*F3</f>
        <v>32</v>
      </c>
    </row>
    <row r="9">
      <c r="A9" s="12" t="s">
        <v>117</v>
      </c>
      <c r="B9" s="6" t="s">
        <v>118</v>
      </c>
      <c r="C9" s="12">
        <f>'1тип(3кв)'!C5</f>
        <v>177.5</v>
      </c>
      <c r="D9" s="12">
        <f>'2тип(4кв)'!C6</f>
        <v>236</v>
      </c>
      <c r="E9" s="12">
        <f>'У_1тип(3кв)'!C5</f>
        <v>253.80000000000001</v>
      </c>
      <c r="F9" s="12">
        <f>'У_2тип(4кв)'!C6</f>
        <v>283.69999999999999</v>
      </c>
    </row>
    <row r="10">
      <c r="A10" s="12" t="s">
        <v>119</v>
      </c>
      <c r="B10" s="6" t="s">
        <v>118</v>
      </c>
      <c r="C10" s="12">
        <f>C9*C3</f>
        <v>1420</v>
      </c>
      <c r="D10" s="12">
        <f>D9*D3</f>
        <v>1888</v>
      </c>
      <c r="E10" s="12">
        <f>E9*E3</f>
        <v>2030.4000000000001</v>
      </c>
      <c r="F10" s="12">
        <f>F9*F3</f>
        <v>2269.5999999999999</v>
      </c>
    </row>
  </sheetData>
  <mergeCells count="3">
    <mergeCell ref="A1:A2"/>
    <mergeCell ref="B1:B2"/>
    <mergeCell ref="C1:F1"/>
  </mergeCells>
  <printOptions headings="0" gridLines="0"/>
  <pageMargins left="0.70000004768371604" right="0.70000004768371604" top="0.75" bottom="0.75" header="0.30000001192092901" footer="0.30000001192092901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"/>
    </sheetView>
  </sheetViews>
  <sheetFormatPr baseColWidth="8" defaultColWidth="9.1406253092569294" defaultRowHeight="14.25"/>
  <cols>
    <col customWidth="1" min="1" max="1" width="19.570313162127"/>
    <col bestFit="1" customWidth="1" min="2" max="2" width="7.7109376255530302"/>
    <col customWidth="1" min="3" max="3" width="19.425781636571202"/>
  </cols>
  <sheetData>
    <row r="1">
      <c r="A1" s="12" t="s">
        <v>120</v>
      </c>
      <c r="B1" s="12" t="s">
        <v>121</v>
      </c>
      <c r="C1" s="12" t="s">
        <v>122</v>
      </c>
    </row>
    <row r="2">
      <c r="A2" s="12" t="s">
        <v>123</v>
      </c>
      <c r="B2" s="12" t="s">
        <v>118</v>
      </c>
      <c r="C2" s="12">
        <v>34.899999999999999</v>
      </c>
    </row>
    <row r="3">
      <c r="A3" s="12" t="s">
        <v>124</v>
      </c>
      <c r="B3" s="12" t="s">
        <v>118</v>
      </c>
      <c r="C3" s="12">
        <v>58.299999999999997</v>
      </c>
    </row>
    <row r="4">
      <c r="A4" s="12" t="s">
        <v>125</v>
      </c>
      <c r="B4" s="12" t="s">
        <v>118</v>
      </c>
      <c r="C4" s="12">
        <v>84.299999999999997</v>
      </c>
    </row>
    <row r="5">
      <c r="A5" s="144" t="s">
        <v>24</v>
      </c>
      <c r="B5" s="144" t="s">
        <v>118</v>
      </c>
      <c r="C5" s="144">
        <f>SUM(C2:C4)</f>
        <v>177.5</v>
      </c>
    </row>
    <row r="7" ht="14.25">
      <c r="A7" s="145" t="s">
        <v>126</v>
      </c>
      <c r="B7" s="146"/>
      <c r="C7" s="146"/>
      <c r="D7" s="146"/>
      <c r="E7" s="146"/>
      <c r="F7" s="147"/>
    </row>
    <row r="8" ht="14.25">
      <c r="A8" s="148" t="s">
        <v>127</v>
      </c>
      <c r="B8" s="149"/>
      <c r="C8" s="149"/>
      <c r="D8" s="149"/>
      <c r="E8" s="149"/>
      <c r="F8" s="150"/>
    </row>
    <row r="9" ht="14.25">
      <c r="A9" s="151" t="s">
        <v>128</v>
      </c>
      <c r="B9" s="50" t="s">
        <v>129</v>
      </c>
      <c r="C9" s="50" t="s">
        <v>130</v>
      </c>
      <c r="D9" s="50" t="s">
        <v>131</v>
      </c>
      <c r="E9" s="50" t="s">
        <v>132</v>
      </c>
      <c r="F9" s="152" t="s">
        <v>133</v>
      </c>
    </row>
    <row r="10" ht="14.25">
      <c r="A10" s="151" t="s">
        <v>134</v>
      </c>
      <c r="B10" s="28">
        <v>1.2</v>
      </c>
      <c r="C10" s="28">
        <v>2</v>
      </c>
      <c r="D10" s="28">
        <f t="shared" ref="D10:D62" si="105">B10*C10</f>
        <v>2.3999999999999999</v>
      </c>
      <c r="E10" s="28">
        <v>1</v>
      </c>
      <c r="F10" s="153">
        <f t="shared" ref="F10:F17" si="106">D10*E10</f>
        <v>2.3999999999999999</v>
      </c>
    </row>
    <row r="11" ht="14.25">
      <c r="A11" s="154" t="s">
        <v>135</v>
      </c>
      <c r="B11" s="28">
        <v>2.3999999999999999</v>
      </c>
      <c r="C11" s="28">
        <v>2</v>
      </c>
      <c r="D11" s="28">
        <f t="shared" si="105"/>
        <v>4.7999999999999998</v>
      </c>
      <c r="E11" s="28">
        <v>5</v>
      </c>
      <c r="F11" s="153">
        <f t="shared" si="106"/>
        <v>24</v>
      </c>
    </row>
    <row r="12" ht="14.25">
      <c r="A12" s="154" t="s">
        <v>136</v>
      </c>
      <c r="B12" s="28">
        <v>2</v>
      </c>
      <c r="C12" s="28">
        <v>2</v>
      </c>
      <c r="D12" s="28">
        <f t="shared" si="105"/>
        <v>4</v>
      </c>
      <c r="E12" s="28">
        <v>2</v>
      </c>
      <c r="F12" s="153">
        <f t="shared" si="106"/>
        <v>8</v>
      </c>
    </row>
    <row r="13" ht="14.25">
      <c r="A13" s="154" t="s">
        <v>137</v>
      </c>
      <c r="B13" s="28">
        <v>1.8999999999999999</v>
      </c>
      <c r="C13" s="28">
        <v>2</v>
      </c>
      <c r="D13" s="28">
        <f t="shared" si="105"/>
        <v>3.7999999999999998</v>
      </c>
      <c r="E13" s="28">
        <v>2</v>
      </c>
      <c r="F13" s="153">
        <f t="shared" si="106"/>
        <v>7.5999999999999996</v>
      </c>
    </row>
    <row r="14" ht="14.25">
      <c r="A14" s="154" t="s">
        <v>138</v>
      </c>
      <c r="B14" s="28">
        <v>4.1399999999999997</v>
      </c>
      <c r="C14" s="28">
        <v>3</v>
      </c>
      <c r="D14" s="28">
        <f t="shared" si="105"/>
        <v>12.419999999999998</v>
      </c>
      <c r="E14" s="28">
        <v>1</v>
      </c>
      <c r="F14" s="153">
        <f t="shared" si="106"/>
        <v>12.419999999999998</v>
      </c>
    </row>
    <row r="15" ht="14.25">
      <c r="A15" s="154" t="s">
        <v>139</v>
      </c>
      <c r="B15" s="28">
        <v>3.3199999999999998</v>
      </c>
      <c r="C15" s="28">
        <v>3</v>
      </c>
      <c r="D15" s="28">
        <f t="shared" si="105"/>
        <v>9.9599999999999991</v>
      </c>
      <c r="E15" s="28">
        <v>1</v>
      </c>
      <c r="F15" s="153">
        <f t="shared" si="106"/>
        <v>9.9599999999999991</v>
      </c>
    </row>
    <row r="16" ht="14.25">
      <c r="A16" s="154" t="s">
        <v>140</v>
      </c>
      <c r="B16" s="28">
        <v>3.27</v>
      </c>
      <c r="C16" s="28">
        <v>3</v>
      </c>
      <c r="D16" s="28">
        <f t="shared" si="105"/>
        <v>9.8100000000000005</v>
      </c>
      <c r="E16" s="28">
        <v>1</v>
      </c>
      <c r="F16" s="153">
        <f t="shared" si="106"/>
        <v>9.8100000000000005</v>
      </c>
    </row>
    <row r="17" ht="14.25">
      <c r="A17" s="154" t="s">
        <v>141</v>
      </c>
      <c r="B17" s="28">
        <v>2.9399999999999999</v>
      </c>
      <c r="C17" s="28">
        <v>3</v>
      </c>
      <c r="D17" s="28">
        <f t="shared" si="105"/>
        <v>8.8200000000000003</v>
      </c>
      <c r="E17" s="28">
        <v>1</v>
      </c>
      <c r="F17" s="153">
        <f t="shared" si="106"/>
        <v>8.8200000000000003</v>
      </c>
    </row>
    <row r="18" ht="14.25">
      <c r="A18" s="155" t="s">
        <v>24</v>
      </c>
      <c r="B18" s="156"/>
      <c r="C18" s="156"/>
      <c r="D18" s="156"/>
      <c r="E18" s="157"/>
      <c r="F18" s="158">
        <f>SUM(F10:F17)</f>
        <v>83.009999999999991</v>
      </c>
    </row>
    <row r="19" ht="14.25">
      <c r="A19" s="159"/>
      <c r="B19" s="160"/>
      <c r="C19" s="160"/>
      <c r="D19" s="160"/>
      <c r="E19" s="160"/>
      <c r="F19" s="161"/>
    </row>
    <row r="20" ht="14.25">
      <c r="A20" s="148" t="s">
        <v>51</v>
      </c>
      <c r="B20" s="149"/>
      <c r="C20" s="149"/>
      <c r="D20" s="149"/>
      <c r="E20" s="149"/>
      <c r="F20" s="150"/>
    </row>
    <row r="21" ht="14.25">
      <c r="A21" s="154" t="s">
        <v>142</v>
      </c>
      <c r="B21" s="162" t="s">
        <v>129</v>
      </c>
      <c r="C21" s="162" t="s">
        <v>130</v>
      </c>
      <c r="D21" s="162" t="s">
        <v>131</v>
      </c>
      <c r="E21" s="162" t="s">
        <v>132</v>
      </c>
      <c r="F21" s="163" t="s">
        <v>133</v>
      </c>
    </row>
    <row r="22" ht="14.25">
      <c r="A22" s="154" t="s">
        <v>143</v>
      </c>
      <c r="B22" s="23">
        <v>1.2</v>
      </c>
      <c r="C22" s="28">
        <v>2.1000000000000001</v>
      </c>
      <c r="D22" s="28">
        <f t="shared" si="105"/>
        <v>2.52</v>
      </c>
      <c r="E22" s="28">
        <v>1</v>
      </c>
      <c r="F22" s="153">
        <f>D22*E22</f>
        <v>2.52</v>
      </c>
    </row>
    <row r="23" ht="14.25">
      <c r="A23" s="155" t="s">
        <v>24</v>
      </c>
      <c r="B23" s="156"/>
      <c r="C23" s="156"/>
      <c r="D23" s="156"/>
      <c r="E23" s="157"/>
      <c r="F23" s="158">
        <f>SUM(F22:F22)</f>
        <v>2.52</v>
      </c>
    </row>
    <row r="24" ht="14.25">
      <c r="A24" s="159"/>
      <c r="B24" s="160"/>
      <c r="C24" s="160"/>
      <c r="D24" s="160"/>
      <c r="E24" s="160"/>
      <c r="F24" s="161"/>
    </row>
    <row r="25" ht="14.25">
      <c r="A25" s="164" t="s">
        <v>144</v>
      </c>
      <c r="B25" s="149"/>
      <c r="C25" s="149"/>
      <c r="D25" s="149"/>
      <c r="E25" s="149"/>
      <c r="F25" s="165"/>
    </row>
    <row r="26" ht="14.25">
      <c r="A26" s="154" t="s">
        <v>145</v>
      </c>
      <c r="B26" s="162" t="s">
        <v>146</v>
      </c>
      <c r="C26" s="50" t="s">
        <v>130</v>
      </c>
      <c r="D26" s="50" t="s">
        <v>131</v>
      </c>
      <c r="E26" s="50" t="s">
        <v>147</v>
      </c>
      <c r="F26" s="152" t="s">
        <v>148</v>
      </c>
    </row>
    <row r="27" ht="14.25">
      <c r="A27" s="154" t="s">
        <v>149</v>
      </c>
      <c r="B27" s="28">
        <v>51.5</v>
      </c>
      <c r="C27" s="28">
        <v>3</v>
      </c>
      <c r="D27" s="28">
        <f t="shared" si="105"/>
        <v>154.5</v>
      </c>
      <c r="E27" s="28">
        <f>F22+F11+F12+F13</f>
        <v>42.119999999999997</v>
      </c>
      <c r="F27" s="153">
        <f>D27-E27</f>
        <v>112.38</v>
      </c>
    </row>
    <row r="28" ht="14.25">
      <c r="A28" s="155" t="s">
        <v>24</v>
      </c>
      <c r="B28" s="156"/>
      <c r="C28" s="156"/>
      <c r="D28" s="156"/>
      <c r="E28" s="157"/>
      <c r="F28" s="158">
        <f>SUM(F27)</f>
        <v>112.38</v>
      </c>
    </row>
    <row r="29" ht="14.25">
      <c r="A29" s="159"/>
      <c r="B29" s="160"/>
      <c r="C29" s="160"/>
      <c r="D29" s="160"/>
      <c r="E29" s="160"/>
      <c r="F29" s="161"/>
    </row>
    <row r="30" ht="14.25">
      <c r="A30" s="164" t="s">
        <v>150</v>
      </c>
      <c r="B30" s="149"/>
      <c r="C30" s="149"/>
      <c r="D30" s="149"/>
      <c r="E30" s="149"/>
      <c r="F30" s="165"/>
    </row>
    <row r="31" ht="14.25">
      <c r="A31" s="154" t="s">
        <v>145</v>
      </c>
      <c r="B31" s="162" t="s">
        <v>146</v>
      </c>
      <c r="C31" s="162" t="s">
        <v>130</v>
      </c>
      <c r="D31" s="162" t="s">
        <v>131</v>
      </c>
      <c r="E31" s="162" t="s">
        <v>147</v>
      </c>
      <c r="F31" s="163" t="s">
        <v>148</v>
      </c>
    </row>
    <row r="32" ht="14.25">
      <c r="A32" s="154" t="s">
        <v>149</v>
      </c>
      <c r="B32" s="28">
        <v>51.5</v>
      </c>
      <c r="C32" s="28">
        <v>3</v>
      </c>
      <c r="D32" s="28">
        <f t="shared" si="105"/>
        <v>154.5</v>
      </c>
      <c r="E32" s="28">
        <f>F10+F11+F12+F13</f>
        <v>42</v>
      </c>
      <c r="F32" s="153">
        <f>D32-E32</f>
        <v>112.5</v>
      </c>
    </row>
    <row r="33" ht="14.25">
      <c r="A33" s="155" t="s">
        <v>24</v>
      </c>
      <c r="B33" s="156"/>
      <c r="C33" s="156"/>
      <c r="D33" s="156"/>
      <c r="E33" s="157"/>
      <c r="F33" s="158">
        <f>SUM(F32)</f>
        <v>112.5</v>
      </c>
    </row>
    <row r="34" ht="14.25">
      <c r="A34" s="166"/>
      <c r="B34" s="167"/>
      <c r="C34" s="167"/>
      <c r="D34" s="167"/>
      <c r="E34" s="167"/>
      <c r="F34" s="168"/>
    </row>
    <row r="35" ht="14.25">
      <c r="A35" s="169"/>
      <c r="B35" s="169"/>
      <c r="C35" s="169"/>
      <c r="D35" s="169"/>
      <c r="E35" s="169"/>
      <c r="F35" s="169"/>
    </row>
    <row r="36" ht="14.25">
      <c r="A36" s="170"/>
      <c r="B36" s="170"/>
      <c r="C36" s="170"/>
      <c r="D36" s="170"/>
      <c r="E36" s="170"/>
      <c r="F36" s="170"/>
    </row>
    <row r="37" ht="14.25">
      <c r="A37" s="145" t="s">
        <v>151</v>
      </c>
      <c r="B37" s="146"/>
      <c r="C37" s="146"/>
      <c r="D37" s="146"/>
      <c r="E37" s="146"/>
      <c r="F37" s="147"/>
    </row>
    <row r="38" ht="14.25">
      <c r="A38" s="164" t="s">
        <v>127</v>
      </c>
      <c r="B38" s="149"/>
      <c r="C38" s="149"/>
      <c r="D38" s="149"/>
      <c r="E38" s="149"/>
      <c r="F38" s="150"/>
    </row>
    <row r="39" ht="14.25">
      <c r="A39" s="154" t="s">
        <v>128</v>
      </c>
      <c r="B39" s="23" t="s">
        <v>129</v>
      </c>
      <c r="C39" s="23" t="s">
        <v>130</v>
      </c>
      <c r="D39" s="23" t="s">
        <v>131</v>
      </c>
      <c r="E39" s="23" t="s">
        <v>132</v>
      </c>
      <c r="F39" s="171" t="s">
        <v>133</v>
      </c>
    </row>
    <row r="40" ht="14.25">
      <c r="A40" s="154" t="s">
        <v>134</v>
      </c>
      <c r="B40" s="23">
        <v>1.2</v>
      </c>
      <c r="C40" s="28">
        <v>2</v>
      </c>
      <c r="D40" s="28">
        <f t="shared" si="105"/>
        <v>2.3999999999999999</v>
      </c>
      <c r="E40" s="28">
        <v>1</v>
      </c>
      <c r="F40" s="153">
        <f t="shared" ref="F40:F47" si="107">D40*E40</f>
        <v>2.3999999999999999</v>
      </c>
    </row>
    <row r="41" ht="14.25">
      <c r="A41" s="154" t="s">
        <v>135</v>
      </c>
      <c r="B41" s="28">
        <v>2.3999999999999999</v>
      </c>
      <c r="C41" s="28">
        <v>2</v>
      </c>
      <c r="D41" s="28">
        <f t="shared" si="105"/>
        <v>4.7999999999999998</v>
      </c>
      <c r="E41" s="28">
        <v>5</v>
      </c>
      <c r="F41" s="153">
        <f t="shared" si="107"/>
        <v>24</v>
      </c>
    </row>
    <row r="42" ht="14.25">
      <c r="A42" s="154" t="s">
        <v>136</v>
      </c>
      <c r="B42" s="28">
        <v>2</v>
      </c>
      <c r="C42" s="28">
        <v>2</v>
      </c>
      <c r="D42" s="28">
        <f t="shared" si="105"/>
        <v>4</v>
      </c>
      <c r="E42" s="28">
        <v>2</v>
      </c>
      <c r="F42" s="153">
        <f t="shared" si="107"/>
        <v>8</v>
      </c>
    </row>
    <row r="43" ht="14.25">
      <c r="A43" s="154" t="s">
        <v>137</v>
      </c>
      <c r="B43" s="28">
        <v>1.8999999999999999</v>
      </c>
      <c r="C43" s="28">
        <v>2</v>
      </c>
      <c r="D43" s="28">
        <f t="shared" si="105"/>
        <v>3.7999999999999998</v>
      </c>
      <c r="E43" s="28">
        <v>2</v>
      </c>
      <c r="F43" s="153">
        <f t="shared" si="107"/>
        <v>7.5999999999999996</v>
      </c>
    </row>
    <row r="44" ht="14.25">
      <c r="A44" s="154" t="s">
        <v>152</v>
      </c>
      <c r="B44" s="28">
        <v>3</v>
      </c>
      <c r="C44" s="28">
        <v>3</v>
      </c>
      <c r="D44" s="28">
        <f t="shared" si="105"/>
        <v>9</v>
      </c>
      <c r="E44" s="28">
        <v>1</v>
      </c>
      <c r="F44" s="153">
        <f t="shared" si="107"/>
        <v>9</v>
      </c>
    </row>
    <row r="45" ht="14.25">
      <c r="A45" s="154" t="s">
        <v>139</v>
      </c>
      <c r="B45" s="28">
        <v>3.3199999999999998</v>
      </c>
      <c r="C45" s="28">
        <v>3</v>
      </c>
      <c r="D45" s="28">
        <f t="shared" si="105"/>
        <v>9.9599999999999991</v>
      </c>
      <c r="E45" s="28">
        <v>1</v>
      </c>
      <c r="F45" s="153">
        <f t="shared" si="107"/>
        <v>9.9599999999999991</v>
      </c>
    </row>
    <row r="46" ht="14.25">
      <c r="A46" s="154" t="s">
        <v>140</v>
      </c>
      <c r="B46" s="28">
        <v>3.27</v>
      </c>
      <c r="C46" s="28">
        <v>3</v>
      </c>
      <c r="D46" s="28">
        <f t="shared" si="105"/>
        <v>9.8100000000000005</v>
      </c>
      <c r="E46" s="28">
        <v>1</v>
      </c>
      <c r="F46" s="153">
        <f t="shared" si="107"/>
        <v>9.8100000000000005</v>
      </c>
    </row>
    <row r="47" ht="14.25">
      <c r="A47" s="154" t="s">
        <v>141</v>
      </c>
      <c r="B47" s="28">
        <v>2.9399999999999999</v>
      </c>
      <c r="C47" s="28">
        <v>3</v>
      </c>
      <c r="D47" s="28">
        <f t="shared" si="105"/>
        <v>8.8200000000000003</v>
      </c>
      <c r="E47" s="28">
        <v>1</v>
      </c>
      <c r="F47" s="153">
        <f t="shared" si="107"/>
        <v>8.8200000000000003</v>
      </c>
    </row>
    <row r="48" ht="14.25">
      <c r="A48" s="155" t="s">
        <v>24</v>
      </c>
      <c r="B48" s="156"/>
      <c r="C48" s="156"/>
      <c r="D48" s="156"/>
      <c r="E48" s="157"/>
      <c r="F48" s="158">
        <f>SUM(F40:F47)</f>
        <v>79.590000000000003</v>
      </c>
    </row>
    <row r="49" ht="14.25">
      <c r="A49" s="159"/>
      <c r="B49" s="160"/>
      <c r="C49" s="160"/>
      <c r="D49" s="160"/>
      <c r="E49" s="160"/>
      <c r="F49" s="161"/>
    </row>
    <row r="50" ht="14.25">
      <c r="A50" s="164" t="s">
        <v>51</v>
      </c>
      <c r="B50" s="149"/>
      <c r="C50" s="149"/>
      <c r="D50" s="149"/>
      <c r="E50" s="149"/>
      <c r="F50" s="150"/>
    </row>
    <row r="51" ht="14.25">
      <c r="A51" s="154" t="s">
        <v>142</v>
      </c>
      <c r="B51" s="162" t="s">
        <v>129</v>
      </c>
      <c r="C51" s="162" t="s">
        <v>130</v>
      </c>
      <c r="D51" s="162" t="s">
        <v>131</v>
      </c>
      <c r="E51" s="162" t="s">
        <v>132</v>
      </c>
      <c r="F51" s="163" t="s">
        <v>133</v>
      </c>
    </row>
    <row r="52" ht="14.25">
      <c r="A52" s="172" t="s">
        <v>143</v>
      </c>
      <c r="B52" s="23">
        <v>1.2</v>
      </c>
      <c r="C52" s="28">
        <v>2.1000000000000001</v>
      </c>
      <c r="D52" s="28">
        <f t="shared" si="105"/>
        <v>2.52</v>
      </c>
      <c r="E52" s="28">
        <v>1</v>
      </c>
      <c r="F52" s="153">
        <f>D52*E52</f>
        <v>2.52</v>
      </c>
    </row>
    <row r="53" ht="14.25">
      <c r="A53" s="155" t="s">
        <v>24</v>
      </c>
      <c r="B53" s="156"/>
      <c r="C53" s="156"/>
      <c r="D53" s="156"/>
      <c r="E53" s="157"/>
      <c r="F53" s="158">
        <f>SUM(F52:F52)</f>
        <v>2.52</v>
      </c>
    </row>
    <row r="54" ht="14.25">
      <c r="A54" s="159"/>
      <c r="B54" s="160"/>
      <c r="C54" s="160"/>
      <c r="D54" s="160"/>
      <c r="E54" s="160"/>
      <c r="F54" s="161"/>
    </row>
    <row r="55" ht="14.25">
      <c r="A55" s="164" t="s">
        <v>144</v>
      </c>
      <c r="B55" s="149"/>
      <c r="C55" s="149"/>
      <c r="D55" s="149"/>
      <c r="E55" s="149"/>
      <c r="F55" s="165"/>
    </row>
    <row r="56" ht="14.25">
      <c r="A56" s="154" t="s">
        <v>145</v>
      </c>
      <c r="B56" s="162" t="s">
        <v>146</v>
      </c>
      <c r="C56" s="162" t="s">
        <v>130</v>
      </c>
      <c r="D56" s="162" t="s">
        <v>131</v>
      </c>
      <c r="E56" s="162" t="s">
        <v>147</v>
      </c>
      <c r="F56" s="163" t="s">
        <v>148</v>
      </c>
    </row>
    <row r="57" ht="14.25">
      <c r="A57" s="154" t="s">
        <v>149</v>
      </c>
      <c r="B57" s="28">
        <f>51.5-14.96</f>
        <v>36.539999999999999</v>
      </c>
      <c r="C57" s="28">
        <v>3</v>
      </c>
      <c r="D57" s="28">
        <f t="shared" si="105"/>
        <v>109.62</v>
      </c>
      <c r="E57" s="28">
        <f>F52+F41+F42+F43</f>
        <v>42.119999999999997</v>
      </c>
      <c r="F57" s="153">
        <f>D57-E57</f>
        <v>67.5</v>
      </c>
    </row>
    <row r="58" ht="14.25">
      <c r="A58" s="155" t="s">
        <v>24</v>
      </c>
      <c r="B58" s="156"/>
      <c r="C58" s="156"/>
      <c r="D58" s="156"/>
      <c r="E58" s="157"/>
      <c r="F58" s="158">
        <f>SUM(F57)</f>
        <v>67.5</v>
      </c>
    </row>
    <row r="59" ht="14.25">
      <c r="A59" s="159"/>
      <c r="B59" s="160"/>
      <c r="C59" s="160"/>
      <c r="D59" s="160"/>
      <c r="E59" s="160"/>
      <c r="F59" s="161"/>
    </row>
    <row r="60" ht="14.25">
      <c r="A60" s="164" t="s">
        <v>150</v>
      </c>
      <c r="B60" s="149"/>
      <c r="C60" s="149"/>
      <c r="D60" s="149"/>
      <c r="E60" s="149"/>
      <c r="F60" s="165"/>
    </row>
    <row r="61" ht="14.25">
      <c r="A61" s="154" t="s">
        <v>145</v>
      </c>
      <c r="B61" s="162" t="s">
        <v>146</v>
      </c>
      <c r="C61" s="162" t="s">
        <v>130</v>
      </c>
      <c r="D61" s="162" t="s">
        <v>131</v>
      </c>
      <c r="E61" s="162" t="s">
        <v>147</v>
      </c>
      <c r="F61" s="163" t="s">
        <v>148</v>
      </c>
    </row>
    <row r="62" ht="14.25">
      <c r="A62" s="154" t="s">
        <v>149</v>
      </c>
      <c r="B62" s="28">
        <f>51.5-14.96</f>
        <v>36.539999999999999</v>
      </c>
      <c r="C62" s="28">
        <v>3</v>
      </c>
      <c r="D62" s="28">
        <f t="shared" si="105"/>
        <v>109.62</v>
      </c>
      <c r="E62" s="28">
        <f>F40+F41+F42+F43</f>
        <v>42</v>
      </c>
      <c r="F62" s="153">
        <f>D62-E62</f>
        <v>67.620000000000005</v>
      </c>
    </row>
    <row r="63" ht="14.25">
      <c r="A63" s="155" t="s">
        <v>24</v>
      </c>
      <c r="B63" s="156"/>
      <c r="C63" s="156"/>
      <c r="D63" s="156"/>
      <c r="E63" s="157"/>
      <c r="F63" s="158">
        <f>SUM(F62)</f>
        <v>67.620000000000005</v>
      </c>
    </row>
    <row r="64" ht="14.25">
      <c r="A64" s="166"/>
      <c r="B64" s="167"/>
      <c r="C64" s="167"/>
      <c r="D64" s="167"/>
      <c r="E64" s="167"/>
      <c r="F64" s="168"/>
    </row>
    <row r="65" ht="14.25">
      <c r="A65" s="169"/>
      <c r="B65" s="169"/>
      <c r="C65" s="169"/>
      <c r="D65" s="169"/>
      <c r="E65" s="169"/>
      <c r="F65" s="169"/>
    </row>
    <row r="66" ht="14.25">
      <c r="A66" s="29" t="s">
        <v>153</v>
      </c>
      <c r="B66" s="29">
        <v>256.19999999999999</v>
      </c>
      <c r="C66" s="29"/>
      <c r="D66" s="29"/>
      <c r="E66" s="29"/>
      <c r="F66" s="29"/>
    </row>
  </sheetData>
  <mergeCells count="10">
    <mergeCell ref="A7:F7"/>
    <mergeCell ref="A18:E18"/>
    <mergeCell ref="A23:E23"/>
    <mergeCell ref="A28:E28"/>
    <mergeCell ref="A33:E33"/>
    <mergeCell ref="A37:F37"/>
    <mergeCell ref="A48:E48"/>
    <mergeCell ref="A53:E53"/>
    <mergeCell ref="A58:E58"/>
    <mergeCell ref="A63:E63"/>
  </mergeCells>
  <printOptions headings="0" gridLines="0"/>
  <pageMargins left="0.70000004768371604" right="0.70000004768371604" top="0.75" bottom="0.75" header="0.30000001192092901" footer="0.30000001192092901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"/>
    </sheetView>
  </sheetViews>
  <sheetFormatPr baseColWidth="8" defaultColWidth="9.1406253092569294" defaultRowHeight="14.25"/>
  <cols>
    <col customWidth="1" min="1" max="1" width="19.570313162127"/>
    <col bestFit="1" customWidth="1" min="2" max="2" width="7.7109376255530302"/>
    <col customWidth="1" min="3" max="3" width="19.425781636571202"/>
  </cols>
  <sheetData>
    <row r="1">
      <c r="A1" s="12" t="s">
        <v>120</v>
      </c>
      <c r="B1" s="12" t="s">
        <v>121</v>
      </c>
      <c r="C1" s="12" t="s">
        <v>122</v>
      </c>
    </row>
    <row r="2">
      <c r="A2" s="12" t="s">
        <v>123</v>
      </c>
      <c r="B2" s="12" t="s">
        <v>118</v>
      </c>
      <c r="C2" s="12">
        <v>38.700000000000003</v>
      </c>
    </row>
    <row r="3">
      <c r="A3" s="12" t="s">
        <v>124</v>
      </c>
      <c r="B3" s="12" t="s">
        <v>118</v>
      </c>
      <c r="C3" s="12">
        <v>63.700000000000003</v>
      </c>
    </row>
    <row r="4">
      <c r="A4" s="12" t="s">
        <v>124</v>
      </c>
      <c r="B4" s="12" t="s">
        <v>118</v>
      </c>
      <c r="C4" s="12">
        <v>56.100000000000001</v>
      </c>
    </row>
    <row r="5">
      <c r="A5" s="12" t="s">
        <v>125</v>
      </c>
      <c r="B5" s="12" t="s">
        <v>118</v>
      </c>
      <c r="C5" s="12">
        <v>77.5</v>
      </c>
    </row>
    <row r="6">
      <c r="A6" s="144" t="s">
        <v>24</v>
      </c>
      <c r="B6" s="144" t="s">
        <v>118</v>
      </c>
      <c r="C6" s="144">
        <f>SUM(C2:C5)</f>
        <v>236</v>
      </c>
    </row>
    <row r="9" ht="14.25">
      <c r="A9" s="145" t="s">
        <v>154</v>
      </c>
      <c r="B9" s="146"/>
      <c r="C9" s="146"/>
      <c r="D9" s="146"/>
      <c r="E9" s="146"/>
      <c r="F9" s="147"/>
    </row>
    <row r="10" ht="14.25">
      <c r="A10" s="148" t="s">
        <v>127</v>
      </c>
      <c r="B10" s="149"/>
      <c r="C10" s="149"/>
      <c r="D10" s="149"/>
      <c r="E10" s="149"/>
      <c r="F10" s="150"/>
    </row>
    <row r="11" ht="14.25">
      <c r="A11" s="151" t="s">
        <v>128</v>
      </c>
      <c r="B11" s="50" t="s">
        <v>129</v>
      </c>
      <c r="C11" s="50" t="s">
        <v>130</v>
      </c>
      <c r="D11" s="50" t="s">
        <v>131</v>
      </c>
      <c r="E11" s="50" t="s">
        <v>132</v>
      </c>
      <c r="F11" s="152" t="s">
        <v>133</v>
      </c>
    </row>
    <row r="12" ht="14.25">
      <c r="A12" s="154" t="s">
        <v>155</v>
      </c>
      <c r="B12" s="28">
        <v>1.2</v>
      </c>
      <c r="C12" s="28">
        <v>2</v>
      </c>
      <c r="D12" s="28">
        <f t="shared" ref="D12:D58" si="108">B12*C12</f>
        <v>2.3999999999999999</v>
      </c>
      <c r="E12" s="28">
        <v>1</v>
      </c>
      <c r="F12" s="153">
        <f t="shared" ref="F12:F16" si="109">D12*E12</f>
        <v>2.3999999999999999</v>
      </c>
    </row>
    <row r="13" ht="14.25">
      <c r="A13" s="154" t="s">
        <v>156</v>
      </c>
      <c r="B13" s="28">
        <v>2.3999999999999999</v>
      </c>
      <c r="C13" s="28">
        <v>2</v>
      </c>
      <c r="D13" s="28">
        <f t="shared" si="108"/>
        <v>4.7999999999999998</v>
      </c>
      <c r="E13" s="28">
        <v>8</v>
      </c>
      <c r="F13" s="153">
        <f t="shared" si="109"/>
        <v>38.399999999999999</v>
      </c>
    </row>
    <row r="14" ht="14.25">
      <c r="A14" s="154" t="s">
        <v>157</v>
      </c>
      <c r="B14" s="28">
        <v>1.8999999999999999</v>
      </c>
      <c r="C14" s="28">
        <v>2</v>
      </c>
      <c r="D14" s="28">
        <f t="shared" si="108"/>
        <v>3.7999999999999998</v>
      </c>
      <c r="E14" s="28">
        <v>4</v>
      </c>
      <c r="F14" s="153">
        <f t="shared" si="109"/>
        <v>15.199999999999999</v>
      </c>
    </row>
    <row r="15" ht="14.25">
      <c r="A15" s="154" t="s">
        <v>158</v>
      </c>
      <c r="B15" s="28">
        <v>2.79</v>
      </c>
      <c r="C15" s="28">
        <v>3</v>
      </c>
      <c r="D15" s="28">
        <f t="shared" si="108"/>
        <v>8.370000000000001</v>
      </c>
      <c r="E15" s="28">
        <v>2</v>
      </c>
      <c r="F15" s="153">
        <f t="shared" si="109"/>
        <v>16.740000000000002</v>
      </c>
    </row>
    <row r="16" ht="14.25">
      <c r="A16" s="154" t="s">
        <v>159</v>
      </c>
      <c r="B16" s="28">
        <v>4.1399999999999997</v>
      </c>
      <c r="C16" s="28">
        <v>3</v>
      </c>
      <c r="D16" s="28">
        <f t="shared" si="108"/>
        <v>12.419999999999998</v>
      </c>
      <c r="E16" s="28">
        <v>2</v>
      </c>
      <c r="F16" s="153">
        <f t="shared" si="109"/>
        <v>24.839999999999996</v>
      </c>
    </row>
    <row r="17" ht="14.25">
      <c r="A17" s="155" t="s">
        <v>24</v>
      </c>
      <c r="B17" s="156"/>
      <c r="C17" s="156"/>
      <c r="D17" s="156"/>
      <c r="E17" s="157"/>
      <c r="F17" s="158">
        <f>SUM(F12:F16)</f>
        <v>97.580000000000013</v>
      </c>
    </row>
    <row r="18" ht="14.25">
      <c r="A18" s="159"/>
      <c r="B18" s="160"/>
      <c r="C18" s="160"/>
      <c r="D18" s="160"/>
      <c r="E18" s="160"/>
      <c r="F18" s="161"/>
    </row>
    <row r="19" ht="14.25">
      <c r="A19" s="148" t="s">
        <v>51</v>
      </c>
      <c r="B19" s="149"/>
      <c r="C19" s="149"/>
      <c r="D19" s="149"/>
      <c r="E19" s="149"/>
      <c r="F19" s="150"/>
    </row>
    <row r="20" ht="14.25">
      <c r="A20" s="154" t="s">
        <v>142</v>
      </c>
      <c r="B20" s="162" t="s">
        <v>129</v>
      </c>
      <c r="C20" s="162" t="s">
        <v>130</v>
      </c>
      <c r="D20" s="162" t="s">
        <v>131</v>
      </c>
      <c r="E20" s="162" t="s">
        <v>132</v>
      </c>
      <c r="F20" s="163" t="s">
        <v>133</v>
      </c>
    </row>
    <row r="21" ht="14.25">
      <c r="A21" s="154" t="s">
        <v>160</v>
      </c>
      <c r="B21" s="23">
        <v>1.2</v>
      </c>
      <c r="C21" s="28">
        <v>2.1000000000000001</v>
      </c>
      <c r="D21" s="28">
        <f t="shared" si="108"/>
        <v>2.52</v>
      </c>
      <c r="E21" s="28">
        <v>1</v>
      </c>
      <c r="F21" s="153">
        <f>D21*E21</f>
        <v>2.52</v>
      </c>
    </row>
    <row r="22" ht="14.25">
      <c r="A22" s="155" t="s">
        <v>24</v>
      </c>
      <c r="B22" s="156"/>
      <c r="C22" s="156"/>
      <c r="D22" s="156"/>
      <c r="E22" s="157"/>
      <c r="F22" s="158">
        <f>SUM(F21:F21)</f>
        <v>2.52</v>
      </c>
    </row>
    <row r="23" ht="14.25">
      <c r="A23" s="159"/>
      <c r="B23" s="160"/>
      <c r="C23" s="160"/>
      <c r="D23" s="160"/>
      <c r="E23" s="160"/>
      <c r="F23" s="161"/>
    </row>
    <row r="24" ht="14.25">
      <c r="A24" s="164" t="s">
        <v>144</v>
      </c>
      <c r="B24" s="149"/>
      <c r="C24" s="149"/>
      <c r="D24" s="149"/>
      <c r="E24" s="149"/>
      <c r="F24" s="165"/>
    </row>
    <row r="25" ht="14.25">
      <c r="A25" s="154" t="s">
        <v>145</v>
      </c>
      <c r="B25" s="162" t="s">
        <v>146</v>
      </c>
      <c r="C25" s="50" t="s">
        <v>130</v>
      </c>
      <c r="D25" s="50" t="s">
        <v>131</v>
      </c>
      <c r="E25" s="50" t="s">
        <v>147</v>
      </c>
      <c r="F25" s="152" t="s">
        <v>148</v>
      </c>
    </row>
    <row r="26" ht="14.25">
      <c r="A26" s="154" t="s">
        <v>161</v>
      </c>
      <c r="B26" s="28">
        <f>47.24+14.96</f>
        <v>62.200000000000003</v>
      </c>
      <c r="C26" s="28">
        <v>3</v>
      </c>
      <c r="D26" s="28">
        <f t="shared" si="108"/>
        <v>186.60000000000002</v>
      </c>
      <c r="E26" s="28">
        <f>F13+F14+F22</f>
        <v>56.119999999999997</v>
      </c>
      <c r="F26" s="153">
        <f>D26-E26</f>
        <v>130.48000000000002</v>
      </c>
    </row>
    <row r="27" ht="14.25">
      <c r="A27" s="155" t="s">
        <v>24</v>
      </c>
      <c r="B27" s="156"/>
      <c r="C27" s="156"/>
      <c r="D27" s="156"/>
      <c r="E27" s="157"/>
      <c r="F27" s="158">
        <f>SUM(F26)</f>
        <v>130.48000000000002</v>
      </c>
    </row>
    <row r="28" ht="14.25">
      <c r="A28" s="159"/>
      <c r="B28" s="160"/>
      <c r="C28" s="160"/>
      <c r="D28" s="160"/>
      <c r="E28" s="160"/>
      <c r="F28" s="161"/>
    </row>
    <row r="29" ht="14.25">
      <c r="A29" s="164" t="s">
        <v>150</v>
      </c>
      <c r="B29" s="149"/>
      <c r="C29" s="149"/>
      <c r="D29" s="149"/>
      <c r="E29" s="149"/>
      <c r="F29" s="165"/>
    </row>
    <row r="30" ht="14.25">
      <c r="A30" s="154" t="s">
        <v>145</v>
      </c>
      <c r="B30" s="162" t="s">
        <v>146</v>
      </c>
      <c r="C30" s="162" t="s">
        <v>130</v>
      </c>
      <c r="D30" s="162" t="s">
        <v>131</v>
      </c>
      <c r="E30" s="162" t="s">
        <v>147</v>
      </c>
      <c r="F30" s="163" t="s">
        <v>148</v>
      </c>
    </row>
    <row r="31" ht="14.25">
      <c r="A31" s="154" t="s">
        <v>161</v>
      </c>
      <c r="B31" s="28">
        <f>B26</f>
        <v>62.200000000000003</v>
      </c>
      <c r="C31" s="28">
        <v>3</v>
      </c>
      <c r="D31" s="28">
        <f t="shared" si="108"/>
        <v>186.60000000000002</v>
      </c>
      <c r="E31" s="28">
        <f>F12+F13+F14</f>
        <v>56</v>
      </c>
      <c r="F31" s="153">
        <f>D31-E31</f>
        <v>130.60000000000002</v>
      </c>
    </row>
    <row r="32" ht="14.25">
      <c r="A32" s="155" t="s">
        <v>24</v>
      </c>
      <c r="B32" s="156"/>
      <c r="C32" s="156"/>
      <c r="D32" s="156"/>
      <c r="E32" s="157"/>
      <c r="F32" s="158">
        <f>SUM(F31)</f>
        <v>130.60000000000002</v>
      </c>
    </row>
    <row r="33" ht="14.25">
      <c r="A33" s="166"/>
      <c r="B33" s="167"/>
      <c r="C33" s="167"/>
      <c r="D33" s="167"/>
      <c r="E33" s="167"/>
      <c r="F33" s="168"/>
    </row>
    <row r="34" ht="14.25">
      <c r="A34" s="169"/>
      <c r="B34" s="169"/>
      <c r="C34" s="169"/>
      <c r="D34" s="169"/>
      <c r="E34" s="169"/>
      <c r="F34" s="169"/>
    </row>
    <row r="35" ht="14.25">
      <c r="A35" s="170"/>
      <c r="B35" s="170"/>
      <c r="C35" s="170"/>
      <c r="D35" s="170"/>
      <c r="E35" s="170"/>
      <c r="F35" s="170"/>
    </row>
    <row r="36" ht="14.25">
      <c r="A36" s="145" t="s">
        <v>162</v>
      </c>
      <c r="B36" s="146"/>
      <c r="C36" s="146"/>
      <c r="D36" s="146"/>
      <c r="E36" s="146"/>
      <c r="F36" s="147"/>
    </row>
    <row r="37" ht="14.25">
      <c r="A37" s="164" t="s">
        <v>127</v>
      </c>
      <c r="B37" s="149"/>
      <c r="C37" s="149"/>
      <c r="D37" s="149"/>
      <c r="E37" s="149"/>
      <c r="F37" s="150"/>
    </row>
    <row r="38" ht="14.25">
      <c r="A38" s="154" t="s">
        <v>128</v>
      </c>
      <c r="B38" s="23" t="s">
        <v>129</v>
      </c>
      <c r="C38" s="23" t="s">
        <v>130</v>
      </c>
      <c r="D38" s="23" t="s">
        <v>131</v>
      </c>
      <c r="E38" s="23" t="s">
        <v>132</v>
      </c>
      <c r="F38" s="171" t="s">
        <v>133</v>
      </c>
    </row>
    <row r="39" ht="14.25">
      <c r="A39" s="154" t="s">
        <v>155</v>
      </c>
      <c r="B39" s="23">
        <v>1.2</v>
      </c>
      <c r="C39" s="28">
        <v>2</v>
      </c>
      <c r="D39" s="28">
        <f t="shared" si="108"/>
        <v>2.3999999999999999</v>
      </c>
      <c r="E39" s="28">
        <v>1</v>
      </c>
      <c r="F39" s="153">
        <f t="shared" ref="F39:F43" si="110">D39*E39</f>
        <v>2.3999999999999999</v>
      </c>
    </row>
    <row r="40" ht="14.25">
      <c r="A40" s="154" t="s">
        <v>156</v>
      </c>
      <c r="B40" s="28">
        <v>2.3999999999999999</v>
      </c>
      <c r="C40" s="28">
        <v>2</v>
      </c>
      <c r="D40" s="28">
        <f t="shared" si="108"/>
        <v>4.7999999999999998</v>
      </c>
      <c r="E40" s="28">
        <v>8</v>
      </c>
      <c r="F40" s="153">
        <f t="shared" si="110"/>
        <v>38.399999999999999</v>
      </c>
    </row>
    <row r="41" ht="14.25">
      <c r="A41" s="154" t="s">
        <v>157</v>
      </c>
      <c r="B41" s="28">
        <v>1.8999999999999999</v>
      </c>
      <c r="C41" s="28">
        <v>2</v>
      </c>
      <c r="D41" s="28">
        <f t="shared" si="108"/>
        <v>3.7999999999999998</v>
      </c>
      <c r="E41" s="28">
        <v>4</v>
      </c>
      <c r="F41" s="153">
        <f t="shared" si="110"/>
        <v>15.199999999999999</v>
      </c>
    </row>
    <row r="42" ht="14.25">
      <c r="A42" s="154" t="s">
        <v>158</v>
      </c>
      <c r="B42" s="28">
        <v>2.79</v>
      </c>
      <c r="C42" s="28">
        <v>3</v>
      </c>
      <c r="D42" s="28">
        <f t="shared" si="108"/>
        <v>8.370000000000001</v>
      </c>
      <c r="E42" s="28">
        <v>2</v>
      </c>
      <c r="F42" s="153">
        <f t="shared" si="110"/>
        <v>16.740000000000002</v>
      </c>
    </row>
    <row r="43" ht="14.25">
      <c r="A43" s="154" t="s">
        <v>163</v>
      </c>
      <c r="B43" s="28">
        <v>2.9900000000000002</v>
      </c>
      <c r="C43" s="28">
        <v>3</v>
      </c>
      <c r="D43" s="28">
        <f t="shared" si="108"/>
        <v>8.9700000000000006</v>
      </c>
      <c r="E43" s="28">
        <v>2</v>
      </c>
      <c r="F43" s="153">
        <f t="shared" si="110"/>
        <v>17.940000000000001</v>
      </c>
    </row>
    <row r="44" ht="14.25">
      <c r="A44" s="155" t="s">
        <v>24</v>
      </c>
      <c r="B44" s="156"/>
      <c r="C44" s="156"/>
      <c r="D44" s="156"/>
      <c r="E44" s="157"/>
      <c r="F44" s="158">
        <f>SUM(F39:F43)</f>
        <v>90.680000000000007</v>
      </c>
    </row>
    <row r="45" ht="14.25">
      <c r="A45" s="159"/>
      <c r="B45" s="160"/>
      <c r="C45" s="160"/>
      <c r="D45" s="160"/>
      <c r="E45" s="160"/>
      <c r="F45" s="161"/>
    </row>
    <row r="46" ht="14.25">
      <c r="A46" s="164" t="s">
        <v>51</v>
      </c>
      <c r="B46" s="149"/>
      <c r="C46" s="149"/>
      <c r="D46" s="149"/>
      <c r="E46" s="149"/>
      <c r="F46" s="150"/>
    </row>
    <row r="47" ht="14.25">
      <c r="A47" s="154" t="s">
        <v>142</v>
      </c>
      <c r="B47" s="162" t="s">
        <v>129</v>
      </c>
      <c r="C47" s="162" t="s">
        <v>130</v>
      </c>
      <c r="D47" s="162" t="s">
        <v>131</v>
      </c>
      <c r="E47" s="162" t="s">
        <v>132</v>
      </c>
      <c r="F47" s="163" t="s">
        <v>133</v>
      </c>
    </row>
    <row r="48" ht="14.25">
      <c r="A48" s="172" t="s">
        <v>160</v>
      </c>
      <c r="B48" s="23">
        <v>1.2</v>
      </c>
      <c r="C48" s="28">
        <v>2.1000000000000001</v>
      </c>
      <c r="D48" s="28">
        <f t="shared" si="108"/>
        <v>2.52</v>
      </c>
      <c r="E48" s="28">
        <v>1</v>
      </c>
      <c r="F48" s="153">
        <f>D48*E48</f>
        <v>2.52</v>
      </c>
    </row>
    <row r="49" ht="14.25">
      <c r="A49" s="155" t="s">
        <v>24</v>
      </c>
      <c r="B49" s="156"/>
      <c r="C49" s="156"/>
      <c r="D49" s="156"/>
      <c r="E49" s="157"/>
      <c r="F49" s="158">
        <f>SUM(F48:F48)</f>
        <v>2.52</v>
      </c>
    </row>
    <row r="50" ht="14.25">
      <c r="A50" s="159"/>
      <c r="B50" s="160"/>
      <c r="C50" s="160"/>
      <c r="D50" s="160"/>
      <c r="E50" s="160"/>
      <c r="F50" s="161"/>
    </row>
    <row r="51" ht="14.25">
      <c r="A51" s="164" t="s">
        <v>144</v>
      </c>
      <c r="B51" s="149"/>
      <c r="C51" s="149"/>
      <c r="D51" s="149"/>
      <c r="E51" s="149"/>
      <c r="F51" s="165"/>
    </row>
    <row r="52" ht="14.25">
      <c r="A52" s="154" t="s">
        <v>145</v>
      </c>
      <c r="B52" s="162" t="s">
        <v>146</v>
      </c>
      <c r="C52" s="162" t="s">
        <v>130</v>
      </c>
      <c r="D52" s="162" t="s">
        <v>131</v>
      </c>
      <c r="E52" s="162" t="s">
        <v>147</v>
      </c>
      <c r="F52" s="163" t="s">
        <v>148</v>
      </c>
    </row>
    <row r="53" ht="14.25">
      <c r="A53" s="154" t="s">
        <v>161</v>
      </c>
      <c r="B53" s="28">
        <f>23.62*2</f>
        <v>47.240000000000002</v>
      </c>
      <c r="C53" s="28">
        <v>3</v>
      </c>
      <c r="D53" s="28">
        <f t="shared" si="108"/>
        <v>141.72</v>
      </c>
      <c r="E53" s="28">
        <f>F40+F41+F49</f>
        <v>56.119999999999997</v>
      </c>
      <c r="F53" s="153">
        <f>D53-E53</f>
        <v>85.599999999999994</v>
      </c>
    </row>
    <row r="54" ht="14.25">
      <c r="A54" s="155" t="s">
        <v>24</v>
      </c>
      <c r="B54" s="156"/>
      <c r="C54" s="156"/>
      <c r="D54" s="156"/>
      <c r="E54" s="157"/>
      <c r="F54" s="158">
        <f>SUM(F53)</f>
        <v>85.599999999999994</v>
      </c>
    </row>
    <row r="55" ht="14.25">
      <c r="A55" s="159"/>
      <c r="B55" s="160"/>
      <c r="C55" s="160"/>
      <c r="D55" s="160"/>
      <c r="E55" s="160"/>
      <c r="F55" s="161"/>
    </row>
    <row r="56" ht="14.25">
      <c r="A56" s="164" t="s">
        <v>150</v>
      </c>
      <c r="B56" s="149"/>
      <c r="C56" s="149"/>
      <c r="D56" s="149"/>
      <c r="E56" s="149"/>
      <c r="F56" s="165"/>
    </row>
    <row r="57" ht="14.25">
      <c r="A57" s="154" t="s">
        <v>145</v>
      </c>
      <c r="B57" s="162" t="s">
        <v>146</v>
      </c>
      <c r="C57" s="162" t="s">
        <v>130</v>
      </c>
      <c r="D57" s="162" t="s">
        <v>131</v>
      </c>
      <c r="E57" s="162" t="s">
        <v>147</v>
      </c>
      <c r="F57" s="163" t="s">
        <v>148</v>
      </c>
    </row>
    <row r="58" ht="14.25">
      <c r="A58" s="154" t="s">
        <v>161</v>
      </c>
      <c r="B58" s="28">
        <f>B53</f>
        <v>47.240000000000002</v>
      </c>
      <c r="C58" s="28">
        <v>3</v>
      </c>
      <c r="D58" s="28">
        <f t="shared" si="108"/>
        <v>141.72</v>
      </c>
      <c r="E58" s="28">
        <f>F39+F40+F41</f>
        <v>56</v>
      </c>
      <c r="F58" s="153">
        <f>D58-E58</f>
        <v>85.719999999999999</v>
      </c>
    </row>
    <row r="59" ht="14.25">
      <c r="A59" s="155" t="s">
        <v>24</v>
      </c>
      <c r="B59" s="156"/>
      <c r="C59" s="156"/>
      <c r="D59" s="156"/>
      <c r="E59" s="157"/>
      <c r="F59" s="158">
        <f>SUM(F58)</f>
        <v>85.719999999999999</v>
      </c>
    </row>
    <row r="60" ht="14.25">
      <c r="A60" s="166"/>
      <c r="B60" s="167"/>
      <c r="C60" s="167"/>
      <c r="D60" s="167"/>
      <c r="E60" s="167"/>
      <c r="F60" s="168"/>
    </row>
    <row r="61" ht="14.25">
      <c r="A61" s="169"/>
      <c r="B61" s="169"/>
      <c r="C61" s="169"/>
      <c r="D61" s="169"/>
      <c r="E61" s="169"/>
      <c r="F61" s="169"/>
    </row>
    <row r="62" ht="14.25">
      <c r="A62" s="173" t="s">
        <v>153</v>
      </c>
      <c r="B62" s="29">
        <v>353.30000000000001</v>
      </c>
      <c r="C62" s="29"/>
      <c r="D62" s="29"/>
      <c r="E62" s="29"/>
      <c r="F62" s="29"/>
    </row>
  </sheetData>
  <mergeCells count="10">
    <mergeCell ref="A9:F9"/>
    <mergeCell ref="A17:E17"/>
    <mergeCell ref="A22:E22"/>
    <mergeCell ref="A27:E27"/>
    <mergeCell ref="A32:E32"/>
    <mergeCell ref="A36:F36"/>
    <mergeCell ref="A44:E44"/>
    <mergeCell ref="A49:E49"/>
    <mergeCell ref="A54:E54"/>
    <mergeCell ref="A59:E59"/>
  </mergeCells>
  <printOptions headings="0" gridLines="0"/>
  <pageMargins left="0.70000004768371604" right="0.70000004768371604" top="0.75" bottom="0.75" header="0.30000001192092901" footer="0.30000001192092901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"/>
    </sheetView>
  </sheetViews>
  <sheetFormatPr baseColWidth="8" defaultColWidth="9.1406253092569294" defaultRowHeight="14.25"/>
  <cols>
    <col customWidth="1" min="1" max="1" width="19.570313162127"/>
    <col bestFit="1" customWidth="1" min="2" max="2" width="7.7109376255530302"/>
    <col customWidth="1" min="3" max="3" width="19.425781636571202"/>
  </cols>
  <sheetData>
    <row r="1">
      <c r="A1" s="12" t="s">
        <v>120</v>
      </c>
      <c r="B1" s="12" t="s">
        <v>121</v>
      </c>
      <c r="C1" s="12" t="s">
        <v>122</v>
      </c>
    </row>
    <row r="2">
      <c r="A2" s="12" t="s">
        <v>124</v>
      </c>
      <c r="B2" s="12" t="s">
        <v>118</v>
      </c>
      <c r="C2" s="12">
        <v>71.900000000000006</v>
      </c>
    </row>
    <row r="3">
      <c r="A3" s="12" t="s">
        <v>125</v>
      </c>
      <c r="B3" s="12" t="s">
        <v>118</v>
      </c>
      <c r="C3" s="12">
        <v>82.5</v>
      </c>
    </row>
    <row r="4">
      <c r="A4" s="12" t="s">
        <v>125</v>
      </c>
      <c r="B4" s="12" t="s">
        <v>118</v>
      </c>
      <c r="C4" s="12">
        <v>99.400000000000006</v>
      </c>
    </row>
    <row r="5">
      <c r="A5" s="144" t="s">
        <v>24</v>
      </c>
      <c r="B5" s="144" t="s">
        <v>118</v>
      </c>
      <c r="C5" s="144">
        <f>SUM(C2:C4)</f>
        <v>253.80000000000001</v>
      </c>
    </row>
    <row r="8" ht="14.25">
      <c r="A8" s="145" t="s">
        <v>164</v>
      </c>
      <c r="B8" s="146"/>
      <c r="C8" s="146"/>
      <c r="D8" s="146"/>
      <c r="E8" s="146"/>
      <c r="F8" s="147"/>
    </row>
    <row r="9" ht="14.25">
      <c r="A9" s="148" t="s">
        <v>127</v>
      </c>
      <c r="B9" s="149"/>
      <c r="C9" s="149"/>
      <c r="D9" s="149"/>
      <c r="E9" s="149"/>
      <c r="F9" s="150"/>
    </row>
    <row r="10" ht="14.25">
      <c r="A10" s="151" t="s">
        <v>128</v>
      </c>
      <c r="B10" s="50" t="s">
        <v>129</v>
      </c>
      <c r="C10" s="50" t="s">
        <v>130</v>
      </c>
      <c r="D10" s="50" t="s">
        <v>131</v>
      </c>
      <c r="E10" s="50" t="s">
        <v>132</v>
      </c>
      <c r="F10" s="152" t="s">
        <v>133</v>
      </c>
    </row>
    <row r="11" ht="14.25">
      <c r="A11" s="154" t="s">
        <v>165</v>
      </c>
      <c r="B11" s="28">
        <v>2</v>
      </c>
      <c r="C11" s="28">
        <v>2</v>
      </c>
      <c r="D11" s="28">
        <f t="shared" ref="D11:D64" si="111">B11*C11</f>
        <v>4</v>
      </c>
      <c r="E11" s="28">
        <v>1</v>
      </c>
      <c r="F11" s="153">
        <f t="shared" ref="F11:F19" si="112">D11*E11</f>
        <v>4</v>
      </c>
    </row>
    <row r="12" ht="14.25">
      <c r="A12" s="154" t="s">
        <v>166</v>
      </c>
      <c r="B12" s="28">
        <v>2.2000000000000002</v>
      </c>
      <c r="C12" s="28">
        <v>2</v>
      </c>
      <c r="D12" s="28">
        <f t="shared" si="111"/>
        <v>4.4000000000000004</v>
      </c>
      <c r="E12" s="28">
        <v>1</v>
      </c>
      <c r="F12" s="153">
        <f t="shared" si="112"/>
        <v>4.4000000000000004</v>
      </c>
    </row>
    <row r="13" ht="14.25">
      <c r="A13" s="154" t="s">
        <v>167</v>
      </c>
      <c r="B13" s="28">
        <v>2.23</v>
      </c>
      <c r="C13" s="28">
        <v>2</v>
      </c>
      <c r="D13" s="28">
        <f t="shared" si="111"/>
        <v>4.46</v>
      </c>
      <c r="E13" s="28">
        <v>1</v>
      </c>
      <c r="F13" s="153">
        <f t="shared" si="112"/>
        <v>4.46</v>
      </c>
    </row>
    <row r="14" ht="14.25">
      <c r="A14" s="154" t="s">
        <v>168</v>
      </c>
      <c r="B14" s="28">
        <v>2.3999999999999999</v>
      </c>
      <c r="C14" s="28">
        <v>2</v>
      </c>
      <c r="D14" s="28">
        <f t="shared" si="111"/>
        <v>4.7999999999999998</v>
      </c>
      <c r="E14" s="28">
        <v>6</v>
      </c>
      <c r="F14" s="153">
        <f t="shared" si="112"/>
        <v>28.799999999999997</v>
      </c>
    </row>
    <row r="15" ht="14.25">
      <c r="A15" s="154" t="s">
        <v>169</v>
      </c>
      <c r="B15" s="28">
        <v>1.76</v>
      </c>
      <c r="C15" s="28">
        <v>2</v>
      </c>
      <c r="D15" s="28">
        <f t="shared" si="111"/>
        <v>3.52</v>
      </c>
      <c r="E15" s="28">
        <v>1</v>
      </c>
      <c r="F15" s="153">
        <f t="shared" si="112"/>
        <v>3.52</v>
      </c>
    </row>
    <row r="16" ht="14.25">
      <c r="A16" s="154" t="s">
        <v>170</v>
      </c>
      <c r="B16" s="28">
        <v>1.8899999999999999</v>
      </c>
      <c r="C16" s="28">
        <v>2</v>
      </c>
      <c r="D16" s="28">
        <f t="shared" si="111"/>
        <v>3.7799999999999998</v>
      </c>
      <c r="E16" s="28">
        <v>1</v>
      </c>
      <c r="F16" s="153">
        <f t="shared" si="112"/>
        <v>3.7799999999999998</v>
      </c>
    </row>
    <row r="17" ht="14.25">
      <c r="A17" s="154" t="s">
        <v>171</v>
      </c>
      <c r="B17" s="28">
        <v>3.27</v>
      </c>
      <c r="C17" s="28">
        <v>3</v>
      </c>
      <c r="D17" s="28">
        <f t="shared" si="111"/>
        <v>9.8100000000000005</v>
      </c>
      <c r="E17" s="28">
        <v>1</v>
      </c>
      <c r="F17" s="153">
        <f t="shared" si="112"/>
        <v>9.8100000000000005</v>
      </c>
    </row>
    <row r="18" ht="14.25">
      <c r="A18" s="154" t="s">
        <v>172</v>
      </c>
      <c r="B18" s="28">
        <v>2.8700000000000001</v>
      </c>
      <c r="C18" s="28">
        <v>3</v>
      </c>
      <c r="D18" s="28">
        <f t="shared" si="111"/>
        <v>8.6099999999999994</v>
      </c>
      <c r="E18" s="28">
        <v>1</v>
      </c>
      <c r="F18" s="153">
        <f t="shared" si="112"/>
        <v>8.6099999999999994</v>
      </c>
    </row>
    <row r="19" ht="14.25">
      <c r="A19" s="154" t="s">
        <v>173</v>
      </c>
      <c r="B19" s="28">
        <v>4</v>
      </c>
      <c r="C19" s="28">
        <v>3</v>
      </c>
      <c r="D19" s="28">
        <f t="shared" si="111"/>
        <v>12</v>
      </c>
      <c r="E19" s="28">
        <v>1</v>
      </c>
      <c r="F19" s="153">
        <f t="shared" si="112"/>
        <v>12</v>
      </c>
    </row>
    <row r="20" ht="14.25">
      <c r="A20" s="155" t="s">
        <v>24</v>
      </c>
      <c r="B20" s="156"/>
      <c r="C20" s="156"/>
      <c r="D20" s="156"/>
      <c r="E20" s="157"/>
      <c r="F20" s="158">
        <f>SUM(F11:F19)</f>
        <v>79.379999999999995</v>
      </c>
    </row>
    <row r="21" ht="14.25">
      <c r="A21" s="159"/>
      <c r="B21" s="160"/>
      <c r="C21" s="160"/>
      <c r="D21" s="160"/>
      <c r="E21" s="160"/>
      <c r="F21" s="161"/>
    </row>
    <row r="22" ht="14.25">
      <c r="A22" s="148" t="s">
        <v>51</v>
      </c>
      <c r="B22" s="149"/>
      <c r="C22" s="149"/>
      <c r="D22" s="149"/>
      <c r="E22" s="149"/>
      <c r="F22" s="150"/>
    </row>
    <row r="23" ht="14.25">
      <c r="A23" s="154" t="s">
        <v>142</v>
      </c>
      <c r="B23" s="162" t="s">
        <v>129</v>
      </c>
      <c r="C23" s="162" t="s">
        <v>130</v>
      </c>
      <c r="D23" s="162" t="s">
        <v>131</v>
      </c>
      <c r="E23" s="162" t="s">
        <v>132</v>
      </c>
      <c r="F23" s="163" t="s">
        <v>133</v>
      </c>
    </row>
    <row r="24" ht="14.25">
      <c r="A24" s="154" t="s">
        <v>143</v>
      </c>
      <c r="B24" s="23">
        <v>1.2</v>
      </c>
      <c r="C24" s="28">
        <v>2.1000000000000001</v>
      </c>
      <c r="D24" s="28">
        <f t="shared" si="111"/>
        <v>2.52</v>
      </c>
      <c r="E24" s="28">
        <v>1</v>
      </c>
      <c r="F24" s="153">
        <f>D24*E24</f>
        <v>2.52</v>
      </c>
    </row>
    <row r="25" ht="14.25">
      <c r="A25" s="155" t="s">
        <v>24</v>
      </c>
      <c r="B25" s="156"/>
      <c r="C25" s="156"/>
      <c r="D25" s="156"/>
      <c r="E25" s="157"/>
      <c r="F25" s="158">
        <f>SUM(F24:F24)</f>
        <v>2.52</v>
      </c>
    </row>
    <row r="26" ht="14.25">
      <c r="A26" s="159"/>
      <c r="B26" s="160"/>
      <c r="C26" s="160"/>
      <c r="D26" s="160"/>
      <c r="E26" s="160"/>
      <c r="F26" s="161"/>
    </row>
    <row r="27" ht="14.25">
      <c r="A27" s="164" t="s">
        <v>144</v>
      </c>
      <c r="B27" s="149"/>
      <c r="C27" s="149"/>
      <c r="D27" s="149"/>
      <c r="E27" s="149"/>
      <c r="F27" s="165"/>
    </row>
    <row r="28" ht="14.25">
      <c r="A28" s="154" t="s">
        <v>145</v>
      </c>
      <c r="B28" s="162" t="s">
        <v>146</v>
      </c>
      <c r="C28" s="50" t="s">
        <v>130</v>
      </c>
      <c r="D28" s="50" t="s">
        <v>131</v>
      </c>
      <c r="E28" s="50" t="s">
        <v>147</v>
      </c>
      <c r="F28" s="152" t="s">
        <v>148</v>
      </c>
    </row>
    <row r="29" ht="14.25">
      <c r="A29" s="154" t="s">
        <v>149</v>
      </c>
      <c r="B29" s="28">
        <f>39.6+11.9+12.66</f>
        <v>64.159999999999997</v>
      </c>
      <c r="C29" s="28">
        <v>3</v>
      </c>
      <c r="D29" s="28">
        <f t="shared" si="111"/>
        <v>192.47999999999999</v>
      </c>
      <c r="E29" s="28">
        <f>F11+F13+F14+F15+F16+F25</f>
        <v>47.080000000000005</v>
      </c>
      <c r="F29" s="153">
        <f>D29-E29</f>
        <v>145.39999999999998</v>
      </c>
    </row>
    <row r="30" ht="14.25">
      <c r="A30" s="155" t="s">
        <v>24</v>
      </c>
      <c r="B30" s="156"/>
      <c r="C30" s="156"/>
      <c r="D30" s="156"/>
      <c r="E30" s="157"/>
      <c r="F30" s="158">
        <f>SUM(F29)</f>
        <v>145.39999999999998</v>
      </c>
    </row>
    <row r="31" ht="14.25">
      <c r="A31" s="159"/>
      <c r="B31" s="160"/>
      <c r="C31" s="160"/>
      <c r="D31" s="160"/>
      <c r="E31" s="160"/>
      <c r="F31" s="161"/>
    </row>
    <row r="32" ht="14.25">
      <c r="A32" s="164" t="s">
        <v>150</v>
      </c>
      <c r="B32" s="149"/>
      <c r="C32" s="149"/>
      <c r="D32" s="149"/>
      <c r="E32" s="149"/>
      <c r="F32" s="165"/>
    </row>
    <row r="33" ht="14.25">
      <c r="A33" s="154" t="s">
        <v>145</v>
      </c>
      <c r="B33" s="162" t="s">
        <v>146</v>
      </c>
      <c r="C33" s="162" t="s">
        <v>130</v>
      </c>
      <c r="D33" s="162" t="s">
        <v>131</v>
      </c>
      <c r="E33" s="162" t="s">
        <v>147</v>
      </c>
      <c r="F33" s="163" t="s">
        <v>148</v>
      </c>
    </row>
    <row r="34" ht="14.25">
      <c r="A34" s="154" t="s">
        <v>149</v>
      </c>
      <c r="B34" s="28">
        <f>B29</f>
        <v>64.159999999999997</v>
      </c>
      <c r="C34" s="28">
        <v>3</v>
      </c>
      <c r="D34" s="28">
        <f t="shared" si="111"/>
        <v>192.47999999999999</v>
      </c>
      <c r="E34" s="28">
        <f>SUM(F11:F16)</f>
        <v>48.960000000000001</v>
      </c>
      <c r="F34" s="153">
        <f>D34-E34</f>
        <v>143.51999999999998</v>
      </c>
    </row>
    <row r="35" ht="14.25">
      <c r="A35" s="155" t="s">
        <v>24</v>
      </c>
      <c r="B35" s="156"/>
      <c r="C35" s="156"/>
      <c r="D35" s="156"/>
      <c r="E35" s="157"/>
      <c r="F35" s="158">
        <f>SUM(F34)</f>
        <v>143.51999999999998</v>
      </c>
    </row>
    <row r="36" ht="14.25">
      <c r="A36" s="166"/>
      <c r="B36" s="167"/>
      <c r="C36" s="167"/>
      <c r="D36" s="167"/>
      <c r="E36" s="167"/>
      <c r="F36" s="168"/>
    </row>
    <row r="37" ht="14.25">
      <c r="A37" s="174"/>
      <c r="B37" s="174"/>
      <c r="C37" s="174"/>
      <c r="D37" s="174"/>
      <c r="E37" s="174"/>
      <c r="F37" s="174"/>
    </row>
    <row r="38" ht="14.25">
      <c r="A38" s="145" t="s">
        <v>174</v>
      </c>
      <c r="B38" s="146"/>
      <c r="C38" s="146"/>
      <c r="D38" s="146"/>
      <c r="E38" s="146"/>
      <c r="F38" s="147"/>
    </row>
    <row r="39" ht="14.25">
      <c r="A39" s="148" t="s">
        <v>127</v>
      </c>
      <c r="B39" s="149"/>
      <c r="C39" s="149"/>
      <c r="D39" s="149"/>
      <c r="E39" s="149"/>
      <c r="F39" s="150"/>
    </row>
    <row r="40" ht="14.25">
      <c r="A40" s="151" t="s">
        <v>128</v>
      </c>
      <c r="B40" s="50" t="s">
        <v>129</v>
      </c>
      <c r="C40" s="50" t="s">
        <v>130</v>
      </c>
      <c r="D40" s="50" t="s">
        <v>131</v>
      </c>
      <c r="E40" s="50" t="s">
        <v>132</v>
      </c>
      <c r="F40" s="152" t="s">
        <v>133</v>
      </c>
    </row>
    <row r="41" ht="14.25">
      <c r="A41" s="154" t="s">
        <v>165</v>
      </c>
      <c r="B41" s="28">
        <v>2</v>
      </c>
      <c r="C41" s="28">
        <v>2</v>
      </c>
      <c r="D41" s="28">
        <f t="shared" si="111"/>
        <v>4</v>
      </c>
      <c r="E41" s="28">
        <v>1</v>
      </c>
      <c r="F41" s="153">
        <f t="shared" ref="F41:F49" si="113">D41*E41</f>
        <v>4</v>
      </c>
    </row>
    <row r="42" ht="14.25">
      <c r="A42" s="154" t="s">
        <v>166</v>
      </c>
      <c r="B42" s="28">
        <v>2.2000000000000002</v>
      </c>
      <c r="C42" s="28">
        <v>2</v>
      </c>
      <c r="D42" s="28">
        <f t="shared" si="111"/>
        <v>4.4000000000000004</v>
      </c>
      <c r="E42" s="28">
        <v>1</v>
      </c>
      <c r="F42" s="153">
        <f t="shared" si="113"/>
        <v>4.4000000000000004</v>
      </c>
    </row>
    <row r="43" ht="14.25">
      <c r="A43" s="154" t="s">
        <v>167</v>
      </c>
      <c r="B43" s="28">
        <v>2.23</v>
      </c>
      <c r="C43" s="28">
        <v>2</v>
      </c>
      <c r="D43" s="28">
        <f t="shared" si="111"/>
        <v>4.46</v>
      </c>
      <c r="E43" s="28">
        <v>1</v>
      </c>
      <c r="F43" s="153">
        <f t="shared" si="113"/>
        <v>4.46</v>
      </c>
    </row>
    <row r="44" ht="14.25">
      <c r="A44" s="154" t="s">
        <v>168</v>
      </c>
      <c r="B44" s="28">
        <v>2.3999999999999999</v>
      </c>
      <c r="C44" s="28">
        <v>2</v>
      </c>
      <c r="D44" s="28">
        <f t="shared" si="111"/>
        <v>4.7999999999999998</v>
      </c>
      <c r="E44" s="28">
        <v>6</v>
      </c>
      <c r="F44" s="153">
        <f t="shared" si="113"/>
        <v>28.799999999999997</v>
      </c>
    </row>
    <row r="45" ht="14.25">
      <c r="A45" s="154" t="s">
        <v>169</v>
      </c>
      <c r="B45" s="28">
        <v>1.76</v>
      </c>
      <c r="C45" s="28">
        <v>2</v>
      </c>
      <c r="D45" s="28">
        <f t="shared" si="111"/>
        <v>3.52</v>
      </c>
      <c r="E45" s="28">
        <v>1</v>
      </c>
      <c r="F45" s="153">
        <f t="shared" si="113"/>
        <v>3.52</v>
      </c>
    </row>
    <row r="46" ht="14.25">
      <c r="A46" s="154" t="s">
        <v>170</v>
      </c>
      <c r="B46" s="28">
        <v>1.8899999999999999</v>
      </c>
      <c r="C46" s="28">
        <v>2</v>
      </c>
      <c r="D46" s="28">
        <f t="shared" si="111"/>
        <v>3.7799999999999998</v>
      </c>
      <c r="E46" s="28">
        <v>1</v>
      </c>
      <c r="F46" s="153">
        <f t="shared" si="113"/>
        <v>3.7799999999999998</v>
      </c>
    </row>
    <row r="47" ht="14.25">
      <c r="A47" s="154" t="s">
        <v>171</v>
      </c>
      <c r="B47" s="28">
        <v>3.27</v>
      </c>
      <c r="C47" s="28">
        <v>3</v>
      </c>
      <c r="D47" s="28">
        <f t="shared" si="111"/>
        <v>9.8100000000000005</v>
      </c>
      <c r="E47" s="28">
        <v>1</v>
      </c>
      <c r="F47" s="153">
        <f t="shared" si="113"/>
        <v>9.8100000000000005</v>
      </c>
    </row>
    <row r="48" ht="14.25">
      <c r="A48" s="154" t="s">
        <v>172</v>
      </c>
      <c r="B48" s="28">
        <v>2.8700000000000001</v>
      </c>
      <c r="C48" s="28">
        <v>3</v>
      </c>
      <c r="D48" s="28">
        <f t="shared" si="111"/>
        <v>8.6099999999999994</v>
      </c>
      <c r="E48" s="28">
        <v>1</v>
      </c>
      <c r="F48" s="153">
        <f t="shared" si="113"/>
        <v>8.6099999999999994</v>
      </c>
    </row>
    <row r="49" ht="14.25">
      <c r="A49" s="154" t="s">
        <v>173</v>
      </c>
      <c r="B49" s="28">
        <v>2.8500000000000001</v>
      </c>
      <c r="C49" s="28">
        <v>3</v>
      </c>
      <c r="D49" s="28">
        <f t="shared" si="111"/>
        <v>8.5500000000000007</v>
      </c>
      <c r="E49" s="28">
        <v>1</v>
      </c>
      <c r="F49" s="153">
        <f t="shared" si="113"/>
        <v>8.5500000000000007</v>
      </c>
    </row>
    <row r="50" ht="14.25">
      <c r="A50" s="155" t="s">
        <v>24</v>
      </c>
      <c r="B50" s="156"/>
      <c r="C50" s="156"/>
      <c r="D50" s="156"/>
      <c r="E50" s="157"/>
      <c r="F50" s="158">
        <f>SUM(F41:F49)</f>
        <v>75.929999999999993</v>
      </c>
    </row>
    <row r="51" ht="14.25">
      <c r="A51" s="159"/>
      <c r="B51" s="160"/>
      <c r="C51" s="160"/>
      <c r="D51" s="160"/>
      <c r="E51" s="160"/>
      <c r="F51" s="161"/>
    </row>
    <row r="52" ht="14.25">
      <c r="A52" s="148" t="s">
        <v>51</v>
      </c>
      <c r="B52" s="149"/>
      <c r="C52" s="149"/>
      <c r="D52" s="149"/>
      <c r="E52" s="149"/>
      <c r="F52" s="150"/>
    </row>
    <row r="53" ht="14.25">
      <c r="A53" s="154" t="s">
        <v>142</v>
      </c>
      <c r="B53" s="162" t="s">
        <v>129</v>
      </c>
      <c r="C53" s="162" t="s">
        <v>130</v>
      </c>
      <c r="D53" s="162" t="s">
        <v>131</v>
      </c>
      <c r="E53" s="162" t="s">
        <v>132</v>
      </c>
      <c r="F53" s="163" t="s">
        <v>133</v>
      </c>
    </row>
    <row r="54" ht="14.25">
      <c r="A54" s="154" t="s">
        <v>143</v>
      </c>
      <c r="B54" s="23">
        <v>1.2</v>
      </c>
      <c r="C54" s="28">
        <v>2.1000000000000001</v>
      </c>
      <c r="D54" s="28">
        <f t="shared" si="111"/>
        <v>2.52</v>
      </c>
      <c r="E54" s="28">
        <v>1</v>
      </c>
      <c r="F54" s="153">
        <f>D54*E54</f>
        <v>2.52</v>
      </c>
    </row>
    <row r="55" ht="14.25">
      <c r="A55" s="155" t="s">
        <v>24</v>
      </c>
      <c r="B55" s="156"/>
      <c r="C55" s="156"/>
      <c r="D55" s="156"/>
      <c r="E55" s="157"/>
      <c r="F55" s="158">
        <f>SUM(F54:F54)</f>
        <v>2.52</v>
      </c>
    </row>
    <row r="56" ht="14.25">
      <c r="A56" s="159"/>
      <c r="B56" s="160"/>
      <c r="C56" s="160"/>
      <c r="D56" s="160"/>
      <c r="E56" s="160"/>
      <c r="F56" s="161"/>
    </row>
    <row r="57" ht="14.25">
      <c r="A57" s="164" t="s">
        <v>144</v>
      </c>
      <c r="B57" s="149"/>
      <c r="C57" s="149"/>
      <c r="D57" s="149"/>
      <c r="E57" s="149"/>
      <c r="F57" s="165"/>
    </row>
    <row r="58" ht="14.25">
      <c r="A58" s="154" t="s">
        <v>145</v>
      </c>
      <c r="B58" s="162" t="s">
        <v>146</v>
      </c>
      <c r="C58" s="50" t="s">
        <v>130</v>
      </c>
      <c r="D58" s="50" t="s">
        <v>131</v>
      </c>
      <c r="E58" s="50" t="s">
        <v>147</v>
      </c>
      <c r="F58" s="152" t="s">
        <v>148</v>
      </c>
    </row>
    <row r="59" ht="14.25">
      <c r="A59" s="154" t="s">
        <v>149</v>
      </c>
      <c r="B59" s="28">
        <f>39.6+11.9</f>
        <v>51.5</v>
      </c>
      <c r="C59" s="28">
        <v>3</v>
      </c>
      <c r="D59" s="28">
        <f t="shared" si="111"/>
        <v>154.5</v>
      </c>
      <c r="E59" s="28">
        <f>E29</f>
        <v>47.080000000000005</v>
      </c>
      <c r="F59" s="153">
        <f>D59-E59</f>
        <v>107.41999999999999</v>
      </c>
    </row>
    <row r="60" ht="14.25">
      <c r="A60" s="155" t="s">
        <v>24</v>
      </c>
      <c r="B60" s="156"/>
      <c r="C60" s="156"/>
      <c r="D60" s="156"/>
      <c r="E60" s="157"/>
      <c r="F60" s="158">
        <f>SUM(F59)</f>
        <v>107.41999999999999</v>
      </c>
    </row>
    <row r="61" ht="14.25">
      <c r="A61" s="159"/>
      <c r="B61" s="160"/>
      <c r="C61" s="160"/>
      <c r="D61" s="160"/>
      <c r="E61" s="160"/>
      <c r="F61" s="161"/>
    </row>
    <row r="62" ht="14.25">
      <c r="A62" s="164" t="s">
        <v>150</v>
      </c>
      <c r="B62" s="149"/>
      <c r="C62" s="149"/>
      <c r="D62" s="149"/>
      <c r="E62" s="149"/>
      <c r="F62" s="165"/>
    </row>
    <row r="63" ht="14.25">
      <c r="A63" s="154" t="s">
        <v>145</v>
      </c>
      <c r="B63" s="162" t="s">
        <v>146</v>
      </c>
      <c r="C63" s="162" t="s">
        <v>130</v>
      </c>
      <c r="D63" s="162" t="s">
        <v>131</v>
      </c>
      <c r="E63" s="162" t="s">
        <v>147</v>
      </c>
      <c r="F63" s="163" t="s">
        <v>148</v>
      </c>
    </row>
    <row r="64" ht="14.25">
      <c r="A64" s="154" t="s">
        <v>149</v>
      </c>
      <c r="B64" s="28">
        <f>B59</f>
        <v>51.5</v>
      </c>
      <c r="C64" s="28">
        <v>3</v>
      </c>
      <c r="D64" s="28">
        <f t="shared" si="111"/>
        <v>154.5</v>
      </c>
      <c r="E64" s="28">
        <f>E34</f>
        <v>48.960000000000001</v>
      </c>
      <c r="F64" s="153">
        <f>D64-E64</f>
        <v>105.53999999999999</v>
      </c>
    </row>
    <row r="65" ht="14.25">
      <c r="A65" s="155" t="s">
        <v>24</v>
      </c>
      <c r="B65" s="156"/>
      <c r="C65" s="156"/>
      <c r="D65" s="156"/>
      <c r="E65" s="157"/>
      <c r="F65" s="158">
        <f>SUM(F64)</f>
        <v>105.53999999999999</v>
      </c>
    </row>
    <row r="66" ht="14.25">
      <c r="A66" s="166"/>
      <c r="B66" s="167"/>
      <c r="C66" s="167"/>
      <c r="D66" s="167"/>
      <c r="E66" s="167"/>
      <c r="F66" s="168"/>
    </row>
    <row r="67" ht="14.25">
      <c r="A67" s="175"/>
      <c r="B67" s="175"/>
      <c r="C67" s="175"/>
      <c r="D67" s="175"/>
      <c r="E67" s="175"/>
      <c r="F67" s="175"/>
    </row>
    <row r="68" ht="14.25">
      <c r="A68" s="29" t="s">
        <v>153</v>
      </c>
      <c r="B68" s="29">
        <v>355.80000000000001</v>
      </c>
      <c r="C68" s="29"/>
      <c r="D68" s="29"/>
      <c r="E68" s="29"/>
      <c r="F68" s="29"/>
    </row>
  </sheetData>
  <mergeCells count="10">
    <mergeCell ref="A8:F8"/>
    <mergeCell ref="A20:E20"/>
    <mergeCell ref="A25:E25"/>
    <mergeCell ref="A30:E30"/>
    <mergeCell ref="A35:E35"/>
    <mergeCell ref="A38:F38"/>
    <mergeCell ref="A50:E50"/>
    <mergeCell ref="A55:E55"/>
    <mergeCell ref="A60:E60"/>
    <mergeCell ref="A65:E65"/>
  </mergeCells>
  <printOptions headings="0" gridLines="0"/>
  <pageMargins left="0.70000004768371604" right="0.70000004768371604" top="0.75" bottom="0.75" header="0.30000001192092901" footer="0.30000001192092901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"/>
    </sheetView>
  </sheetViews>
  <sheetFormatPr baseColWidth="8" defaultColWidth="9.1406253092569294" defaultRowHeight="14.25"/>
  <cols>
    <col customWidth="1" min="1" max="1" width="19.570313162127"/>
    <col bestFit="1" customWidth="1" min="2" max="2" width="7.7109376255530302"/>
    <col customWidth="1" min="3" max="3" width="19.425781636571202"/>
  </cols>
  <sheetData>
    <row r="1">
      <c r="A1" s="12" t="s">
        <v>120</v>
      </c>
      <c r="B1" s="12" t="s">
        <v>121</v>
      </c>
      <c r="C1" s="12" t="s">
        <v>122</v>
      </c>
    </row>
    <row r="2">
      <c r="A2" s="12" t="s">
        <v>123</v>
      </c>
      <c r="B2" s="12" t="s">
        <v>118</v>
      </c>
      <c r="C2" s="12">
        <v>39.700000000000003</v>
      </c>
    </row>
    <row r="3">
      <c r="A3" s="12" t="s">
        <v>124</v>
      </c>
      <c r="B3" s="12" t="s">
        <v>118</v>
      </c>
      <c r="C3" s="12">
        <v>60.5</v>
      </c>
    </row>
    <row r="4">
      <c r="A4" s="12" t="s">
        <v>125</v>
      </c>
      <c r="B4" s="12" t="s">
        <v>118</v>
      </c>
      <c r="C4" s="12">
        <v>100</v>
      </c>
    </row>
    <row r="5">
      <c r="A5" s="12" t="s">
        <v>125</v>
      </c>
      <c r="B5" s="12" t="s">
        <v>118</v>
      </c>
      <c r="C5" s="12">
        <v>83.5</v>
      </c>
    </row>
    <row r="6">
      <c r="A6" s="144" t="s">
        <v>24</v>
      </c>
      <c r="B6" s="144" t="s">
        <v>118</v>
      </c>
      <c r="C6" s="144">
        <f>SUM(C2:C5)</f>
        <v>283.69999999999999</v>
      </c>
    </row>
  </sheetData>
  <printOptions headings="0" gridLines="0"/>
  <pageMargins left="0.70000004768371604" right="0.70000004768371604" top="0.75" bottom="0.75" header="0.30000001192092901" footer="0.30000001192092901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"/>
    </sheetView>
  </sheetViews>
  <sheetFormatPr baseColWidth="8" defaultColWidth="9.1406253092569294" defaultRowHeight="14.25"/>
  <cols>
    <col bestFit="1" customWidth="1" min="1" max="1" width="20.855468643610301"/>
    <col customWidth="1" min="2" max="2" width="17.285156834812799"/>
    <col customWidth="1" min="3" max="6" width="12.710937118054501"/>
  </cols>
  <sheetData>
    <row r="1">
      <c r="A1" s="1" t="s">
        <v>25</v>
      </c>
      <c r="B1" s="1" t="s">
        <v>1</v>
      </c>
      <c r="C1" s="6" t="s">
        <v>26</v>
      </c>
      <c r="D1" s="10"/>
      <c r="E1" s="10"/>
      <c r="F1" s="11"/>
    </row>
    <row r="2">
      <c r="A2" s="3"/>
      <c r="B2" s="3"/>
      <c r="C2" s="12" t="s">
        <v>27</v>
      </c>
      <c r="D2" s="12" t="s">
        <v>28</v>
      </c>
      <c r="E2" s="12" t="s">
        <v>29</v>
      </c>
      <c r="F2" s="12" t="s">
        <v>30</v>
      </c>
    </row>
    <row r="3">
      <c r="A3" s="4" t="s">
        <v>9</v>
      </c>
      <c r="B3" s="5" t="s">
        <v>10</v>
      </c>
      <c r="C3" s="12">
        <v>0</v>
      </c>
      <c r="D3" s="12">
        <v>8</v>
      </c>
      <c r="E3" s="12">
        <v>1</v>
      </c>
      <c r="F3" s="12">
        <v>0</v>
      </c>
    </row>
    <row r="4">
      <c r="A4" s="8"/>
      <c r="B4" s="5" t="s">
        <v>12</v>
      </c>
      <c r="C4" s="12">
        <v>0</v>
      </c>
      <c r="D4" s="12">
        <v>9</v>
      </c>
      <c r="E4" s="12">
        <v>1</v>
      </c>
      <c r="F4" s="12">
        <v>0</v>
      </c>
    </row>
    <row r="5">
      <c r="A5" s="8"/>
      <c r="B5" s="5" t="s">
        <v>13</v>
      </c>
      <c r="C5" s="12">
        <v>0</v>
      </c>
      <c r="D5" s="12">
        <v>7</v>
      </c>
      <c r="E5" s="12">
        <v>2</v>
      </c>
      <c r="F5" s="12">
        <v>0</v>
      </c>
    </row>
    <row r="6">
      <c r="A6" s="8"/>
      <c r="B6" s="5" t="s">
        <v>14</v>
      </c>
      <c r="C6" s="12">
        <v>0</v>
      </c>
      <c r="D6" s="12">
        <v>5</v>
      </c>
      <c r="E6" s="12">
        <v>1</v>
      </c>
      <c r="F6" s="12">
        <v>0</v>
      </c>
    </row>
    <row r="7">
      <c r="A7" s="9"/>
      <c r="B7" s="5" t="s">
        <v>15</v>
      </c>
      <c r="C7" s="12">
        <v>0</v>
      </c>
      <c r="D7" s="12">
        <v>4</v>
      </c>
      <c r="E7" s="12">
        <v>1</v>
      </c>
      <c r="F7" s="12">
        <v>0</v>
      </c>
    </row>
    <row r="8">
      <c r="A8" s="4" t="s">
        <v>16</v>
      </c>
      <c r="B8" s="5" t="s">
        <v>17</v>
      </c>
      <c r="C8" s="12">
        <v>0</v>
      </c>
      <c r="D8" s="12">
        <v>7</v>
      </c>
      <c r="E8" s="12">
        <v>2</v>
      </c>
      <c r="F8" s="12">
        <v>0</v>
      </c>
    </row>
    <row r="9">
      <c r="A9" s="8"/>
      <c r="B9" s="5" t="s">
        <v>18</v>
      </c>
      <c r="C9" s="12">
        <v>0</v>
      </c>
      <c r="D9" s="12">
        <v>7</v>
      </c>
      <c r="E9" s="12">
        <v>2</v>
      </c>
      <c r="F9" s="12">
        <v>0</v>
      </c>
    </row>
    <row r="10">
      <c r="A10" s="9"/>
      <c r="B10" s="5" t="s">
        <v>19</v>
      </c>
      <c r="C10" s="12">
        <v>0</v>
      </c>
      <c r="D10" s="12">
        <v>7</v>
      </c>
      <c r="E10" s="12">
        <v>2</v>
      </c>
      <c r="F10" s="12">
        <v>0</v>
      </c>
    </row>
    <row r="11">
      <c r="A11" s="4" t="s">
        <v>20</v>
      </c>
      <c r="B11" s="5" t="s">
        <v>21</v>
      </c>
      <c r="C11" s="12">
        <v>0</v>
      </c>
      <c r="D11" s="12">
        <v>7</v>
      </c>
      <c r="E11" s="12">
        <v>2</v>
      </c>
      <c r="F11" s="12">
        <v>0</v>
      </c>
    </row>
    <row r="12">
      <c r="A12" s="8"/>
      <c r="B12" s="5" t="s">
        <v>22</v>
      </c>
      <c r="C12" s="12">
        <v>0</v>
      </c>
      <c r="D12" s="12">
        <v>7</v>
      </c>
      <c r="E12" s="12">
        <v>2</v>
      </c>
      <c r="F12" s="12">
        <v>0</v>
      </c>
    </row>
    <row r="13">
      <c r="A13" s="9"/>
      <c r="B13" s="5" t="s">
        <v>23</v>
      </c>
      <c r="C13" s="12">
        <v>0</v>
      </c>
      <c r="D13" s="12">
        <v>9</v>
      </c>
      <c r="E13" s="12">
        <v>1</v>
      </c>
      <c r="F13" s="12">
        <v>0</v>
      </c>
    </row>
    <row r="14">
      <c r="A14" s="5" t="s">
        <v>24</v>
      </c>
      <c r="B14" s="5"/>
      <c r="C14" s="12">
        <f>SUM(C3:C13)</f>
        <v>0</v>
      </c>
      <c r="D14" s="12">
        <f>SUM(D3:D13)</f>
        <v>77</v>
      </c>
      <c r="E14" s="12">
        <f>SUM(E3:E13)</f>
        <v>17</v>
      </c>
      <c r="F14" s="12">
        <f>SUM(F3:F13)</f>
        <v>0</v>
      </c>
    </row>
  </sheetData>
  <mergeCells count="6">
    <mergeCell ref="A1:A2"/>
    <mergeCell ref="B1:B2"/>
    <mergeCell ref="C1:F1"/>
    <mergeCell ref="A3:A7"/>
    <mergeCell ref="A8:A10"/>
    <mergeCell ref="A11:A13"/>
  </mergeCells>
  <printOptions headings="0" gridLines="0"/>
  <pageMargins left="0.70000004768371604" right="0.70000004768371604" top="0.75" bottom="0.75" header="0.30000001192092901" footer="0.30000001192092901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"/>
    </sheetView>
  </sheetViews>
  <sheetFormatPr baseColWidth="8" defaultColWidth="9.1406253092569294" defaultRowHeight="14.25"/>
  <cols>
    <col bestFit="1" customWidth="1" min="1" max="1" width="20.855468643610301"/>
    <col customWidth="1" min="2" max="2" width="17.285156834812799"/>
    <col customWidth="1" min="3" max="6" width="12.710937118054501"/>
    <col bestFit="1" min="7" max="7" width="9.8515625"/>
  </cols>
  <sheetData>
    <row r="1">
      <c r="A1" s="13" t="s">
        <v>25</v>
      </c>
      <c r="B1" s="14" t="s">
        <v>31</v>
      </c>
      <c r="C1" s="15" t="s">
        <v>32</v>
      </c>
      <c r="D1" s="16"/>
      <c r="E1" s="16"/>
      <c r="F1" s="16"/>
      <c r="G1" s="16"/>
      <c r="H1" s="17"/>
    </row>
    <row r="2">
      <c r="A2" s="18"/>
      <c r="B2" s="19"/>
      <c r="C2" s="20" t="s">
        <v>27</v>
      </c>
      <c r="D2" s="21"/>
      <c r="E2" s="20" t="s">
        <v>28</v>
      </c>
      <c r="F2" s="21"/>
      <c r="G2" s="20" t="s">
        <v>29</v>
      </c>
      <c r="H2" s="21"/>
    </row>
    <row r="3">
      <c r="A3" s="18"/>
      <c r="B3" s="22"/>
      <c r="C3" s="23" t="s">
        <v>33</v>
      </c>
      <c r="D3" s="23" t="s">
        <v>34</v>
      </c>
      <c r="E3" s="23" t="s">
        <v>33</v>
      </c>
      <c r="F3" s="23" t="s">
        <v>34</v>
      </c>
      <c r="G3" s="23" t="s">
        <v>33</v>
      </c>
      <c r="H3" s="23" t="s">
        <v>34</v>
      </c>
    </row>
    <row r="4">
      <c r="A4" s="4" t="s">
        <v>9</v>
      </c>
      <c r="B4" s="24" t="s">
        <v>10</v>
      </c>
      <c r="C4" s="12">
        <v>0</v>
      </c>
      <c r="D4" s="12">
        <v>0</v>
      </c>
      <c r="E4" s="12">
        <v>6</v>
      </c>
      <c r="F4" s="12">
        <v>2</v>
      </c>
      <c r="G4" s="12">
        <v>1</v>
      </c>
      <c r="H4" s="12">
        <v>0</v>
      </c>
    </row>
    <row r="5">
      <c r="A5" s="8"/>
      <c r="B5" s="5" t="s">
        <v>12</v>
      </c>
      <c r="C5" s="12">
        <v>0</v>
      </c>
      <c r="D5" s="12">
        <v>0</v>
      </c>
      <c r="E5" s="12">
        <v>7</v>
      </c>
      <c r="F5" s="12">
        <v>2</v>
      </c>
      <c r="G5" s="12">
        <v>1</v>
      </c>
      <c r="H5" s="12">
        <v>0</v>
      </c>
    </row>
    <row r="6">
      <c r="A6" s="8"/>
      <c r="B6" s="5" t="s">
        <v>13</v>
      </c>
      <c r="C6" s="12">
        <v>0</v>
      </c>
      <c r="D6" s="12">
        <v>0</v>
      </c>
      <c r="E6" s="12">
        <v>5</v>
      </c>
      <c r="F6" s="12">
        <v>2</v>
      </c>
      <c r="G6" s="12">
        <v>2</v>
      </c>
      <c r="H6" s="12">
        <v>0</v>
      </c>
    </row>
    <row r="7">
      <c r="A7" s="8"/>
      <c r="B7" s="5" t="s">
        <v>14</v>
      </c>
      <c r="C7" s="12">
        <v>0</v>
      </c>
      <c r="D7" s="12">
        <v>0</v>
      </c>
      <c r="E7" s="12">
        <v>3</v>
      </c>
      <c r="F7" s="12">
        <v>2</v>
      </c>
      <c r="G7" s="12">
        <v>1</v>
      </c>
      <c r="H7" s="12">
        <v>0</v>
      </c>
    </row>
    <row r="8">
      <c r="A8" s="9"/>
      <c r="B8" s="5" t="s">
        <v>15</v>
      </c>
      <c r="C8" s="12">
        <v>0</v>
      </c>
      <c r="D8" s="12">
        <v>0</v>
      </c>
      <c r="E8" s="12">
        <v>2</v>
      </c>
      <c r="F8" s="12">
        <v>2</v>
      </c>
      <c r="G8" s="12">
        <v>1</v>
      </c>
      <c r="H8" s="12">
        <v>0</v>
      </c>
    </row>
    <row r="9">
      <c r="A9" s="4" t="s">
        <v>16</v>
      </c>
      <c r="B9" s="5" t="s">
        <v>17</v>
      </c>
      <c r="C9" s="12">
        <v>0</v>
      </c>
      <c r="D9" s="12">
        <v>0</v>
      </c>
      <c r="E9" s="12">
        <v>5</v>
      </c>
      <c r="F9" s="12">
        <v>2</v>
      </c>
      <c r="G9" s="12">
        <v>2</v>
      </c>
      <c r="H9" s="12">
        <v>0</v>
      </c>
    </row>
    <row r="10">
      <c r="A10" s="8"/>
      <c r="B10" s="5" t="s">
        <v>18</v>
      </c>
      <c r="C10" s="12">
        <v>0</v>
      </c>
      <c r="D10" s="12">
        <v>0</v>
      </c>
      <c r="E10" s="12">
        <v>5</v>
      </c>
      <c r="F10" s="12">
        <v>2</v>
      </c>
      <c r="G10" s="12">
        <v>2</v>
      </c>
      <c r="H10" s="12">
        <v>0</v>
      </c>
    </row>
    <row r="11">
      <c r="A11" s="9"/>
      <c r="B11" s="5" t="s">
        <v>19</v>
      </c>
      <c r="C11" s="12">
        <v>0</v>
      </c>
      <c r="D11" s="12">
        <v>0</v>
      </c>
      <c r="E11" s="12">
        <v>5</v>
      </c>
      <c r="F11" s="12">
        <v>2</v>
      </c>
      <c r="G11" s="12">
        <v>2</v>
      </c>
      <c r="H11" s="12">
        <v>0</v>
      </c>
    </row>
    <row r="12">
      <c r="A12" s="4" t="s">
        <v>20</v>
      </c>
      <c r="B12" s="5" t="s">
        <v>21</v>
      </c>
      <c r="C12" s="12">
        <v>0</v>
      </c>
      <c r="D12" s="12">
        <v>0</v>
      </c>
      <c r="E12" s="12">
        <v>5</v>
      </c>
      <c r="F12" s="12">
        <v>2</v>
      </c>
      <c r="G12" s="12">
        <v>2</v>
      </c>
      <c r="H12" s="12">
        <v>0</v>
      </c>
    </row>
    <row r="13">
      <c r="A13" s="8"/>
      <c r="B13" s="5" t="s">
        <v>22</v>
      </c>
      <c r="C13" s="12">
        <v>0</v>
      </c>
      <c r="D13" s="12">
        <v>0</v>
      </c>
      <c r="E13" s="12">
        <v>5</v>
      </c>
      <c r="F13" s="12">
        <v>2</v>
      </c>
      <c r="G13" s="12">
        <v>2</v>
      </c>
      <c r="H13" s="12">
        <v>0</v>
      </c>
    </row>
    <row r="14">
      <c r="A14" s="9"/>
      <c r="B14" s="5" t="s">
        <v>23</v>
      </c>
      <c r="C14" s="12">
        <v>0</v>
      </c>
      <c r="D14" s="12">
        <v>0</v>
      </c>
      <c r="E14" s="12">
        <v>7</v>
      </c>
      <c r="F14" s="12">
        <v>2</v>
      </c>
      <c r="G14" s="12">
        <v>1</v>
      </c>
      <c r="H14" s="12">
        <v>0</v>
      </c>
    </row>
    <row r="15">
      <c r="A15" s="5" t="s">
        <v>24</v>
      </c>
      <c r="B15" s="5"/>
      <c r="C15" s="12">
        <f>SUM(C4:C14)</f>
        <v>0</v>
      </c>
      <c r="D15" s="12">
        <f>SUM(D4:D14)</f>
        <v>0</v>
      </c>
      <c r="E15" s="12">
        <f>SUM(E4:E14)</f>
        <v>55</v>
      </c>
      <c r="F15" s="12">
        <f>SUM(F4:F14)</f>
        <v>22</v>
      </c>
      <c r="G15" s="12">
        <f>SUM(G4:G14)</f>
        <v>17</v>
      </c>
      <c r="H15" s="12">
        <f>SUM(H4:H14)</f>
        <v>0</v>
      </c>
    </row>
  </sheetData>
  <mergeCells count="9">
    <mergeCell ref="A1:A3"/>
    <mergeCell ref="B1:B3"/>
    <mergeCell ref="C1:H1"/>
    <mergeCell ref="C2:D2"/>
    <mergeCell ref="E2:F2"/>
    <mergeCell ref="G2:H2"/>
    <mergeCell ref="A4:A8"/>
    <mergeCell ref="A9:A11"/>
    <mergeCell ref="A12:A14"/>
  </mergeCells>
  <printOptions headings="0" gridLines="0"/>
  <pageMargins left="0.70000004768371604" right="0.70000004768371604" top="0.75" bottom="0.75" header="0.30000001192092901" footer="0.30000001192092901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topLeftCell="BX1" zoomScale="100" workbookViewId="0">
      <selection activeCell="A1" activeCellId="0" sqref="A1"/>
    </sheetView>
  </sheetViews>
  <sheetFormatPr baseColWidth="8" defaultColWidth="9.1406253092569294" defaultRowHeight="14.25"/>
  <cols>
    <col bestFit="1" customWidth="1" min="1" max="1" width="20.855468643610301"/>
    <col customWidth="1" min="2" max="2" width="17.285156834812799"/>
    <col customWidth="1" min="3" max="3" width="12.710937118054501"/>
    <col bestFit="1" customWidth="1" min="4" max="4" width="14.421875"/>
    <col bestFit="1" customWidth="1" min="5" max="5" width="13.00390625"/>
    <col customWidth="1" min="6" max="6" width="11.28125"/>
    <col bestFit="1" min="7" max="7" width="15.8515625"/>
    <col bestFit="1" min="8" max="8" width="18.8515625"/>
    <col bestFit="1" min="10" max="10" width="14.421875"/>
    <col bestFit="1" min="11" max="11" width="13.00390625"/>
    <col bestFit="1" min="13" max="13" width="15.8515625"/>
    <col bestFit="1" min="14" max="14" width="18.8515625"/>
    <col bestFit="1" min="16" max="16" width="14.421875"/>
    <col bestFit="1" min="17" max="17" width="13.00390625"/>
    <col bestFit="1" min="19" max="19" width="15.8515625"/>
    <col bestFit="1" min="20" max="20" width="18.8515625"/>
    <col bestFit="1" min="22" max="22" width="14.421875"/>
    <col bestFit="1" min="23" max="23" width="13.00390625"/>
    <col bestFit="1" min="25" max="25" width="15.8515625"/>
    <col bestFit="1" min="26" max="26" width="18.8515625"/>
    <col bestFit="1" min="28" max="28" width="14.421875"/>
    <col bestFit="1" min="29" max="29" width="13.00390625"/>
    <col bestFit="1" customWidth="1" min="31" max="31" width="15.8515625"/>
    <col bestFit="1" min="32" max="32" width="18.8515625"/>
    <col bestFit="1" min="34" max="34" width="14.421875"/>
    <col bestFit="1" min="35" max="35" width="13.00390625"/>
    <col bestFit="1" min="37" max="37" width="15.8515625"/>
    <col bestFit="1" min="38" max="38" width="18.8515625"/>
    <col bestFit="1" min="40" max="40" width="14.421875"/>
    <col bestFit="1" min="41" max="41" width="13.00390625"/>
    <col bestFit="1" min="43" max="43" width="15.8515625"/>
    <col bestFit="1" min="44" max="44" width="18.8515625"/>
    <col bestFit="1" min="46" max="46" width="14.421875"/>
    <col bestFit="1" min="47" max="47" width="13.00390625"/>
    <col bestFit="1" min="49" max="49" width="15.8515625"/>
    <col bestFit="1" min="50" max="50" width="18.8515625"/>
    <col bestFit="1" min="52" max="52" width="14.421875"/>
    <col bestFit="1" min="53" max="53" width="13.00390625"/>
    <col bestFit="1" min="55" max="55" width="15.8515625"/>
    <col bestFit="1" min="56" max="56" width="18.8515625"/>
    <col bestFit="1" min="58" max="58" width="14.421875"/>
    <col bestFit="1" min="59" max="59" width="13.00390625"/>
    <col bestFit="1" min="61" max="61" width="15.8515625"/>
    <col bestFit="1" min="62" max="62" width="18.8515625"/>
    <col bestFit="1" min="64" max="64" width="14.421875"/>
    <col bestFit="1" min="65" max="65" width="13.00390625"/>
    <col bestFit="1" min="67" max="67" width="15.8515625"/>
    <col bestFit="1" min="68" max="68" width="18.8515625"/>
    <col bestFit="1" min="70" max="70" width="14.421875"/>
    <col bestFit="1" min="71" max="71" width="13.00390625"/>
    <col bestFit="1" min="73" max="73" width="15.8515625"/>
    <col bestFit="1" min="74" max="74" width="18.8515625"/>
    <col bestFit="1" min="75" max="75" width="10.140625"/>
    <col bestFit="1" min="77" max="77" width="14.421875"/>
    <col bestFit="1" min="78" max="78" width="13.00390625"/>
    <col bestFit="1" min="80" max="80" width="15.8515625"/>
    <col bestFit="1" min="81" max="81" width="18.8515625"/>
    <col customWidth="1" hidden="1" min="82" max="83" style="25" width="0"/>
    <col customWidth="1" hidden="1" min="84" max="96" width="0"/>
    <col bestFit="1" min="97" max="97" width="11.28125"/>
    <col bestFit="1" min="101" max="101" width="10.28125"/>
    <col bestFit="1" min="103" max="103" width="11.28125"/>
    <col customWidth="1" min="104" max="104" width="10.57421875"/>
  </cols>
  <sheetData>
    <row r="1">
      <c r="A1" s="26" t="s">
        <v>25</v>
      </c>
      <c r="B1" s="27" t="s">
        <v>1</v>
      </c>
      <c r="C1" s="23" t="s">
        <v>35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 t="s">
        <v>36</v>
      </c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 t="s">
        <v>37</v>
      </c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 t="s">
        <v>38</v>
      </c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 t="s">
        <v>39</v>
      </c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 t="s">
        <v>40</v>
      </c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7" t="s">
        <v>41</v>
      </c>
      <c r="BX1" s="27" t="s">
        <v>42</v>
      </c>
      <c r="BY1" s="27"/>
      <c r="BZ1" s="27"/>
      <c r="CA1" s="27"/>
      <c r="CB1" s="27"/>
      <c r="CC1" s="27"/>
      <c r="CD1" s="27" t="s">
        <v>43</v>
      </c>
      <c r="CE1" s="27" t="s">
        <v>44</v>
      </c>
      <c r="CF1" s="27" t="s">
        <v>45</v>
      </c>
      <c r="CG1" s="27"/>
      <c r="CH1" s="27"/>
      <c r="CI1" s="27"/>
      <c r="CJ1" s="27"/>
      <c r="CK1" s="27"/>
      <c r="CL1" s="28"/>
      <c r="CM1" s="28"/>
      <c r="CN1" s="28"/>
      <c r="CO1" s="28"/>
      <c r="CP1" s="28"/>
      <c r="CQ1" s="28"/>
      <c r="CR1" s="28"/>
      <c r="CS1" s="29"/>
      <c r="CT1" s="29"/>
      <c r="CU1" s="29"/>
      <c r="CV1" s="29"/>
      <c r="CW1" s="29"/>
      <c r="CX1" s="29"/>
      <c r="CY1" s="29"/>
      <c r="CZ1" s="29"/>
    </row>
    <row r="2">
      <c r="A2" s="26"/>
      <c r="B2" s="27"/>
      <c r="C2" s="23" t="s">
        <v>46</v>
      </c>
      <c r="D2" s="23"/>
      <c r="E2" s="23"/>
      <c r="F2" s="23"/>
      <c r="G2" s="23"/>
      <c r="H2" s="23"/>
      <c r="I2" s="23" t="s">
        <v>47</v>
      </c>
      <c r="J2" s="23"/>
      <c r="K2" s="23"/>
      <c r="L2" s="23"/>
      <c r="M2" s="23"/>
      <c r="N2" s="23"/>
      <c r="O2" s="23" t="s">
        <v>46</v>
      </c>
      <c r="P2" s="23"/>
      <c r="Q2" s="23"/>
      <c r="R2" s="23"/>
      <c r="S2" s="23"/>
      <c r="T2" s="23"/>
      <c r="U2" s="23" t="s">
        <v>47</v>
      </c>
      <c r="V2" s="23"/>
      <c r="W2" s="23"/>
      <c r="X2" s="23"/>
      <c r="Y2" s="23"/>
      <c r="Z2" s="23"/>
      <c r="AA2" s="23" t="s">
        <v>46</v>
      </c>
      <c r="AB2" s="23"/>
      <c r="AC2" s="23"/>
      <c r="AD2" s="23"/>
      <c r="AE2" s="23"/>
      <c r="AF2" s="23"/>
      <c r="AG2" s="23" t="s">
        <v>47</v>
      </c>
      <c r="AH2" s="23"/>
      <c r="AI2" s="23"/>
      <c r="AJ2" s="23"/>
      <c r="AK2" s="23"/>
      <c r="AL2" s="23"/>
      <c r="AM2" s="23" t="s">
        <v>46</v>
      </c>
      <c r="AN2" s="23"/>
      <c r="AO2" s="23"/>
      <c r="AP2" s="23"/>
      <c r="AQ2" s="23"/>
      <c r="AR2" s="23"/>
      <c r="AS2" s="23" t="s">
        <v>47</v>
      </c>
      <c r="AT2" s="23"/>
      <c r="AU2" s="23"/>
      <c r="AV2" s="23"/>
      <c r="AW2" s="23"/>
      <c r="AX2" s="23"/>
      <c r="AY2" s="23" t="s">
        <v>46</v>
      </c>
      <c r="AZ2" s="23"/>
      <c r="BA2" s="23"/>
      <c r="BB2" s="23"/>
      <c r="BC2" s="23"/>
      <c r="BD2" s="23"/>
      <c r="BE2" s="23" t="s">
        <v>47</v>
      </c>
      <c r="BF2" s="23"/>
      <c r="BG2" s="23"/>
      <c r="BH2" s="23"/>
      <c r="BI2" s="23"/>
      <c r="BJ2" s="23"/>
      <c r="BK2" s="23" t="s">
        <v>46</v>
      </c>
      <c r="BL2" s="23"/>
      <c r="BM2" s="23"/>
      <c r="BN2" s="23"/>
      <c r="BO2" s="23"/>
      <c r="BP2" s="23"/>
      <c r="BQ2" s="23" t="s">
        <v>47</v>
      </c>
      <c r="BR2" s="23"/>
      <c r="BS2" s="23"/>
      <c r="BT2" s="23"/>
      <c r="BU2" s="23"/>
      <c r="BV2" s="23"/>
      <c r="BW2" s="26"/>
      <c r="BX2" s="27"/>
      <c r="BY2" s="27"/>
      <c r="BZ2" s="27"/>
      <c r="CA2" s="27"/>
      <c r="CB2" s="27"/>
      <c r="CC2" s="27"/>
      <c r="CD2" s="26"/>
      <c r="CE2" s="26"/>
      <c r="CF2" s="27"/>
      <c r="CG2" s="27"/>
      <c r="CH2" s="27"/>
      <c r="CI2" s="27"/>
      <c r="CJ2" s="27"/>
      <c r="CK2" s="27"/>
      <c r="CL2" s="28"/>
      <c r="CM2" s="28"/>
      <c r="CN2" s="28"/>
      <c r="CO2" s="28"/>
      <c r="CP2" s="28"/>
      <c r="CQ2" s="28"/>
      <c r="CR2" s="28"/>
      <c r="CS2" s="29"/>
      <c r="CT2" s="29"/>
      <c r="CU2" s="29"/>
      <c r="CV2" s="29"/>
      <c r="CW2" s="29"/>
      <c r="CX2" s="29"/>
      <c r="CY2" s="29"/>
      <c r="CZ2" s="29"/>
    </row>
    <row r="3">
      <c r="A3" s="30"/>
      <c r="B3" s="31"/>
      <c r="C3" s="32" t="s">
        <v>48</v>
      </c>
      <c r="D3" s="32" t="s">
        <v>49</v>
      </c>
      <c r="E3" s="32" t="s">
        <v>50</v>
      </c>
      <c r="F3" s="32" t="s">
        <v>51</v>
      </c>
      <c r="G3" s="33" t="s">
        <v>52</v>
      </c>
      <c r="H3" s="33" t="s">
        <v>53</v>
      </c>
      <c r="I3" s="32" t="s">
        <v>48</v>
      </c>
      <c r="J3" s="32" t="s">
        <v>49</v>
      </c>
      <c r="K3" s="32" t="s">
        <v>50</v>
      </c>
      <c r="L3" s="32" t="s">
        <v>51</v>
      </c>
      <c r="M3" s="33" t="s">
        <v>52</v>
      </c>
      <c r="N3" s="33" t="s">
        <v>53</v>
      </c>
      <c r="O3" s="32" t="s">
        <v>48</v>
      </c>
      <c r="P3" s="32" t="s">
        <v>49</v>
      </c>
      <c r="Q3" s="32" t="s">
        <v>50</v>
      </c>
      <c r="R3" s="32" t="s">
        <v>51</v>
      </c>
      <c r="S3" s="33" t="s">
        <v>52</v>
      </c>
      <c r="T3" s="33" t="s">
        <v>53</v>
      </c>
      <c r="U3" s="32" t="s">
        <v>48</v>
      </c>
      <c r="V3" s="32" t="s">
        <v>49</v>
      </c>
      <c r="W3" s="32" t="s">
        <v>50</v>
      </c>
      <c r="X3" s="32" t="s">
        <v>51</v>
      </c>
      <c r="Y3" s="33" t="s">
        <v>52</v>
      </c>
      <c r="Z3" s="33" t="s">
        <v>53</v>
      </c>
      <c r="AA3" s="32" t="s">
        <v>48</v>
      </c>
      <c r="AB3" s="32" t="s">
        <v>49</v>
      </c>
      <c r="AC3" s="32" t="s">
        <v>50</v>
      </c>
      <c r="AD3" s="32" t="s">
        <v>51</v>
      </c>
      <c r="AE3" s="33" t="s">
        <v>52</v>
      </c>
      <c r="AF3" s="33" t="s">
        <v>53</v>
      </c>
      <c r="AG3" s="32" t="s">
        <v>48</v>
      </c>
      <c r="AH3" s="32" t="s">
        <v>49</v>
      </c>
      <c r="AI3" s="32" t="s">
        <v>50</v>
      </c>
      <c r="AJ3" s="32" t="s">
        <v>51</v>
      </c>
      <c r="AK3" s="33" t="s">
        <v>52</v>
      </c>
      <c r="AL3" s="33" t="s">
        <v>53</v>
      </c>
      <c r="AM3" s="32" t="s">
        <v>48</v>
      </c>
      <c r="AN3" s="32" t="s">
        <v>49</v>
      </c>
      <c r="AO3" s="32" t="s">
        <v>50</v>
      </c>
      <c r="AP3" s="32" t="s">
        <v>51</v>
      </c>
      <c r="AQ3" s="33" t="s">
        <v>52</v>
      </c>
      <c r="AR3" s="33" t="s">
        <v>53</v>
      </c>
      <c r="AS3" s="32" t="s">
        <v>48</v>
      </c>
      <c r="AT3" s="32" t="s">
        <v>49</v>
      </c>
      <c r="AU3" s="32" t="s">
        <v>50</v>
      </c>
      <c r="AV3" s="32" t="s">
        <v>51</v>
      </c>
      <c r="AW3" s="33" t="s">
        <v>52</v>
      </c>
      <c r="AX3" s="33" t="s">
        <v>53</v>
      </c>
      <c r="AY3" s="32" t="s">
        <v>48</v>
      </c>
      <c r="AZ3" s="32" t="s">
        <v>49</v>
      </c>
      <c r="BA3" s="32" t="s">
        <v>50</v>
      </c>
      <c r="BB3" s="32" t="s">
        <v>51</v>
      </c>
      <c r="BC3" s="33" t="s">
        <v>52</v>
      </c>
      <c r="BD3" s="33" t="s">
        <v>53</v>
      </c>
      <c r="BE3" s="32" t="s">
        <v>48</v>
      </c>
      <c r="BF3" s="32" t="s">
        <v>49</v>
      </c>
      <c r="BG3" s="32" t="s">
        <v>50</v>
      </c>
      <c r="BH3" s="32" t="s">
        <v>51</v>
      </c>
      <c r="BI3" s="33" t="s">
        <v>52</v>
      </c>
      <c r="BJ3" s="33" t="s">
        <v>53</v>
      </c>
      <c r="BK3" s="32" t="s">
        <v>48</v>
      </c>
      <c r="BL3" s="32" t="s">
        <v>49</v>
      </c>
      <c r="BM3" s="32" t="s">
        <v>50</v>
      </c>
      <c r="BN3" s="32" t="s">
        <v>51</v>
      </c>
      <c r="BO3" s="33" t="s">
        <v>52</v>
      </c>
      <c r="BP3" s="33" t="s">
        <v>53</v>
      </c>
      <c r="BQ3" s="32" t="s">
        <v>48</v>
      </c>
      <c r="BR3" s="32" t="s">
        <v>49</v>
      </c>
      <c r="BS3" s="32" t="s">
        <v>50</v>
      </c>
      <c r="BT3" s="32" t="s">
        <v>51</v>
      </c>
      <c r="BU3" s="33" t="s">
        <v>52</v>
      </c>
      <c r="BV3" s="33" t="s">
        <v>53</v>
      </c>
      <c r="BW3" s="30"/>
      <c r="BX3" s="32" t="s">
        <v>48</v>
      </c>
      <c r="BY3" s="32" t="s">
        <v>49</v>
      </c>
      <c r="BZ3" s="32" t="s">
        <v>50</v>
      </c>
      <c r="CA3" s="32" t="s">
        <v>51</v>
      </c>
      <c r="CB3" s="33" t="s">
        <v>52</v>
      </c>
      <c r="CC3" s="33" t="s">
        <v>53</v>
      </c>
      <c r="CD3" s="30"/>
      <c r="CE3" s="30"/>
      <c r="CF3" s="32" t="s">
        <v>48</v>
      </c>
      <c r="CG3" s="32" t="s">
        <v>49</v>
      </c>
      <c r="CH3" s="32" t="s">
        <v>50</v>
      </c>
      <c r="CI3" s="32" t="s">
        <v>51</v>
      </c>
      <c r="CJ3" s="33" t="s">
        <v>52</v>
      </c>
      <c r="CK3" s="33" t="s">
        <v>53</v>
      </c>
      <c r="CL3" s="32" t="s">
        <v>48</v>
      </c>
      <c r="CM3" s="32" t="s">
        <v>49</v>
      </c>
      <c r="CN3" s="32" t="s">
        <v>50</v>
      </c>
      <c r="CO3" s="32" t="s">
        <v>51</v>
      </c>
      <c r="CP3" s="33" t="s">
        <v>52</v>
      </c>
      <c r="CQ3" s="33" t="s">
        <v>53</v>
      </c>
      <c r="CR3" s="34" t="s">
        <v>54</v>
      </c>
      <c r="CS3" s="29" t="s">
        <v>55</v>
      </c>
      <c r="CT3" s="29" t="s">
        <v>56</v>
      </c>
      <c r="CU3" s="29" t="s">
        <v>57</v>
      </c>
      <c r="CV3" s="29" t="s">
        <v>58</v>
      </c>
      <c r="CW3" s="29" t="s">
        <v>59</v>
      </c>
      <c r="CX3" s="29" t="s">
        <v>57</v>
      </c>
      <c r="CY3" s="29" t="s">
        <v>60</v>
      </c>
      <c r="CZ3" s="35" t="s">
        <v>61</v>
      </c>
      <c r="DA3" t="s">
        <v>59</v>
      </c>
    </row>
    <row r="4">
      <c r="A4" s="36" t="s">
        <v>9</v>
      </c>
      <c r="B4" s="37" t="s">
        <v>10</v>
      </c>
      <c r="C4" s="38">
        <f>'Много_кол_бло_огр'!$C4*'блоки_площади_огражд'!$B3</f>
        <v>0</v>
      </c>
      <c r="D4" s="38">
        <f>'Много_кол_бло_огр'!$C4*'блоки_площади_огражд'!$B3</f>
        <v>0</v>
      </c>
      <c r="E4" s="38">
        <f>'Много_кол_бло_огр'!$C4*'блоки_площади_огражд'!$B3</f>
        <v>0</v>
      </c>
      <c r="F4" s="38">
        <f>'Много_кол_бло_огр'!$C4*'блоки_площади_огражд'!$B3</f>
        <v>0</v>
      </c>
      <c r="G4" s="38">
        <f>'Много_кол_бло_огр'!$C4*'блоки_площади_огражд'!$B3</f>
        <v>0</v>
      </c>
      <c r="H4" s="38">
        <f>'Много_кол_бло_огр'!$C4*'блоки_площади_огражд'!$B3</f>
        <v>0</v>
      </c>
      <c r="I4" s="39">
        <f>'Много_кол_бло_огр'!$D4*'блоки_площади_огражд'!B$4</f>
        <v>0</v>
      </c>
      <c r="J4" s="39">
        <f>'Много_кол_бло_огр'!$D4*'блоки_площади_огражд'!C$4</f>
        <v>0</v>
      </c>
      <c r="K4" s="39">
        <f>'Много_кол_бло_огр'!$D4*'блоки_площади_огражд'!D$4</f>
        <v>0</v>
      </c>
      <c r="L4" s="39">
        <f>'Много_кол_бло_огр'!$D4*'блоки_площади_огражд'!E$4</f>
        <v>0</v>
      </c>
      <c r="M4" s="39">
        <f>'Много_кол_бло_огр'!$D4*'блоки_площади_огражд'!F$4</f>
        <v>0</v>
      </c>
      <c r="N4" s="39">
        <f>'Много_кол_бло_огр'!$D4*'блоки_площади_огражд'!G$4</f>
        <v>0</v>
      </c>
      <c r="O4" s="38">
        <f>'Много_кол_бло_огр'!$D4*'блоки_площади_огражд'!B$5</f>
        <v>0</v>
      </c>
      <c r="P4" s="38">
        <f>'Много_кол_бло_огр'!$D4*'блоки_площади_огражд'!C$5</f>
        <v>0</v>
      </c>
      <c r="Q4" s="38">
        <f>'Много_кол_бло_огр'!$D4*'блоки_площади_огражд'!D$5</f>
        <v>0</v>
      </c>
      <c r="R4" s="38">
        <f>'Много_кол_бло_огр'!$D4*'блоки_площади_огражд'!E$5</f>
        <v>0</v>
      </c>
      <c r="S4" s="38">
        <f>'Много_кол_бло_огр'!$D4*'блоки_площади_огражд'!F$5</f>
        <v>0</v>
      </c>
      <c r="T4" s="38">
        <f>'Много_кол_бло_огр'!$D4*'блоки_площади_огражд'!G$5</f>
        <v>0</v>
      </c>
      <c r="U4" s="39">
        <f>'Много_кол_бло_огр'!$D4*'блоки_площади_огражд'!B$6</f>
        <v>0</v>
      </c>
      <c r="V4" s="39">
        <f>'Много_кол_бло_огр'!$D4*'блоки_площади_огражд'!C$6</f>
        <v>0</v>
      </c>
      <c r="W4" s="39">
        <f>'Много_кол_бло_огр'!$D4*'блоки_площади_огражд'!D$6</f>
        <v>0</v>
      </c>
      <c r="X4" s="39">
        <f>'Много_кол_бло_огр'!$D4*'блоки_площади_огражд'!E$6</f>
        <v>0</v>
      </c>
      <c r="Y4" s="39">
        <f>'Много_кол_бло_огр'!$D4*'блоки_площади_огражд'!F$6</f>
        <v>0</v>
      </c>
      <c r="Z4" s="39">
        <f>'Много_кол_бло_огр'!$D4*'блоки_площади_огражд'!G$6</f>
        <v>0</v>
      </c>
      <c r="AA4" s="38">
        <f>'Много_кол_бло_огр'!$E4*'блоки_площади_огражд'!B$7</f>
        <v>513.59999999999991</v>
      </c>
      <c r="AB4" s="38">
        <f>'Много_кол_бло_огр'!$E4*'блоки_площади_огражд'!C$7</f>
        <v>321.59999999999997</v>
      </c>
      <c r="AC4" s="38">
        <f>'Много_кол_бло_огр'!$E4*'блоки_площади_огражд'!D$7</f>
        <v>208.08000000000004</v>
      </c>
      <c r="AD4" s="38">
        <f>'Много_кол_бло_огр'!$E4*'блоки_площади_огражд'!E$7</f>
        <v>15.120000000000001</v>
      </c>
      <c r="AE4" s="38">
        <f>'Много_кол_бло_огр'!$E4*'блоки_площади_огражд'!F$7</f>
        <v>2119.8000000000002</v>
      </c>
      <c r="AF4" s="38">
        <f>'Много_кол_бло_огр'!$E4*'блоки_площади_огражд'!G$7</f>
        <v>0</v>
      </c>
      <c r="AG4" s="39">
        <f>'Много_кол_бло_огр'!$E4*'блоки_площади_огражд'!B$8</f>
        <v>514.31999999999994</v>
      </c>
      <c r="AH4" s="39">
        <f>'Много_кол_бло_огр'!$E4*'блоки_площади_огражд'!C$8</f>
        <v>336</v>
      </c>
      <c r="AI4" s="39">
        <f>'Много_кол_бло_огр'!$E4*'блоки_площади_огражд'!D$8</f>
        <v>208.08000000000004</v>
      </c>
      <c r="AJ4" s="39">
        <f>'Много_кол_бло_огр'!$E4*'блоки_площади_огражд'!E$8</f>
        <v>0</v>
      </c>
      <c r="AK4" s="39">
        <f>'Много_кол_бло_огр'!$E4*'блоки_площади_огражд'!F$8</f>
        <v>0</v>
      </c>
      <c r="AL4" s="39">
        <f>'Много_кол_бло_огр'!$E4*'блоки_площади_огражд'!G$8</f>
        <v>2119.8000000000002</v>
      </c>
      <c r="AM4" s="38">
        <f>'Много_кол_бло_огр'!$F4*'блоки_площади_огражд'!B$9</f>
        <v>260.96000000000004</v>
      </c>
      <c r="AN4" s="38">
        <f>'Много_кол_бло_огр'!$F4*'блоки_площади_огражд'!C$9</f>
        <v>107.19999999999999</v>
      </c>
      <c r="AO4" s="38">
        <f>'Много_кол_бло_огр'!$F4*'блоки_площади_огражд'!D$9</f>
        <v>83.159999999999997</v>
      </c>
      <c r="AP4" s="38">
        <f>'Много_кол_бло_огр'!$F4*'блоки_площади_огражд'!E$9</f>
        <v>5.04</v>
      </c>
      <c r="AQ4" s="38">
        <f>'Много_кол_бло_огр'!$F4*'блоки_площади_огражд'!F$9</f>
        <v>706.60000000000002</v>
      </c>
      <c r="AR4" s="38">
        <f>'Много_кол_бло_огр'!$F4*'блоки_площади_огражд'!G$9</f>
        <v>0</v>
      </c>
      <c r="AS4" s="39">
        <f>'Много_кол_бло_огр'!$F4*'блоки_площади_огражд'!B$10</f>
        <v>261.20000000000005</v>
      </c>
      <c r="AT4" s="39">
        <f>'Много_кол_бло_огр'!$F4*'блоки_площади_огражд'!C$10</f>
        <v>112</v>
      </c>
      <c r="AU4" s="39">
        <f>'Много_кол_бло_огр'!$F4*'блоки_площади_огражд'!D$10</f>
        <v>83.159999999999997</v>
      </c>
      <c r="AV4" s="39">
        <f>'Много_кол_бло_огр'!$F4*'блоки_площади_огражд'!E$10</f>
        <v>0</v>
      </c>
      <c r="AW4" s="39">
        <f>'Много_кол_бло_огр'!$F4*'блоки_площади_огражд'!F$10</f>
        <v>0</v>
      </c>
      <c r="AX4" s="39">
        <f>'Много_кол_бло_огр'!$F4*'блоки_площади_огражд'!G$10</f>
        <v>706.60000000000002</v>
      </c>
      <c r="AY4" s="38">
        <f>'Много_кол_бло_огр'!$G4*'блоки_площади_огражд'!B$11</f>
        <v>107.41999999999999</v>
      </c>
      <c r="AZ4" s="38">
        <f>'Много_кол_бло_огр'!$G4*'блоки_площади_огражд'!C$11</f>
        <v>44.560000000000002</v>
      </c>
      <c r="BA4" s="38">
        <f>'Много_кол_бло_огр'!$G4*'блоки_площади_огражд'!D$11</f>
        <v>30.420000000000002</v>
      </c>
      <c r="BB4" s="38">
        <f>'Много_кол_бло_огр'!$G4*'блоки_площади_огражд'!E$11</f>
        <v>2.52</v>
      </c>
      <c r="BC4" s="38">
        <f>'Много_кол_бло_огр'!$G4*'блоки_площади_огражд'!F$11</f>
        <v>355.80000000000001</v>
      </c>
      <c r="BD4" s="38">
        <f>'Много_кол_бло_огр'!$G4*'блоки_площади_огражд'!G$11</f>
        <v>0</v>
      </c>
      <c r="BE4" s="39">
        <f>'Много_кол_бло_огр'!$G4*'блоки_площади_огражд'!B$12</f>
        <v>105.53999999999999</v>
      </c>
      <c r="BF4" s="39">
        <f>'Много_кол_бло_огр'!$G4*'блоки_площади_огражд'!C$12</f>
        <v>48.960000000000001</v>
      </c>
      <c r="BG4" s="39">
        <f>'Много_кол_бло_огр'!$G4*'блоки_площади_огражд'!D$12</f>
        <v>30.420000000000002</v>
      </c>
      <c r="BH4" s="39">
        <f>'Много_кол_бло_огр'!$G4*'блоки_площади_огражд'!E$12</f>
        <v>0</v>
      </c>
      <c r="BI4" s="39">
        <f>'Много_кол_бло_огр'!$G4*'блоки_площади_огражд'!F$12</f>
        <v>0</v>
      </c>
      <c r="BJ4" s="39">
        <f>'Много_кол_бло_огр'!$G4*'блоки_площади_огражд'!G$12</f>
        <v>355.80000000000001</v>
      </c>
      <c r="BK4" s="38">
        <f>'Много_кол_бло_огр'!$H4*'блоки_площади_огражд'!B$13</f>
        <v>0</v>
      </c>
      <c r="BL4" s="38">
        <f>'Много_кол_бло_огр'!$H4*'блоки_площади_огражд'!C$13</f>
        <v>0</v>
      </c>
      <c r="BM4" s="38">
        <f>'Много_кол_бло_огр'!$H4*'блоки_площади_огражд'!D$13</f>
        <v>0</v>
      </c>
      <c r="BN4" s="38">
        <f>'Много_кол_бло_огр'!$H4*'блоки_площади_огражд'!E$13</f>
        <v>0</v>
      </c>
      <c r="BO4" s="38">
        <f>'Много_кол_бло_огр'!$H4*'блоки_площади_огражд'!F$13</f>
        <v>0</v>
      </c>
      <c r="BP4" s="38">
        <f>'Много_кол_бло_огр'!$H4*'блоки_площади_огражд'!G$13</f>
        <v>0</v>
      </c>
      <c r="BQ4" s="39">
        <f>'Много_кол_бло_огр'!$H4*'блоки_площади_огражд'!B$14</f>
        <v>0</v>
      </c>
      <c r="BR4" s="39">
        <f>'Много_кол_бло_огр'!$H4*'блоки_площади_огражд'!C$14</f>
        <v>0</v>
      </c>
      <c r="BS4" s="39">
        <f>'Много_кол_бло_огр'!$H4*'блоки_площади_огражд'!D$14</f>
        <v>0</v>
      </c>
      <c r="BT4" s="39">
        <f>'Много_кол_бло_огр'!$H4*'блоки_площади_огражд'!E$14</f>
        <v>0</v>
      </c>
      <c r="BU4" s="39">
        <f>'Много_кол_бло_огр'!$H4*'блоки_площади_огражд'!F$14</f>
        <v>0</v>
      </c>
      <c r="BV4" s="39">
        <f>'Много_кол_бло_огр'!$H4*'блоки_площади_огражд'!G$14</f>
        <v>0</v>
      </c>
      <c r="BW4" s="40">
        <v>8</v>
      </c>
      <c r="BX4" s="38">
        <f t="shared" ref="BX4:BX9" si="2">C4+I4*($BW4-1)+O4+U4*($BW4-1)+AA4+AG4*($BW4-1)+AM4+AS4*($BW4-1)+AY4+BE4*($BW4-1)+BK4+BQ4*($BW4-1)</f>
        <v>7049.4000000000005</v>
      </c>
      <c r="BY4" s="38">
        <f t="shared" ref="BY4:BY9" si="3">D4+J4*($BW4-1)+P4+V4*($BW4-1)+AB4+AH4*($BW4-1)+AN4+AT4*($BW4-1)+AZ4+BF4*($BW4-1)+BL4+BR4*($BW4-1)</f>
        <v>3952.0799999999999</v>
      </c>
      <c r="BZ4" s="38">
        <f t="shared" ref="BZ4:BZ9" si="4">E4+K4*($BW4-1)+Q4+W4*($BW4-1)+AC4+AI4*($BW4-1)+AO4+AU4*($BW4-1)+BA4+BG4*($BW4-1)+BM4+BS4*($BW4-1)</f>
        <v>2573.2800000000007</v>
      </c>
      <c r="CA4" s="38">
        <f t="shared" ref="CA4:CA9" si="5">F4+L4*($BW4-1)+R4+X4*($BW4-1)+AD4+AJ4*($BW4-1)+AP4+AV4*($BW4-1)+BB4+BH4*($BW4-1)+BN4+BT4*($BW4-1)</f>
        <v>22.68</v>
      </c>
      <c r="CB4" s="38">
        <f t="shared" ref="CB4:CB9" si="6">G4+M4+S4+Y4+AE4+AK4+AQ4+AW4+BC4+BI4+BO4+BU4</f>
        <v>3182.2000000000003</v>
      </c>
      <c r="CC4" s="38">
        <f t="shared" ref="CC4:CC9" si="7">H4+N4+T4+Z4+AF4+AL4+AR4+AX4+BD4+BJ4+BP4+BV4</f>
        <v>3182.2000000000003</v>
      </c>
      <c r="CD4" s="39">
        <v>22</v>
      </c>
      <c r="CE4" s="39">
        <v>-34</v>
      </c>
      <c r="CF4" s="41">
        <v>3.8500000000000001</v>
      </c>
      <c r="CG4" s="42">
        <v>0.46999999999999997</v>
      </c>
      <c r="CH4" s="42">
        <v>0.28000000000000003</v>
      </c>
      <c r="CI4" s="42">
        <v>0.46999999999999997</v>
      </c>
      <c r="CJ4" s="42">
        <v>1.3600000000000001</v>
      </c>
      <c r="CK4" s="42">
        <v>1.3600000000000001</v>
      </c>
      <c r="CL4" s="42">
        <f t="shared" ref="CL4:CL9" si="8">BX4*(($CD4-$CE4)/CF4)</f>
        <v>102536.72727272728</v>
      </c>
      <c r="CM4" s="42">
        <f t="shared" ref="CM4:CM9" si="9">BY4*(($CD4-$CE4)/CG4)</f>
        <v>470886.1276595745</v>
      </c>
      <c r="CN4" s="42">
        <f t="shared" ref="CN4:CN9" si="10">BZ4*(($CD4-$CE4)/CH4)</f>
        <v>514656.00000000006</v>
      </c>
      <c r="CO4" s="42">
        <f t="shared" ref="CO4:CO9" si="11">CA4*(($CD4-$CE4)/CI4)</f>
        <v>2702.2978723404258</v>
      </c>
      <c r="CP4" s="42">
        <f t="shared" ref="CP4:CP9" si="12">CB4*(($CD4-$CE4)/CJ4)</f>
        <v>131031.76470588235</v>
      </c>
      <c r="CQ4" s="42">
        <f t="shared" ref="CQ4:CQ9" si="13">CC4*(($CD4-$CE4)/CK4)</f>
        <v>131031.76470588235</v>
      </c>
      <c r="CR4" s="38">
        <f t="shared" ref="CR4:CR9" si="14">SUM(CL4:CQ4)</f>
        <v>1352844.6822164073</v>
      </c>
      <c r="CS4" s="43"/>
      <c r="CT4" s="43"/>
      <c r="CU4" s="43">
        <f t="shared" ref="CU4:CU9" si="15">CT4*0.000001</f>
        <v>0</v>
      </c>
      <c r="CV4" s="43"/>
      <c r="CW4" s="43">
        <v>2250146.2999999998</v>
      </c>
      <c r="CX4" s="43">
        <f t="shared" ref="CX4:CX9" si="16">CW4*0.000001*0.859845</f>
        <v>1.9347770453234998</v>
      </c>
      <c r="CY4" s="44">
        <f t="shared" ref="CY4:CY9" si="17">CX4*154</f>
        <v>297.95566497981895</v>
      </c>
      <c r="CZ4" s="29"/>
    </row>
    <row r="5">
      <c r="A5" s="45"/>
      <c r="B5" s="46" t="s">
        <v>12</v>
      </c>
      <c r="C5" s="47">
        <f>Много_кол_бло_огр!$C5*блоки_площади_огражд!$B4</f>
        <v>0</v>
      </c>
      <c r="D5" s="47">
        <f>Много_кол_бло_огр!$C5*блоки_площади_огражд!$B4</f>
        <v>0</v>
      </c>
      <c r="E5" s="47">
        <f>Много_кол_бло_огр!$C5*блоки_площади_огражд!$B4</f>
        <v>0</v>
      </c>
      <c r="F5" s="47">
        <f>Много_кол_бло_огр!$C5*блоки_площади_огражд!$B4</f>
        <v>0</v>
      </c>
      <c r="G5" s="47">
        <f>Много_кол_бло_огр!$C5*блоки_площади_огражд!$B4</f>
        <v>0</v>
      </c>
      <c r="H5" s="47">
        <f>Много_кол_бло_огр!$C5*блоки_площади_огражд!$B4</f>
        <v>0</v>
      </c>
      <c r="I5" s="28">
        <f>Много_кол_бло_огр!$D5*блоки_площади_огражд!B$4</f>
        <v>0</v>
      </c>
      <c r="J5" s="28">
        <f>Много_кол_бло_огр!$D5*блоки_площади_огражд!C$4</f>
        <v>0</v>
      </c>
      <c r="K5" s="28">
        <f>Много_кол_бло_огр!$D5*блоки_площади_огражд!D$4</f>
        <v>0</v>
      </c>
      <c r="L5" s="28">
        <f>Много_кол_бло_огр!$D5*блоки_площади_огражд!E$4</f>
        <v>0</v>
      </c>
      <c r="M5" s="28">
        <f>Много_кол_бло_огр!$D5*блоки_площади_огражд!F$4</f>
        <v>0</v>
      </c>
      <c r="N5" s="28">
        <f>Много_кол_бло_огр!$D5*блоки_площади_огражд!G$4</f>
        <v>0</v>
      </c>
      <c r="O5" s="47">
        <f>Много_кол_бло_огр!$D5*блоки_площади_огражд!B$5</f>
        <v>0</v>
      </c>
      <c r="P5" s="47">
        <f>Много_кол_бло_огр!$D5*блоки_площади_огражд!C$5</f>
        <v>0</v>
      </c>
      <c r="Q5" s="47">
        <f>Много_кол_бло_огр!$D5*блоки_площади_огражд!D$5</f>
        <v>0</v>
      </c>
      <c r="R5" s="47">
        <f>Много_кол_бло_огр!$D5*блоки_площади_огражд!E$5</f>
        <v>0</v>
      </c>
      <c r="S5" s="47">
        <f>Много_кол_бло_огр!$D5*блоки_площади_огражд!F$5</f>
        <v>0</v>
      </c>
      <c r="T5" s="47">
        <f>Много_кол_бло_огр!$D5*блоки_площади_огражд!G$5</f>
        <v>0</v>
      </c>
      <c r="U5" s="28">
        <f>Много_кол_бло_огр!$D5*блоки_площади_огражд!B$6</f>
        <v>0</v>
      </c>
      <c r="V5" s="28">
        <f>Много_кол_бло_огр!$D5*блоки_площади_огражд!C$6</f>
        <v>0</v>
      </c>
      <c r="W5" s="28">
        <f>Много_кол_бло_огр!$D5*блоки_площади_огражд!D$6</f>
        <v>0</v>
      </c>
      <c r="X5" s="28">
        <f>Много_кол_бло_огр!$D5*блоки_площади_огражд!E$6</f>
        <v>0</v>
      </c>
      <c r="Y5" s="28">
        <f>Много_кол_бло_огр!$D5*блоки_площади_огражд!F$6</f>
        <v>0</v>
      </c>
      <c r="Z5" s="28">
        <f>Много_кол_бло_огр!$D5*блоки_площади_огражд!G$6</f>
        <v>0</v>
      </c>
      <c r="AA5" s="47">
        <f>Много_кол_бло_огр!$E5*блоки_площади_огражд!B$7</f>
        <v>599.19999999999993</v>
      </c>
      <c r="AB5" s="47">
        <f>Много_кол_бло_огр!$E5*блоки_площади_огражд!C$7</f>
        <v>375.19999999999993</v>
      </c>
      <c r="AC5" s="47">
        <f>Много_кол_бло_огр!$E5*блоки_площади_огражд!D$7</f>
        <v>242.76000000000005</v>
      </c>
      <c r="AD5" s="47">
        <f>Много_кол_бло_огр!$E5*блоки_площади_огражд!E$7</f>
        <v>17.640000000000001</v>
      </c>
      <c r="AE5" s="47">
        <f>Много_кол_бло_огр!$E5*блоки_площади_огражд!F$7</f>
        <v>2473.0999999999999</v>
      </c>
      <c r="AF5" s="47">
        <f>Много_кол_бло_огр!$E5*блоки_площади_огражд!G$7</f>
        <v>0</v>
      </c>
      <c r="AG5" s="28">
        <f>Много_кол_бло_огр!$E5*блоки_площади_огражд!B$8</f>
        <v>600.03999999999996</v>
      </c>
      <c r="AH5" s="28">
        <f>Много_кол_бло_огр!$E5*блоки_площади_огражд!C$8</f>
        <v>392</v>
      </c>
      <c r="AI5" s="28">
        <f>Много_кол_бло_огр!$E5*блоки_площади_огражд!D$8</f>
        <v>242.76000000000005</v>
      </c>
      <c r="AJ5" s="28">
        <f>Много_кол_бло_огр!$E5*блоки_площади_огражд!E$8</f>
        <v>0</v>
      </c>
      <c r="AK5" s="28">
        <f>Много_кол_бло_огр!$E5*блоки_площади_огражд!F$8</f>
        <v>0</v>
      </c>
      <c r="AL5" s="28">
        <f>Много_кол_бло_огр!$E5*блоки_площади_огражд!G$8</f>
        <v>2473.0999999999999</v>
      </c>
      <c r="AM5" s="47">
        <f>Много_кол_бло_огр!$F5*блоки_площади_огражд!B$9</f>
        <v>260.96000000000004</v>
      </c>
      <c r="AN5" s="47">
        <f>Много_кол_бло_огр!$F5*блоки_площади_огражд!C$9</f>
        <v>107.19999999999999</v>
      </c>
      <c r="AO5" s="47">
        <f>Много_кол_бло_огр!$F5*блоки_площади_огражд!D$9</f>
        <v>83.159999999999997</v>
      </c>
      <c r="AP5" s="47">
        <f>Много_кол_бло_огр!$F5*блоки_площади_огражд!E$9</f>
        <v>5.04</v>
      </c>
      <c r="AQ5" s="47">
        <f>Много_кол_бло_огр!$F5*блоки_площади_огражд!F$9</f>
        <v>706.60000000000002</v>
      </c>
      <c r="AR5" s="47">
        <f>Много_кол_бло_огр!$F5*блоки_площади_огражд!G$9</f>
        <v>0</v>
      </c>
      <c r="AS5" s="28">
        <f>Много_кол_бло_огр!$F5*блоки_площади_огражд!B$10</f>
        <v>261.20000000000005</v>
      </c>
      <c r="AT5" s="28">
        <f>Много_кол_бло_огр!$F5*блоки_площади_огражд!C$10</f>
        <v>112</v>
      </c>
      <c r="AU5" s="28">
        <f>Много_кол_бло_огр!$F5*блоки_площади_огражд!D$10</f>
        <v>83.159999999999997</v>
      </c>
      <c r="AV5" s="28">
        <f>Много_кол_бло_огр!$F5*блоки_площади_огражд!E$10</f>
        <v>0</v>
      </c>
      <c r="AW5" s="28">
        <f>Много_кол_бло_огр!$F5*блоки_площади_огражд!F$10</f>
        <v>0</v>
      </c>
      <c r="AX5" s="28">
        <f>Много_кол_бло_огр!$F5*блоки_площади_огражд!G$10</f>
        <v>706.60000000000002</v>
      </c>
      <c r="AY5" s="47">
        <f>Много_кол_бло_огр!$G5*блоки_площади_огражд!B$11</f>
        <v>107.41999999999999</v>
      </c>
      <c r="AZ5" s="47">
        <f>Много_кол_бло_огр!$G5*блоки_площади_огражд!C$11</f>
        <v>44.560000000000002</v>
      </c>
      <c r="BA5" s="47">
        <f>Много_кол_бло_огр!$G5*блоки_площади_огражд!D$11</f>
        <v>30.420000000000002</v>
      </c>
      <c r="BB5" s="47">
        <f>Много_кол_бло_огр!$G5*блоки_площади_огражд!E$11</f>
        <v>2.52</v>
      </c>
      <c r="BC5" s="47">
        <f>Много_кол_бло_огр!$G5*блоки_площади_огражд!F$11</f>
        <v>355.80000000000001</v>
      </c>
      <c r="BD5" s="47">
        <f>Много_кол_бло_огр!$G5*блоки_площади_огражд!G$11</f>
        <v>0</v>
      </c>
      <c r="BE5" s="28">
        <f>Много_кол_бло_огр!$G5*блоки_площади_огражд!B$12</f>
        <v>105.53999999999999</v>
      </c>
      <c r="BF5" s="28">
        <f>Много_кол_бло_огр!$G5*блоки_площади_огражд!C$12</f>
        <v>48.960000000000001</v>
      </c>
      <c r="BG5" s="28">
        <f>Много_кол_бло_огр!$G5*блоки_площади_огражд!D$12</f>
        <v>30.420000000000002</v>
      </c>
      <c r="BH5" s="28">
        <f>Много_кол_бло_огр!$G5*блоки_площади_огражд!E$12</f>
        <v>0</v>
      </c>
      <c r="BI5" s="28">
        <f>Много_кол_бло_огр!$G5*блоки_площади_огражд!F$12</f>
        <v>0</v>
      </c>
      <c r="BJ5" s="28">
        <f>Много_кол_бло_огр!$G5*блоки_площади_огражд!G$12</f>
        <v>355.80000000000001</v>
      </c>
      <c r="BK5" s="47">
        <f>Много_кол_бло_огр!$H5*блоки_площади_огражд!B$13</f>
        <v>0</v>
      </c>
      <c r="BL5" s="47">
        <f>Много_кол_бло_огр!$H5*блоки_площади_огражд!C$13</f>
        <v>0</v>
      </c>
      <c r="BM5" s="47">
        <f>Много_кол_бло_огр!$H5*блоки_площади_огражд!D$13</f>
        <v>0</v>
      </c>
      <c r="BN5" s="47">
        <f>Много_кол_бло_огр!$H5*блоки_площади_огражд!E$13</f>
        <v>0</v>
      </c>
      <c r="BO5" s="47">
        <f>Много_кол_бло_огр!$H5*блоки_площади_огражд!F$13</f>
        <v>0</v>
      </c>
      <c r="BP5" s="47">
        <f>Много_кол_бло_огр!$H5*блоки_площади_огражд!G$13</f>
        <v>0</v>
      </c>
      <c r="BQ5" s="28">
        <f>Много_кол_бло_огр!$H5*блоки_площади_огражд!B$14</f>
        <v>0</v>
      </c>
      <c r="BR5" s="28">
        <f>Много_кол_бло_огр!$H5*блоки_площади_огражд!C$14</f>
        <v>0</v>
      </c>
      <c r="BS5" s="28">
        <f>Много_кол_бло_огр!$H5*блоки_площади_огражд!D$14</f>
        <v>0</v>
      </c>
      <c r="BT5" s="28">
        <f>Много_кол_бло_огр!$H5*блоки_площади_огражд!E$14</f>
        <v>0</v>
      </c>
      <c r="BU5" s="28">
        <f>Много_кол_бло_огр!$H5*блоки_площади_огражд!F$14</f>
        <v>0</v>
      </c>
      <c r="BV5" s="28">
        <f>Много_кол_бло_огр!$H5*блоки_площади_огражд!G$14</f>
        <v>0</v>
      </c>
      <c r="BW5" s="26">
        <v>8</v>
      </c>
      <c r="BX5" s="47">
        <f t="shared" si="2"/>
        <v>7735.04</v>
      </c>
      <c r="BY5" s="47">
        <f t="shared" si="3"/>
        <v>4397.6799999999994</v>
      </c>
      <c r="BZ5" s="47">
        <f t="shared" si="4"/>
        <v>2850.7200000000007</v>
      </c>
      <c r="CA5" s="47">
        <f t="shared" si="5"/>
        <v>25.199999999999999</v>
      </c>
      <c r="CB5" s="47">
        <f t="shared" si="6"/>
        <v>3535.5</v>
      </c>
      <c r="CC5" s="47">
        <f t="shared" si="7"/>
        <v>3535.5</v>
      </c>
      <c r="CD5" s="48">
        <v>22</v>
      </c>
      <c r="CE5" s="48">
        <v>-34</v>
      </c>
      <c r="CF5" s="49">
        <v>3.8500000000000001</v>
      </c>
      <c r="CG5" s="49">
        <v>0.46999999999999997</v>
      </c>
      <c r="CH5" s="49">
        <v>0.28000000000000003</v>
      </c>
      <c r="CI5" s="49">
        <v>0.46999999999999997</v>
      </c>
      <c r="CJ5" s="49">
        <v>1.3600000000000001</v>
      </c>
      <c r="CK5" s="49">
        <v>1.3600000000000001</v>
      </c>
      <c r="CL5" s="50">
        <f t="shared" si="8"/>
        <v>112509.67272727273</v>
      </c>
      <c r="CM5" s="50">
        <f t="shared" si="9"/>
        <v>523978.89361702127</v>
      </c>
      <c r="CN5" s="50">
        <f t="shared" si="10"/>
        <v>570144.00000000012</v>
      </c>
      <c r="CO5" s="50">
        <f t="shared" si="11"/>
        <v>3002.5531914893618</v>
      </c>
      <c r="CP5" s="50">
        <f t="shared" si="12"/>
        <v>145579.41176470587</v>
      </c>
      <c r="CQ5" s="50">
        <f t="shared" si="13"/>
        <v>145579.41176470587</v>
      </c>
      <c r="CR5" s="47">
        <f t="shared" si="14"/>
        <v>1500793.9430651951</v>
      </c>
      <c r="CS5" s="29"/>
      <c r="CT5" s="29"/>
      <c r="CU5" s="29">
        <f t="shared" si="15"/>
        <v>0</v>
      </c>
      <c r="CV5" s="29"/>
      <c r="CW5" s="51">
        <v>2503923.2599999998</v>
      </c>
      <c r="CX5" s="29">
        <f t="shared" si="16"/>
        <v>2.1529858954946994</v>
      </c>
      <c r="CY5" s="52">
        <f t="shared" si="17"/>
        <v>331.55982790618373</v>
      </c>
      <c r="CZ5" s="29"/>
    </row>
    <row r="6">
      <c r="A6" s="45"/>
      <c r="B6" s="46" t="s">
        <v>13</v>
      </c>
      <c r="C6" s="47">
        <f>Много_кол_бло_огр!$C6*блоки_площади_огражд!$B5</f>
        <v>0</v>
      </c>
      <c r="D6" s="47">
        <f>Много_кол_бло_огр!$C6*блоки_площади_огражд!$B5</f>
        <v>0</v>
      </c>
      <c r="E6" s="47">
        <f>Много_кол_бло_огр!$C6*блоки_площади_огражд!$B5</f>
        <v>0</v>
      </c>
      <c r="F6" s="47">
        <f>Много_кол_бло_огр!$C6*блоки_площади_огражд!$B5</f>
        <v>0</v>
      </c>
      <c r="G6" s="47">
        <f>Много_кол_бло_огр!$C6*блоки_площади_огражд!$B5</f>
        <v>0</v>
      </c>
      <c r="H6" s="47">
        <f>Много_кол_бло_огр!$C6*блоки_площади_огражд!$B5</f>
        <v>0</v>
      </c>
      <c r="I6" s="28">
        <f>Много_кол_бло_огр!$D6*блоки_площади_огражд!B$4</f>
        <v>0</v>
      </c>
      <c r="J6" s="28">
        <f>Много_кол_бло_огр!$D6*блоки_площади_огражд!C$4</f>
        <v>0</v>
      </c>
      <c r="K6" s="28">
        <f>Много_кол_бло_огр!$D6*блоки_площади_огражд!D$4</f>
        <v>0</v>
      </c>
      <c r="L6" s="28">
        <f>Много_кол_бло_огр!$D6*блоки_площади_огражд!E$4</f>
        <v>0</v>
      </c>
      <c r="M6" s="28">
        <f>Много_кол_бло_огр!$D6*блоки_площади_огражд!F$4</f>
        <v>0</v>
      </c>
      <c r="N6" s="28">
        <f>Много_кол_бло_огр!$D6*блоки_площади_огражд!G$4</f>
        <v>0</v>
      </c>
      <c r="O6" s="47">
        <f>Много_кол_бло_огр!$D6*блоки_площади_огражд!B$5</f>
        <v>0</v>
      </c>
      <c r="P6" s="47">
        <f>Много_кол_бло_огр!$D6*блоки_площади_огражд!C$5</f>
        <v>0</v>
      </c>
      <c r="Q6" s="47">
        <f>Много_кол_бло_огр!$D6*блоки_площади_огражд!D$5</f>
        <v>0</v>
      </c>
      <c r="R6" s="47">
        <f>Много_кол_бло_огр!$D6*блоки_площади_огражд!E$5</f>
        <v>0</v>
      </c>
      <c r="S6" s="47">
        <f>Много_кол_бло_огр!$D6*блоки_площади_огражд!F$5</f>
        <v>0</v>
      </c>
      <c r="T6" s="47">
        <f>Много_кол_бло_огр!$D6*блоки_площади_огражд!G$5</f>
        <v>0</v>
      </c>
      <c r="U6" s="28">
        <f>Много_кол_бло_огр!$D6*блоки_площади_огражд!B$6</f>
        <v>0</v>
      </c>
      <c r="V6" s="28">
        <f>Много_кол_бло_огр!$D6*блоки_площади_огражд!C$6</f>
        <v>0</v>
      </c>
      <c r="W6" s="28">
        <f>Много_кол_бло_огр!$D6*блоки_площади_огражд!D$6</f>
        <v>0</v>
      </c>
      <c r="X6" s="28">
        <f>Много_кол_бло_огр!$D6*блоки_площади_огражд!E$6</f>
        <v>0</v>
      </c>
      <c r="Y6" s="28">
        <f>Много_кол_бло_огр!$D6*блоки_площади_огражд!F$6</f>
        <v>0</v>
      </c>
      <c r="Z6" s="28">
        <f>Много_кол_бло_огр!$D6*блоки_площади_огражд!G$6</f>
        <v>0</v>
      </c>
      <c r="AA6" s="47">
        <f>Много_кол_бло_огр!$E6*блоки_площади_огражд!B$7</f>
        <v>428</v>
      </c>
      <c r="AB6" s="47">
        <f>Много_кол_бло_огр!$E6*блоки_площади_огражд!C$7</f>
        <v>268</v>
      </c>
      <c r="AC6" s="47">
        <f>Много_кол_бло_огр!$E6*блоки_площади_огражд!D$7</f>
        <v>173.40000000000003</v>
      </c>
      <c r="AD6" s="47">
        <f>Много_кол_бло_огр!$E6*блоки_площади_огражд!E$7</f>
        <v>12.6</v>
      </c>
      <c r="AE6" s="47">
        <f>Много_кол_бло_огр!$E6*блоки_площади_огражд!F$7</f>
        <v>1766.5</v>
      </c>
      <c r="AF6" s="47">
        <f>Много_кол_бло_огр!$E6*блоки_площади_огражд!G$7</f>
        <v>0</v>
      </c>
      <c r="AG6" s="28">
        <f>Много_кол_бло_огр!$E6*блоки_площади_огражд!B$8</f>
        <v>428.60000000000002</v>
      </c>
      <c r="AH6" s="28">
        <f>Много_кол_бло_огр!$E6*блоки_площади_огражд!C$8</f>
        <v>280</v>
      </c>
      <c r="AI6" s="28">
        <f>Много_кол_бло_огр!$E6*блоки_площади_огражд!D$8</f>
        <v>173.40000000000003</v>
      </c>
      <c r="AJ6" s="28">
        <f>Много_кол_бло_огр!$E6*блоки_площади_огражд!E$8</f>
        <v>0</v>
      </c>
      <c r="AK6" s="28">
        <f>Много_кол_бло_огр!$E6*блоки_площади_огражд!F$8</f>
        <v>0</v>
      </c>
      <c r="AL6" s="28">
        <f>Много_кол_бло_огр!$E6*блоки_площади_огражд!G$8</f>
        <v>1766.5</v>
      </c>
      <c r="AM6" s="47">
        <f>Много_кол_бло_огр!$F6*блоки_площади_огражд!B$9</f>
        <v>260.96000000000004</v>
      </c>
      <c r="AN6" s="47">
        <f>Много_кол_бло_огр!$F6*блоки_площади_огражд!C$9</f>
        <v>107.19999999999999</v>
      </c>
      <c r="AO6" s="47">
        <f>Много_кол_бло_огр!$F6*блоки_площади_огражд!D$9</f>
        <v>83.159999999999997</v>
      </c>
      <c r="AP6" s="47">
        <f>Много_кол_бло_огр!$F6*блоки_площади_огражд!E$9</f>
        <v>5.04</v>
      </c>
      <c r="AQ6" s="47">
        <f>Много_кол_бло_огр!$F6*блоки_площади_огражд!F$9</f>
        <v>706.60000000000002</v>
      </c>
      <c r="AR6" s="47">
        <f>Много_кол_бло_огр!$F6*блоки_площади_огражд!G$9</f>
        <v>0</v>
      </c>
      <c r="AS6" s="28">
        <f>Много_кол_бло_огр!$F6*блоки_площади_огражд!B$10</f>
        <v>261.20000000000005</v>
      </c>
      <c r="AT6" s="28">
        <f>Много_кол_бло_огр!$F6*блоки_площади_огражд!C$10</f>
        <v>112</v>
      </c>
      <c r="AU6" s="28">
        <f>Много_кол_бло_огр!$F6*блоки_площади_огражд!D$10</f>
        <v>83.159999999999997</v>
      </c>
      <c r="AV6" s="28">
        <f>Много_кол_бло_огр!$F6*блоки_площади_огражд!E$10</f>
        <v>0</v>
      </c>
      <c r="AW6" s="28">
        <f>Много_кол_бло_огр!$F6*блоки_площади_огражд!F$10</f>
        <v>0</v>
      </c>
      <c r="AX6" s="28">
        <f>Много_кол_бло_огр!$F6*блоки_площади_огражд!G$10</f>
        <v>706.60000000000002</v>
      </c>
      <c r="AY6" s="47">
        <f>Много_кол_бло_огр!$G6*блоки_площади_огражд!B$11</f>
        <v>214.83999999999997</v>
      </c>
      <c r="AZ6" s="47">
        <f>Много_кол_бло_огр!$G6*блоки_площади_огражд!C$11</f>
        <v>89.120000000000005</v>
      </c>
      <c r="BA6" s="47">
        <f>Много_кол_бло_огр!$G6*блоки_площади_огражд!D$11</f>
        <v>60.840000000000003</v>
      </c>
      <c r="BB6" s="47">
        <f>Много_кол_бло_огр!$G6*блоки_площади_огражд!E$11</f>
        <v>5.04</v>
      </c>
      <c r="BC6" s="47">
        <f>Много_кол_бло_огр!$G6*блоки_площади_огражд!F$11</f>
        <v>711.60000000000002</v>
      </c>
      <c r="BD6" s="47">
        <f>Много_кол_бло_огр!$G6*блоки_площади_огражд!G$11</f>
        <v>0</v>
      </c>
      <c r="BE6" s="28">
        <f>Много_кол_бло_огр!$G6*блоки_площади_огражд!B$12</f>
        <v>211.07999999999998</v>
      </c>
      <c r="BF6" s="28">
        <f>Много_кол_бло_огр!$G6*блоки_площади_огражд!C$12</f>
        <v>97.920000000000002</v>
      </c>
      <c r="BG6" s="28">
        <f>Много_кол_бло_огр!$G6*блоки_площади_огражд!D$12</f>
        <v>60.840000000000003</v>
      </c>
      <c r="BH6" s="28">
        <f>Много_кол_бло_огр!$G6*блоки_площади_огражд!E$12</f>
        <v>0</v>
      </c>
      <c r="BI6" s="28">
        <f>Много_кол_бло_огр!$G6*блоки_площади_огражд!F$12</f>
        <v>0</v>
      </c>
      <c r="BJ6" s="28">
        <f>Много_кол_бло_огр!$G6*блоки_площади_огражд!G$12</f>
        <v>711.60000000000002</v>
      </c>
      <c r="BK6" s="47">
        <f>Много_кол_бло_огр!$H6*блоки_площади_огражд!B$13</f>
        <v>0</v>
      </c>
      <c r="BL6" s="47">
        <f>Много_кол_бло_огр!$H6*блоки_площади_огражд!C$13</f>
        <v>0</v>
      </c>
      <c r="BM6" s="47">
        <f>Много_кол_бло_огр!$H6*блоки_площади_огражд!D$13</f>
        <v>0</v>
      </c>
      <c r="BN6" s="47">
        <f>Много_кол_бло_огр!$H6*блоки_площади_огражд!E$13</f>
        <v>0</v>
      </c>
      <c r="BO6" s="47">
        <f>Много_кол_бло_огр!$H6*блоки_площади_огражд!F$13</f>
        <v>0</v>
      </c>
      <c r="BP6" s="47">
        <f>Много_кол_бло_огр!$H6*блоки_площади_огражд!G$13</f>
        <v>0</v>
      </c>
      <c r="BQ6" s="28">
        <f>Много_кол_бло_огр!$H6*блоки_площади_огражд!B$14</f>
        <v>0</v>
      </c>
      <c r="BR6" s="28">
        <f>Много_кол_бло_огр!$H6*блоки_площади_огражд!C$14</f>
        <v>0</v>
      </c>
      <c r="BS6" s="28">
        <f>Много_кол_бло_огр!$H6*блоки_площади_огражд!D$14</f>
        <v>0</v>
      </c>
      <c r="BT6" s="28">
        <f>Много_кол_бло_огр!$H6*блоки_площади_огражд!E$14</f>
        <v>0</v>
      </c>
      <c r="BU6" s="28">
        <f>Много_кол_бло_огр!$H6*блоки_площади_огражд!F$14</f>
        <v>0</v>
      </c>
      <c r="BV6" s="28">
        <f>Много_кол_бло_огр!$H6*блоки_площади_огражд!G$14</f>
        <v>0</v>
      </c>
      <c r="BW6" s="26">
        <v>8</v>
      </c>
      <c r="BX6" s="47">
        <f t="shared" si="2"/>
        <v>7209.9600000000009</v>
      </c>
      <c r="BY6" s="47">
        <f t="shared" si="3"/>
        <v>3893.7599999999998</v>
      </c>
      <c r="BZ6" s="47">
        <f t="shared" si="4"/>
        <v>2539.2000000000007</v>
      </c>
      <c r="CA6" s="47">
        <f t="shared" si="5"/>
        <v>22.68</v>
      </c>
      <c r="CB6" s="47">
        <f t="shared" si="6"/>
        <v>3184.6999999999998</v>
      </c>
      <c r="CC6" s="47">
        <f t="shared" si="7"/>
        <v>3184.6999999999998</v>
      </c>
      <c r="CD6" s="48">
        <v>22</v>
      </c>
      <c r="CE6" s="48">
        <v>-34</v>
      </c>
      <c r="CF6" s="49">
        <v>3.8500000000000001</v>
      </c>
      <c r="CG6" s="49">
        <v>0.46999999999999997</v>
      </c>
      <c r="CH6" s="49">
        <v>0.28000000000000003</v>
      </c>
      <c r="CI6" s="49">
        <v>0.46999999999999997</v>
      </c>
      <c r="CJ6" s="49">
        <v>1.3600000000000001</v>
      </c>
      <c r="CK6" s="49">
        <v>1.3600000000000001</v>
      </c>
      <c r="CL6" s="50">
        <f t="shared" si="8"/>
        <v>104872.14545454546</v>
      </c>
      <c r="CM6" s="50">
        <f t="shared" si="9"/>
        <v>463937.36170212767</v>
      </c>
      <c r="CN6" s="50">
        <f t="shared" si="10"/>
        <v>507840.00000000006</v>
      </c>
      <c r="CO6" s="50">
        <f t="shared" si="11"/>
        <v>2702.2978723404258</v>
      </c>
      <c r="CP6" s="50">
        <f t="shared" si="12"/>
        <v>131134.70588235292</v>
      </c>
      <c r="CQ6" s="50">
        <f t="shared" si="13"/>
        <v>131134.70588235292</v>
      </c>
      <c r="CR6" s="47">
        <f t="shared" si="14"/>
        <v>1341621.2167937197</v>
      </c>
      <c r="CS6" s="29"/>
      <c r="CT6" s="29"/>
      <c r="CU6" s="29">
        <f t="shared" si="15"/>
        <v>0</v>
      </c>
      <c r="CV6" s="29"/>
      <c r="CW6" s="51">
        <v>2221270.9700000002</v>
      </c>
      <c r="CX6" s="29">
        <f t="shared" si="16"/>
        <v>1.90994873719965</v>
      </c>
      <c r="CY6" s="52">
        <f t="shared" si="17"/>
        <v>294.13210552874608</v>
      </c>
      <c r="CZ6" s="29"/>
    </row>
    <row r="7">
      <c r="A7" s="45"/>
      <c r="B7" s="46" t="s">
        <v>14</v>
      </c>
      <c r="C7" s="47">
        <f>Много_кол_бло_огр!$C7*блоки_площади_огражд!$B6</f>
        <v>0</v>
      </c>
      <c r="D7" s="47">
        <f>Много_кол_бло_огр!$C7*блоки_площади_огражд!$B6</f>
        <v>0</v>
      </c>
      <c r="E7" s="47">
        <f>Много_кол_бло_огр!$C7*блоки_площади_огражд!$B6</f>
        <v>0</v>
      </c>
      <c r="F7" s="47">
        <f>Много_кол_бло_огр!$C7*блоки_площади_огражд!$B6</f>
        <v>0</v>
      </c>
      <c r="G7" s="47">
        <f>Много_кол_бло_огр!$C7*блоки_площади_огражд!$B6</f>
        <v>0</v>
      </c>
      <c r="H7" s="47">
        <f>Много_кол_бло_огр!$C7*блоки_площади_огражд!$B6</f>
        <v>0</v>
      </c>
      <c r="I7" s="28">
        <f>Много_кол_бло_огр!$D7*блоки_площади_огражд!B$4</f>
        <v>0</v>
      </c>
      <c r="J7" s="28">
        <f>Много_кол_бло_огр!$D7*блоки_площади_огражд!C$4</f>
        <v>0</v>
      </c>
      <c r="K7" s="28">
        <f>Много_кол_бло_огр!$D7*блоки_площади_огражд!D$4</f>
        <v>0</v>
      </c>
      <c r="L7" s="28">
        <f>Много_кол_бло_огр!$D7*блоки_площади_огражд!E$4</f>
        <v>0</v>
      </c>
      <c r="M7" s="28">
        <f>Много_кол_бло_огр!$D7*блоки_площади_огражд!F$4</f>
        <v>0</v>
      </c>
      <c r="N7" s="28">
        <f>Много_кол_бло_огр!$D7*блоки_площади_огражд!G$4</f>
        <v>0</v>
      </c>
      <c r="O7" s="47">
        <f>Много_кол_бло_огр!$D7*блоки_площади_огражд!B$5</f>
        <v>0</v>
      </c>
      <c r="P7" s="47">
        <f>Много_кол_бло_огр!$D7*блоки_площади_огражд!C$5</f>
        <v>0</v>
      </c>
      <c r="Q7" s="47">
        <f>Много_кол_бло_огр!$D7*блоки_площади_огражд!D$5</f>
        <v>0</v>
      </c>
      <c r="R7" s="47">
        <f>Много_кол_бло_огр!$D7*блоки_площади_огражд!E$5</f>
        <v>0</v>
      </c>
      <c r="S7" s="47">
        <f>Много_кол_бло_огр!$D7*блоки_площади_огражд!F$5</f>
        <v>0</v>
      </c>
      <c r="T7" s="47">
        <f>Много_кол_бло_огр!$D7*блоки_площади_огражд!G$5</f>
        <v>0</v>
      </c>
      <c r="U7" s="28">
        <f>Много_кол_бло_огр!$D7*блоки_площади_огражд!B$6</f>
        <v>0</v>
      </c>
      <c r="V7" s="28">
        <f>Много_кол_бло_огр!$D7*блоки_площади_огражд!C$6</f>
        <v>0</v>
      </c>
      <c r="W7" s="28">
        <f>Много_кол_бло_огр!$D7*блоки_площади_огражд!D$6</f>
        <v>0</v>
      </c>
      <c r="X7" s="28">
        <f>Много_кол_бло_огр!$D7*блоки_площади_огражд!E$6</f>
        <v>0</v>
      </c>
      <c r="Y7" s="28">
        <f>Много_кол_бло_огр!$D7*блоки_площади_огражд!F$6</f>
        <v>0</v>
      </c>
      <c r="Z7" s="28">
        <f>Много_кол_бло_огр!$D7*блоки_площади_огражд!G$6</f>
        <v>0</v>
      </c>
      <c r="AA7" s="47">
        <f>Много_кол_бло_огр!$E7*блоки_площади_огражд!B$7</f>
        <v>256.79999999999995</v>
      </c>
      <c r="AB7" s="47">
        <f>Много_кол_бло_огр!$E7*блоки_площади_огражд!C$7</f>
        <v>160.79999999999998</v>
      </c>
      <c r="AC7" s="47">
        <f>Много_кол_бло_огр!$E7*блоки_площади_огражд!D$7</f>
        <v>104.04000000000002</v>
      </c>
      <c r="AD7" s="47">
        <f>Много_кол_бло_огр!$E7*блоки_площади_огражд!E$7</f>
        <v>7.5600000000000005</v>
      </c>
      <c r="AE7" s="47">
        <f>Много_кол_бло_огр!$E7*блоки_площади_огражд!F$7</f>
        <v>1059.9000000000001</v>
      </c>
      <c r="AF7" s="47">
        <f>Много_кол_бло_огр!$E7*блоки_площади_огражд!G$7</f>
        <v>0</v>
      </c>
      <c r="AG7" s="28">
        <f>Много_кол_бло_огр!$E7*блоки_площади_огражд!B$8</f>
        <v>257.15999999999997</v>
      </c>
      <c r="AH7" s="28">
        <f>Много_кол_бло_огр!$E7*блоки_площади_огражд!C$8</f>
        <v>168</v>
      </c>
      <c r="AI7" s="28">
        <f>Много_кол_бло_огр!$E7*блоки_площади_огражд!D$8</f>
        <v>104.04000000000002</v>
      </c>
      <c r="AJ7" s="28">
        <f>Много_кол_бло_огр!$E7*блоки_площади_огражд!E$8</f>
        <v>0</v>
      </c>
      <c r="AK7" s="28">
        <f>Много_кол_бло_огр!$E7*блоки_площади_огражд!F$8</f>
        <v>0</v>
      </c>
      <c r="AL7" s="28">
        <f>Много_кол_бло_огр!$E7*блоки_площади_огражд!G$8</f>
        <v>1059.9000000000001</v>
      </c>
      <c r="AM7" s="47">
        <f>Много_кол_бло_огр!$F7*блоки_площади_огражд!B$9</f>
        <v>260.96000000000004</v>
      </c>
      <c r="AN7" s="47">
        <f>Много_кол_бло_огр!$F7*блоки_площади_огражд!C$9</f>
        <v>107.19999999999999</v>
      </c>
      <c r="AO7" s="47">
        <f>Много_кол_бло_огр!$F7*блоки_площади_огражд!D$9</f>
        <v>83.159999999999997</v>
      </c>
      <c r="AP7" s="47">
        <f>Много_кол_бло_огр!$F7*блоки_площади_огражд!E$9</f>
        <v>5.04</v>
      </c>
      <c r="AQ7" s="47">
        <f>Много_кол_бло_огр!$F7*блоки_площади_огражд!F$9</f>
        <v>706.60000000000002</v>
      </c>
      <c r="AR7" s="47">
        <f>Много_кол_бло_огр!$F7*блоки_площади_огражд!G$9</f>
        <v>0</v>
      </c>
      <c r="AS7" s="28">
        <f>Много_кол_бло_огр!$F7*блоки_площади_огражд!B$10</f>
        <v>261.20000000000005</v>
      </c>
      <c r="AT7" s="28">
        <f>Много_кол_бло_огр!$F7*блоки_площади_огражд!C$10</f>
        <v>112</v>
      </c>
      <c r="AU7" s="28">
        <f>Много_кол_бло_огр!$F7*блоки_площади_огражд!D$10</f>
        <v>83.159999999999997</v>
      </c>
      <c r="AV7" s="28">
        <f>Много_кол_бло_огр!$F7*блоки_площади_огражд!E$10</f>
        <v>0</v>
      </c>
      <c r="AW7" s="28">
        <f>Много_кол_бло_огр!$F7*блоки_площади_огражд!F$10</f>
        <v>0</v>
      </c>
      <c r="AX7" s="28">
        <f>Много_кол_бло_огр!$F7*блоки_площади_огражд!G$10</f>
        <v>706.60000000000002</v>
      </c>
      <c r="AY7" s="47">
        <f>Много_кол_бло_огр!$G7*блоки_площади_огражд!B$11</f>
        <v>107.41999999999999</v>
      </c>
      <c r="AZ7" s="47">
        <f>Много_кол_бло_огр!$G7*блоки_площади_огражд!C$11</f>
        <v>44.560000000000002</v>
      </c>
      <c r="BA7" s="47">
        <f>Много_кол_бло_огр!$G7*блоки_площади_огражд!D$11</f>
        <v>30.420000000000002</v>
      </c>
      <c r="BB7" s="47">
        <f>Много_кол_бло_огр!$G7*блоки_площади_огражд!E$11</f>
        <v>2.52</v>
      </c>
      <c r="BC7" s="47">
        <f>Много_кол_бло_огр!$G7*блоки_площади_огражд!F$11</f>
        <v>355.80000000000001</v>
      </c>
      <c r="BD7" s="47">
        <f>Много_кол_бло_огр!$G7*блоки_площади_огражд!G$11</f>
        <v>0</v>
      </c>
      <c r="BE7" s="28">
        <f>Много_кол_бло_огр!$G7*блоки_площади_огражд!B$12</f>
        <v>105.53999999999999</v>
      </c>
      <c r="BF7" s="28">
        <f>Много_кол_бло_огр!$G7*блоки_площади_огражд!C$12</f>
        <v>48.960000000000001</v>
      </c>
      <c r="BG7" s="28">
        <f>Много_кол_бло_огр!$G7*блоки_площади_огражд!D$12</f>
        <v>30.420000000000002</v>
      </c>
      <c r="BH7" s="28">
        <f>Много_кол_бло_огр!$G7*блоки_площади_огражд!E$12</f>
        <v>0</v>
      </c>
      <c r="BI7" s="28">
        <f>Много_кол_бло_огр!$G7*блоки_площади_огражд!F$12</f>
        <v>0</v>
      </c>
      <c r="BJ7" s="28">
        <f>Много_кол_бло_огр!$G7*блоки_площади_огражд!G$12</f>
        <v>355.80000000000001</v>
      </c>
      <c r="BK7" s="47">
        <f>Много_кол_бло_огр!$H7*блоки_площади_огражд!B$13</f>
        <v>0</v>
      </c>
      <c r="BL7" s="47">
        <f>Много_кол_бло_огр!$H7*блоки_площади_огражд!C$13</f>
        <v>0</v>
      </c>
      <c r="BM7" s="47">
        <f>Много_кол_бло_огр!$H7*блоки_площади_огражд!D$13</f>
        <v>0</v>
      </c>
      <c r="BN7" s="47">
        <f>Много_кол_бло_огр!$H7*блоки_площади_огражд!E$13</f>
        <v>0</v>
      </c>
      <c r="BO7" s="47">
        <f>Много_кол_бло_огр!$H7*блоки_площади_огражд!F$13</f>
        <v>0</v>
      </c>
      <c r="BP7" s="47">
        <f>Много_кол_бло_огр!$H7*блоки_площади_огражд!G$13</f>
        <v>0</v>
      </c>
      <c r="BQ7" s="28">
        <f>Много_кол_бло_огр!$H7*блоки_площади_огражд!B$14</f>
        <v>0</v>
      </c>
      <c r="BR7" s="28">
        <f>Много_кол_бло_огр!$H7*блоки_площади_огражд!C$14</f>
        <v>0</v>
      </c>
      <c r="BS7" s="28">
        <f>Много_кол_бло_огр!$H7*блоки_площади_огражд!D$14</f>
        <v>0</v>
      </c>
      <c r="BT7" s="28">
        <f>Много_кол_бло_огр!$H7*блоки_площади_огражд!E$14</f>
        <v>0</v>
      </c>
      <c r="BU7" s="28">
        <f>Много_кол_бло_огр!$H7*блоки_площади_огражд!F$14</f>
        <v>0</v>
      </c>
      <c r="BV7" s="28">
        <f>Много_кол_бло_огр!$H7*блоки_площади_огражд!G$14</f>
        <v>0</v>
      </c>
      <c r="BW7" s="26">
        <v>8</v>
      </c>
      <c r="BX7" s="47">
        <f t="shared" si="2"/>
        <v>4992.4800000000005</v>
      </c>
      <c r="BY7" s="47">
        <f t="shared" si="3"/>
        <v>2615.2799999999997</v>
      </c>
      <c r="BZ7" s="47">
        <f t="shared" si="4"/>
        <v>1740.9600000000003</v>
      </c>
      <c r="CA7" s="47">
        <f t="shared" si="5"/>
        <v>15.120000000000001</v>
      </c>
      <c r="CB7" s="47">
        <f t="shared" si="6"/>
        <v>2122.3000000000002</v>
      </c>
      <c r="CC7" s="47">
        <f t="shared" si="7"/>
        <v>2122.3000000000002</v>
      </c>
      <c r="CD7" s="48">
        <v>22</v>
      </c>
      <c r="CE7" s="48">
        <v>-34</v>
      </c>
      <c r="CF7" s="49">
        <v>3.8500000000000001</v>
      </c>
      <c r="CG7" s="49">
        <v>0.46999999999999997</v>
      </c>
      <c r="CH7" s="49">
        <v>0.28000000000000003</v>
      </c>
      <c r="CI7" s="49">
        <v>0.46999999999999997</v>
      </c>
      <c r="CJ7" s="49">
        <v>1.3600000000000001</v>
      </c>
      <c r="CK7" s="49">
        <v>1.3600000000000001</v>
      </c>
      <c r="CL7" s="50">
        <f t="shared" si="8"/>
        <v>72617.890909090915</v>
      </c>
      <c r="CM7" s="50">
        <f t="shared" si="9"/>
        <v>311607.82978723402</v>
      </c>
      <c r="CN7" s="50">
        <f t="shared" si="10"/>
        <v>348192</v>
      </c>
      <c r="CO7" s="50">
        <f t="shared" si="11"/>
        <v>1801.5319148936173</v>
      </c>
      <c r="CP7" s="50">
        <f t="shared" si="12"/>
        <v>87388.823529411762</v>
      </c>
      <c r="CQ7" s="50">
        <f t="shared" si="13"/>
        <v>87388.823529411762</v>
      </c>
      <c r="CR7" s="47">
        <f t="shared" si="14"/>
        <v>908996.89967004221</v>
      </c>
      <c r="CS7" s="29"/>
      <c r="CT7" s="29"/>
      <c r="CU7" s="29">
        <f t="shared" si="15"/>
        <v>0</v>
      </c>
      <c r="CV7" s="29"/>
      <c r="CW7" s="51">
        <v>1498939.4199999999</v>
      </c>
      <c r="CX7" s="29">
        <f t="shared" si="16"/>
        <v>1.2888555655898999</v>
      </c>
      <c r="CY7" s="52">
        <f t="shared" si="17"/>
        <v>198.48375710084457</v>
      </c>
      <c r="CZ7" s="29"/>
    </row>
    <row r="8">
      <c r="A8" s="53"/>
      <c r="B8" s="54" t="s">
        <v>15</v>
      </c>
      <c r="C8" s="55">
        <f>Много_кол_бло_огр!$C8*блоки_площади_огражд!$B7</f>
        <v>0</v>
      </c>
      <c r="D8" s="55">
        <f>Много_кол_бло_огр!$C8*блоки_площади_огражд!$B7</f>
        <v>0</v>
      </c>
      <c r="E8" s="55">
        <f>Много_кол_бло_огр!$C8*блоки_площади_огражд!$B7</f>
        <v>0</v>
      </c>
      <c r="F8" s="55">
        <f>Много_кол_бло_огр!$C8*блоки_площади_огражд!$B7</f>
        <v>0</v>
      </c>
      <c r="G8" s="55">
        <f>Много_кол_бло_огр!$C8*блоки_площади_огражд!$B7</f>
        <v>0</v>
      </c>
      <c r="H8" s="55">
        <f>Много_кол_бло_огр!$C8*блоки_площади_огражд!$B7</f>
        <v>0</v>
      </c>
      <c r="I8" s="56">
        <f>Много_кол_бло_огр!$D8*блоки_площади_огражд!B$4</f>
        <v>0</v>
      </c>
      <c r="J8" s="56">
        <f>Много_кол_бло_огр!$D8*блоки_площади_огражд!C$4</f>
        <v>0</v>
      </c>
      <c r="K8" s="56">
        <f>Много_кол_бло_огр!$D8*блоки_площади_огражд!D$4</f>
        <v>0</v>
      </c>
      <c r="L8" s="56">
        <f>Много_кол_бло_огр!$D8*блоки_площади_огражд!E$4</f>
        <v>0</v>
      </c>
      <c r="M8" s="56">
        <f>Много_кол_бло_огр!$D8*блоки_площади_огражд!F$4</f>
        <v>0</v>
      </c>
      <c r="N8" s="56">
        <f>Много_кол_бло_огр!$D8*блоки_площади_огражд!G$4</f>
        <v>0</v>
      </c>
      <c r="O8" s="55">
        <f>Много_кол_бло_огр!$D8*блоки_площади_огражд!B$5</f>
        <v>0</v>
      </c>
      <c r="P8" s="55">
        <f>Много_кол_бло_огр!$D8*блоки_площади_огражд!C$5</f>
        <v>0</v>
      </c>
      <c r="Q8" s="55">
        <f>Много_кол_бло_огр!$D8*блоки_площади_огражд!D$5</f>
        <v>0</v>
      </c>
      <c r="R8" s="55">
        <f>Много_кол_бло_огр!$D8*блоки_площади_огражд!E$5</f>
        <v>0</v>
      </c>
      <c r="S8" s="55">
        <f>Много_кол_бло_огр!$D8*блоки_площади_огражд!F$5</f>
        <v>0</v>
      </c>
      <c r="T8" s="55">
        <f>Много_кол_бло_огр!$D8*блоки_площади_огражд!G$5</f>
        <v>0</v>
      </c>
      <c r="U8" s="56">
        <f>Много_кол_бло_огр!$D8*блоки_площади_огражд!B$6</f>
        <v>0</v>
      </c>
      <c r="V8" s="56">
        <f>Много_кол_бло_огр!$D8*блоки_площади_огражд!C$6</f>
        <v>0</v>
      </c>
      <c r="W8" s="56">
        <f>Много_кол_бло_огр!$D8*блоки_площади_огражд!D$6</f>
        <v>0</v>
      </c>
      <c r="X8" s="56">
        <f>Много_кол_бло_огр!$D8*блоки_площади_огражд!E$6</f>
        <v>0</v>
      </c>
      <c r="Y8" s="56">
        <f>Много_кол_бло_огр!$D8*блоки_площади_огражд!F$6</f>
        <v>0</v>
      </c>
      <c r="Z8" s="56">
        <f>Много_кол_бло_огр!$D8*блоки_площади_огражд!G$6</f>
        <v>0</v>
      </c>
      <c r="AA8" s="55">
        <f>Много_кол_бло_огр!$E8*блоки_площади_огражд!B$7</f>
        <v>171.19999999999999</v>
      </c>
      <c r="AB8" s="55">
        <f>Много_кол_бло_огр!$E8*блоки_площади_огражд!C$7</f>
        <v>107.19999999999999</v>
      </c>
      <c r="AC8" s="55">
        <f>Много_кол_бло_огр!$E8*блоки_площади_огражд!D$7</f>
        <v>69.360000000000014</v>
      </c>
      <c r="AD8" s="55">
        <f>Много_кол_бло_огр!$E8*блоки_площади_огражд!E$7</f>
        <v>5.04</v>
      </c>
      <c r="AE8" s="55">
        <f>Много_кол_бло_огр!$E8*блоки_площади_огражд!F$7</f>
        <v>706.60000000000002</v>
      </c>
      <c r="AF8" s="55">
        <f>Много_кол_бло_огр!$E8*блоки_площади_огражд!G$7</f>
        <v>0</v>
      </c>
      <c r="AG8" s="56">
        <f>Много_кол_бло_огр!$E8*блоки_площади_огражд!B$8</f>
        <v>171.44</v>
      </c>
      <c r="AH8" s="56">
        <f>Много_кол_бло_огр!$E8*блоки_площади_огражд!C$8</f>
        <v>112</v>
      </c>
      <c r="AI8" s="56">
        <f>Много_кол_бло_огр!$E8*блоки_площади_огражд!D$8</f>
        <v>69.360000000000014</v>
      </c>
      <c r="AJ8" s="56">
        <f>Много_кол_бло_огр!$E8*блоки_площади_огражд!E$8</f>
        <v>0</v>
      </c>
      <c r="AK8" s="56">
        <f>Много_кол_бло_огр!$E8*блоки_площади_огражд!F$8</f>
        <v>0</v>
      </c>
      <c r="AL8" s="56">
        <f>Много_кол_бло_огр!$E8*блоки_площади_огражд!G$8</f>
        <v>706.60000000000002</v>
      </c>
      <c r="AM8" s="55">
        <f>Много_кол_бло_огр!$F8*блоки_площади_огражд!B$9</f>
        <v>260.96000000000004</v>
      </c>
      <c r="AN8" s="55">
        <f>Много_кол_бло_огр!$F8*блоки_площади_огражд!C$9</f>
        <v>107.19999999999999</v>
      </c>
      <c r="AO8" s="55">
        <f>Много_кол_бло_огр!$F8*блоки_площади_огражд!D$9</f>
        <v>83.159999999999997</v>
      </c>
      <c r="AP8" s="55">
        <f>Много_кол_бло_огр!$F8*блоки_площади_огражд!E$9</f>
        <v>5.04</v>
      </c>
      <c r="AQ8" s="55">
        <f>Много_кол_бло_огр!$F8*блоки_площади_огражд!F$9</f>
        <v>706.60000000000002</v>
      </c>
      <c r="AR8" s="55">
        <f>Много_кол_бло_огр!$F8*блоки_площади_огражд!G$9</f>
        <v>0</v>
      </c>
      <c r="AS8" s="56">
        <f>Много_кол_бло_огр!$F8*блоки_площади_огражд!B$10</f>
        <v>261.20000000000005</v>
      </c>
      <c r="AT8" s="56">
        <f>Много_кол_бло_огр!$F8*блоки_площади_огражд!C$10</f>
        <v>112</v>
      </c>
      <c r="AU8" s="56">
        <f>Много_кол_бло_огр!$F8*блоки_площади_огражд!D$10</f>
        <v>83.159999999999997</v>
      </c>
      <c r="AV8" s="56">
        <f>Много_кол_бло_огр!$F8*блоки_площади_огражд!E$10</f>
        <v>0</v>
      </c>
      <c r="AW8" s="56">
        <f>Много_кол_бло_огр!$F8*блоки_площади_огражд!F$10</f>
        <v>0</v>
      </c>
      <c r="AX8" s="56">
        <f>Много_кол_бло_огр!$F8*блоки_площади_огражд!G$10</f>
        <v>706.60000000000002</v>
      </c>
      <c r="AY8" s="55">
        <f>Много_кол_бло_огр!$G8*блоки_площади_огражд!B$11</f>
        <v>107.41999999999999</v>
      </c>
      <c r="AZ8" s="55">
        <f>Много_кол_бло_огр!$G8*блоки_площади_огражд!C$11</f>
        <v>44.560000000000002</v>
      </c>
      <c r="BA8" s="55">
        <f>Много_кол_бло_огр!$G8*блоки_площади_огражд!D$11</f>
        <v>30.420000000000002</v>
      </c>
      <c r="BB8" s="55">
        <f>Много_кол_бло_огр!$G8*блоки_площади_огражд!E$11</f>
        <v>2.52</v>
      </c>
      <c r="BC8" s="55">
        <f>Много_кол_бло_огр!$G8*блоки_площади_огражд!F$11</f>
        <v>355.80000000000001</v>
      </c>
      <c r="BD8" s="55">
        <f>Много_кол_бло_огр!$G8*блоки_площади_огражд!G$11</f>
        <v>0</v>
      </c>
      <c r="BE8" s="56">
        <f>Много_кол_бло_огр!$G8*блоки_площади_огражд!B$12</f>
        <v>105.53999999999999</v>
      </c>
      <c r="BF8" s="56">
        <f>Много_кол_бло_огр!$G8*блоки_площади_огражд!C$12</f>
        <v>48.960000000000001</v>
      </c>
      <c r="BG8" s="56">
        <f>Много_кол_бло_огр!$G8*блоки_площади_огражд!D$12</f>
        <v>30.420000000000002</v>
      </c>
      <c r="BH8" s="56">
        <f>Много_кол_бло_огр!$G8*блоки_площади_огражд!E$12</f>
        <v>0</v>
      </c>
      <c r="BI8" s="56">
        <f>Много_кол_бло_огр!$G8*блоки_площади_огражд!F$12</f>
        <v>0</v>
      </c>
      <c r="BJ8" s="56">
        <f>Много_кол_бло_огр!$G8*блоки_площади_огражд!G$12</f>
        <v>355.80000000000001</v>
      </c>
      <c r="BK8" s="55">
        <f>Много_кол_бло_огр!$H8*блоки_площади_огражд!B$13</f>
        <v>0</v>
      </c>
      <c r="BL8" s="55">
        <f>Много_кол_бло_огр!$H8*блоки_площади_огражд!C$13</f>
        <v>0</v>
      </c>
      <c r="BM8" s="55">
        <f>Много_кол_бло_огр!$H8*блоки_площади_огражд!D$13</f>
        <v>0</v>
      </c>
      <c r="BN8" s="55">
        <f>Много_кол_бло_огр!$H8*блоки_площади_огражд!E$13</f>
        <v>0</v>
      </c>
      <c r="BO8" s="55">
        <f>Много_кол_бло_огр!$H8*блоки_площади_огражд!F$13</f>
        <v>0</v>
      </c>
      <c r="BP8" s="55">
        <f>Много_кол_бло_огр!$H8*блоки_площади_огражд!G$13</f>
        <v>0</v>
      </c>
      <c r="BQ8" s="56">
        <f>Много_кол_бло_огр!$H8*блоки_площади_огражд!B$14</f>
        <v>0</v>
      </c>
      <c r="BR8" s="56">
        <f>Много_кол_бло_огр!$H8*блоки_площади_огражд!C$14</f>
        <v>0</v>
      </c>
      <c r="BS8" s="56">
        <f>Много_кол_бло_огр!$H8*блоки_площади_огражд!D$14</f>
        <v>0</v>
      </c>
      <c r="BT8" s="56">
        <f>Много_кол_бло_огр!$H8*блоки_площади_огражд!E$14</f>
        <v>0</v>
      </c>
      <c r="BU8" s="56">
        <f>Много_кол_бло_огр!$H8*блоки_площади_огражд!F$14</f>
        <v>0</v>
      </c>
      <c r="BV8" s="56">
        <f>Много_кол_бло_огр!$H8*блоки_площади_огражд!G$14</f>
        <v>0</v>
      </c>
      <c r="BW8" s="57">
        <v>8</v>
      </c>
      <c r="BX8" s="55">
        <f t="shared" si="2"/>
        <v>4306.8400000000001</v>
      </c>
      <c r="BY8" s="55">
        <f t="shared" si="3"/>
        <v>2169.6800000000003</v>
      </c>
      <c r="BZ8" s="55">
        <f t="shared" si="4"/>
        <v>1463.5200000000002</v>
      </c>
      <c r="CA8" s="55">
        <f t="shared" si="5"/>
        <v>12.6</v>
      </c>
      <c r="CB8" s="55">
        <f t="shared" si="6"/>
        <v>1769</v>
      </c>
      <c r="CC8" s="55">
        <f t="shared" si="7"/>
        <v>1769</v>
      </c>
      <c r="CD8" s="58">
        <v>22</v>
      </c>
      <c r="CE8" s="58">
        <v>-34</v>
      </c>
      <c r="CF8" s="59">
        <v>3.8500000000000001</v>
      </c>
      <c r="CG8" s="59">
        <v>0.46999999999999997</v>
      </c>
      <c r="CH8" s="59">
        <v>0.28000000000000003</v>
      </c>
      <c r="CI8" s="59">
        <v>0.46999999999999997</v>
      </c>
      <c r="CJ8" s="59">
        <v>1.3600000000000001</v>
      </c>
      <c r="CK8" s="59">
        <v>1.3600000000000001</v>
      </c>
      <c r="CL8" s="60">
        <f t="shared" si="8"/>
        <v>62644.945454545457</v>
      </c>
      <c r="CM8" s="60">
        <f t="shared" si="9"/>
        <v>258515.06382978731</v>
      </c>
      <c r="CN8" s="60">
        <f t="shared" si="10"/>
        <v>292704</v>
      </c>
      <c r="CO8" s="60">
        <f t="shared" si="11"/>
        <v>1501.2765957446809</v>
      </c>
      <c r="CP8" s="60">
        <f t="shared" si="12"/>
        <v>72841.176470588223</v>
      </c>
      <c r="CQ8" s="60">
        <f t="shared" si="13"/>
        <v>72841.176470588223</v>
      </c>
      <c r="CR8" s="55">
        <f t="shared" si="14"/>
        <v>761047.63882125379</v>
      </c>
      <c r="CS8" s="61"/>
      <c r="CT8" s="61"/>
      <c r="CU8" s="61">
        <f t="shared" si="15"/>
        <v>0</v>
      </c>
      <c r="CV8" s="61"/>
      <c r="CW8" s="62">
        <v>1255384.8400000001</v>
      </c>
      <c r="CX8" s="61">
        <f t="shared" si="16"/>
        <v>1.0794363777497999</v>
      </c>
      <c r="CY8" s="63">
        <f t="shared" si="17"/>
        <v>166.23320217346918</v>
      </c>
      <c r="CZ8" s="29">
        <f>SUM(CY4:CY8)</f>
        <v>1288.3645576890624</v>
      </c>
      <c r="DA8">
        <f>(SUM(CW4:CW8))*0.000001</f>
        <v>9.7296647899999993</v>
      </c>
    </row>
    <row r="9">
      <c r="A9" s="36" t="s">
        <v>16</v>
      </c>
      <c r="B9" s="64" t="s">
        <v>17</v>
      </c>
      <c r="C9" s="38">
        <f>Много_кол_бло_огр!$C9*блоки_площади_огражд!$B8</f>
        <v>0</v>
      </c>
      <c r="D9" s="38">
        <f>Много_кол_бло_огр!$C9*блоки_площади_огражд!$B8</f>
        <v>0</v>
      </c>
      <c r="E9" s="38">
        <f>Много_кол_бло_огр!$C9*блоки_площади_огражд!$B8</f>
        <v>0</v>
      </c>
      <c r="F9" s="38">
        <f>Много_кол_бло_огр!$C9*блоки_площади_огражд!$B8</f>
        <v>0</v>
      </c>
      <c r="G9" s="38">
        <f>Много_кол_бло_огр!$C9*блоки_площади_огражд!$B8</f>
        <v>0</v>
      </c>
      <c r="H9" s="38">
        <f>Много_кол_бло_огр!$C9*блоки_площади_огражд!$B8</f>
        <v>0</v>
      </c>
      <c r="I9" s="39">
        <f>Много_кол_бло_огр!$D9*блоки_площади_огражд!B$4</f>
        <v>0</v>
      </c>
      <c r="J9" s="39">
        <f>Много_кол_бло_огр!$D9*блоки_площади_огражд!C$4</f>
        <v>0</v>
      </c>
      <c r="K9" s="39">
        <f>Много_кол_бло_огр!$D9*блоки_площади_огражд!D$4</f>
        <v>0</v>
      </c>
      <c r="L9" s="39">
        <f>Много_кол_бло_огр!$D9*блоки_площади_огражд!E$4</f>
        <v>0</v>
      </c>
      <c r="M9" s="39">
        <f>Много_кол_бло_огр!$D9*блоки_площади_огражд!F$4</f>
        <v>0</v>
      </c>
      <c r="N9" s="39">
        <f>Много_кол_бло_огр!$D9*блоки_площади_огражд!G$4</f>
        <v>0</v>
      </c>
      <c r="O9" s="38">
        <f>Много_кол_бло_огр!$D9*блоки_площади_огражд!B$5</f>
        <v>0</v>
      </c>
      <c r="P9" s="38">
        <f>Много_кол_бло_огр!$D9*блоки_площади_огражд!C$5</f>
        <v>0</v>
      </c>
      <c r="Q9" s="38">
        <f>Много_кол_бло_огр!$D9*блоки_площади_огражд!D$5</f>
        <v>0</v>
      </c>
      <c r="R9" s="38">
        <f>Много_кол_бло_огр!$D9*блоки_площади_огражд!E$5</f>
        <v>0</v>
      </c>
      <c r="S9" s="38">
        <f>Много_кол_бло_огр!$D9*блоки_площади_огражд!F$5</f>
        <v>0</v>
      </c>
      <c r="T9" s="38">
        <f>Много_кол_бло_огр!$D9*блоки_площади_огражд!G$5</f>
        <v>0</v>
      </c>
      <c r="U9" s="39">
        <f>Много_кол_бло_огр!$D9*блоки_площади_огражд!B$6</f>
        <v>0</v>
      </c>
      <c r="V9" s="39">
        <f>Много_кол_бло_огр!$D9*блоки_площади_огражд!C$6</f>
        <v>0</v>
      </c>
      <c r="W9" s="39">
        <f>Много_кол_бло_огр!$D9*блоки_площади_огражд!D$6</f>
        <v>0</v>
      </c>
      <c r="X9" s="39">
        <f>Много_кол_бло_огр!$D9*блоки_площади_огражд!E$6</f>
        <v>0</v>
      </c>
      <c r="Y9" s="39">
        <f>Много_кол_бло_огр!$D9*блоки_площади_огражд!F$6</f>
        <v>0</v>
      </c>
      <c r="Z9" s="39">
        <f>Много_кол_бло_огр!$D9*блоки_площади_огражд!G$6</f>
        <v>0</v>
      </c>
      <c r="AA9" s="38">
        <f>Много_кол_бло_огр!$E9*блоки_площади_огражд!B$7</f>
        <v>428</v>
      </c>
      <c r="AB9" s="38">
        <f>Много_кол_бло_огр!$E9*блоки_площади_огражд!C$7</f>
        <v>268</v>
      </c>
      <c r="AC9" s="38">
        <f>Много_кол_бло_огр!$E9*блоки_площади_огражд!D$7</f>
        <v>173.40000000000003</v>
      </c>
      <c r="AD9" s="38">
        <f>Много_кол_бло_огр!$E9*блоки_площади_огражд!E$7</f>
        <v>12.6</v>
      </c>
      <c r="AE9" s="38">
        <f>Много_кол_бло_огр!$E9*блоки_площади_огражд!F$7</f>
        <v>1766.5</v>
      </c>
      <c r="AF9" s="38">
        <f>Много_кол_бло_огр!$E9*блоки_площади_огражд!G$7</f>
        <v>0</v>
      </c>
      <c r="AG9" s="39">
        <f>Много_кол_бло_огр!$E9*блоки_площади_огражд!B$8</f>
        <v>428.60000000000002</v>
      </c>
      <c r="AH9" s="39">
        <f>Много_кол_бло_огр!$E9*блоки_площади_огражд!C$8</f>
        <v>280</v>
      </c>
      <c r="AI9" s="39">
        <f>Много_кол_бло_огр!$E9*блоки_площади_огражд!D$8</f>
        <v>173.40000000000003</v>
      </c>
      <c r="AJ9" s="39">
        <f>Много_кол_бло_огр!$E9*блоки_площади_огражд!E$8</f>
        <v>0</v>
      </c>
      <c r="AK9" s="39">
        <f>Много_кол_бло_огр!$E9*блоки_площади_огражд!F$8</f>
        <v>0</v>
      </c>
      <c r="AL9" s="39">
        <f>Много_кол_бло_огр!$E9*блоки_площади_огражд!G$8</f>
        <v>1766.5</v>
      </c>
      <c r="AM9" s="38">
        <f>Много_кол_бло_огр!$F9*блоки_площади_огражд!B$9</f>
        <v>260.96000000000004</v>
      </c>
      <c r="AN9" s="38">
        <f>Много_кол_бло_огр!$F9*блоки_площади_огражд!C$9</f>
        <v>107.19999999999999</v>
      </c>
      <c r="AO9" s="38">
        <f>Много_кол_бло_огр!$F9*блоки_площади_огражд!D$9</f>
        <v>83.159999999999997</v>
      </c>
      <c r="AP9" s="38">
        <f>Много_кол_бло_огр!$F9*блоки_площади_огражд!E$9</f>
        <v>5.04</v>
      </c>
      <c r="AQ9" s="38">
        <f>Много_кол_бло_огр!$F9*блоки_площади_огражд!F$9</f>
        <v>706.60000000000002</v>
      </c>
      <c r="AR9" s="38">
        <f>Много_кол_бло_огр!$F9*блоки_площади_огражд!G$9</f>
        <v>0</v>
      </c>
      <c r="AS9" s="39">
        <f>Много_кол_бло_огр!$F9*блоки_площади_огражд!B$10</f>
        <v>261.20000000000005</v>
      </c>
      <c r="AT9" s="39">
        <f>Много_кол_бло_огр!$F9*блоки_площади_огражд!C$10</f>
        <v>112</v>
      </c>
      <c r="AU9" s="39">
        <f>Много_кол_бло_огр!$F9*блоки_площади_огражд!D$10</f>
        <v>83.159999999999997</v>
      </c>
      <c r="AV9" s="39">
        <f>Много_кол_бло_огр!$F9*блоки_площади_огражд!E$10</f>
        <v>0</v>
      </c>
      <c r="AW9" s="39">
        <f>Много_кол_бло_огр!$F9*блоки_площади_огражд!F$10</f>
        <v>0</v>
      </c>
      <c r="AX9" s="39">
        <f>Много_кол_бло_огр!$F9*блоки_площади_огражд!G$10</f>
        <v>706.60000000000002</v>
      </c>
      <c r="AY9" s="38">
        <f>Много_кол_бло_огр!$G9*блоки_площади_огражд!B$11</f>
        <v>214.83999999999997</v>
      </c>
      <c r="AZ9" s="38">
        <f>Много_кол_бло_огр!$G9*блоки_площади_огражд!C$11</f>
        <v>89.120000000000005</v>
      </c>
      <c r="BA9" s="38">
        <f>Много_кол_бло_огр!$G9*блоки_площади_огражд!D$11</f>
        <v>60.840000000000003</v>
      </c>
      <c r="BB9" s="38">
        <f>Много_кол_бло_огр!$G9*блоки_площади_огражд!E$11</f>
        <v>5.04</v>
      </c>
      <c r="BC9" s="38">
        <f>Много_кол_бло_огр!$G9*блоки_площади_огражд!F$11</f>
        <v>711.60000000000002</v>
      </c>
      <c r="BD9" s="38">
        <f>Много_кол_бло_огр!$G9*блоки_площади_огражд!G$11</f>
        <v>0</v>
      </c>
      <c r="BE9" s="39">
        <f>Много_кол_бло_огр!$G9*блоки_площади_огражд!B$12</f>
        <v>211.07999999999998</v>
      </c>
      <c r="BF9" s="39">
        <f>Много_кол_бло_огр!$G9*блоки_площади_огражд!C$12</f>
        <v>97.920000000000002</v>
      </c>
      <c r="BG9" s="39">
        <f>Много_кол_бло_огр!$G9*блоки_площади_огражд!D$12</f>
        <v>60.840000000000003</v>
      </c>
      <c r="BH9" s="39">
        <f>Много_кол_бло_огр!$G9*блоки_площади_огражд!E$12</f>
        <v>0</v>
      </c>
      <c r="BI9" s="39">
        <f>Много_кол_бло_огр!$G9*блоки_площади_огражд!F$12</f>
        <v>0</v>
      </c>
      <c r="BJ9" s="39">
        <f>Много_кол_бло_огр!$G9*блоки_площади_огражд!G$12</f>
        <v>711.60000000000002</v>
      </c>
      <c r="BK9" s="38">
        <f>Много_кол_бло_огр!$H9*блоки_площади_огражд!B$13</f>
        <v>0</v>
      </c>
      <c r="BL9" s="38">
        <f>Много_кол_бло_огр!$H9*блоки_площади_огражд!C$13</f>
        <v>0</v>
      </c>
      <c r="BM9" s="38">
        <f>Много_кол_бло_огр!$H9*блоки_площади_огражд!D$13</f>
        <v>0</v>
      </c>
      <c r="BN9" s="38">
        <f>Много_кол_бло_огр!$H9*блоки_площади_огражд!E$13</f>
        <v>0</v>
      </c>
      <c r="BO9" s="38">
        <f>Много_кол_бло_огр!$H9*блоки_площади_огражд!F$13</f>
        <v>0</v>
      </c>
      <c r="BP9" s="38">
        <f>Много_кол_бло_огр!$H9*блоки_площади_огражд!G$13</f>
        <v>0</v>
      </c>
      <c r="BQ9" s="39">
        <f>Много_кол_бло_огр!$H9*блоки_площади_огражд!B$14</f>
        <v>0</v>
      </c>
      <c r="BR9" s="39">
        <f>Много_кол_бло_огр!$H9*блоки_площади_огражд!C$14</f>
        <v>0</v>
      </c>
      <c r="BS9" s="39">
        <f>Много_кол_бло_огр!$H9*блоки_площади_огражд!D$14</f>
        <v>0</v>
      </c>
      <c r="BT9" s="39">
        <f>Много_кол_бло_огр!$H9*блоки_площади_огражд!E$14</f>
        <v>0</v>
      </c>
      <c r="BU9" s="39">
        <f>Много_кол_бло_огр!$H9*блоки_площади_огражд!F$14</f>
        <v>0</v>
      </c>
      <c r="BV9" s="39">
        <f>Много_кол_бло_огр!$H9*блоки_площади_огражд!G$14</f>
        <v>0</v>
      </c>
      <c r="BW9" s="40">
        <v>8</v>
      </c>
      <c r="BX9" s="38">
        <f t="shared" si="2"/>
        <v>7209.9600000000009</v>
      </c>
      <c r="BY9" s="38">
        <f t="shared" si="3"/>
        <v>3893.7599999999998</v>
      </c>
      <c r="BZ9" s="38">
        <f t="shared" si="4"/>
        <v>2539.2000000000007</v>
      </c>
      <c r="CA9" s="38">
        <f t="shared" si="5"/>
        <v>22.68</v>
      </c>
      <c r="CB9" s="38">
        <f t="shared" si="6"/>
        <v>3184.6999999999998</v>
      </c>
      <c r="CC9" s="38">
        <f t="shared" si="7"/>
        <v>3184.6999999999998</v>
      </c>
      <c r="CD9" s="65">
        <v>22</v>
      </c>
      <c r="CE9" s="65">
        <v>-34</v>
      </c>
      <c r="CF9" s="41">
        <v>3.8500000000000001</v>
      </c>
      <c r="CG9" s="41">
        <v>0.46999999999999997</v>
      </c>
      <c r="CH9" s="41">
        <v>0.28000000000000003</v>
      </c>
      <c r="CI9" s="41">
        <v>0.46999999999999997</v>
      </c>
      <c r="CJ9" s="41">
        <v>1.3600000000000001</v>
      </c>
      <c r="CK9" s="41">
        <v>1.3600000000000001</v>
      </c>
      <c r="CL9" s="42">
        <f t="shared" si="8"/>
        <v>104872.14545454546</v>
      </c>
      <c r="CM9" s="42">
        <f t="shared" si="9"/>
        <v>463937.36170212767</v>
      </c>
      <c r="CN9" s="42">
        <f t="shared" si="10"/>
        <v>507840.00000000006</v>
      </c>
      <c r="CO9" s="42">
        <f t="shared" si="11"/>
        <v>2702.2978723404258</v>
      </c>
      <c r="CP9" s="42">
        <f t="shared" si="12"/>
        <v>131134.70588235292</v>
      </c>
      <c r="CQ9" s="42">
        <f t="shared" si="13"/>
        <v>131134.70588235292</v>
      </c>
      <c r="CR9" s="38">
        <f t="shared" si="14"/>
        <v>1341621.2167937197</v>
      </c>
      <c r="CS9" s="43"/>
      <c r="CT9" s="43"/>
      <c r="CU9" s="43">
        <f t="shared" si="15"/>
        <v>0</v>
      </c>
      <c r="CV9" s="43"/>
      <c r="CW9" s="66">
        <v>2221270.9700000002</v>
      </c>
      <c r="CX9" s="43">
        <f t="shared" si="16"/>
        <v>1.90994873719965</v>
      </c>
      <c r="CY9" s="44">
        <f t="shared" si="17"/>
        <v>294.13210552874608</v>
      </c>
      <c r="CZ9" s="29"/>
    </row>
    <row r="10">
      <c r="A10" s="45"/>
      <c r="B10" s="67" t="s">
        <v>18</v>
      </c>
      <c r="C10" s="47">
        <f>'Много_кол_бло_огр'!$C10*'блоки_площади_огражд'!$B9</f>
        <v>0</v>
      </c>
      <c r="D10" s="47">
        <f>'Много_кол_бло_огр'!$C10*'блоки_площади_огражд'!$B9</f>
        <v>0</v>
      </c>
      <c r="E10" s="47">
        <f>'Много_кол_бло_огр'!$C10*'блоки_площади_огражд'!$B9</f>
        <v>0</v>
      </c>
      <c r="F10" s="47">
        <f>'Много_кол_бло_огр'!$C10*'блоки_площади_огражд'!$B9</f>
        <v>0</v>
      </c>
      <c r="G10" s="47">
        <f>'Много_кол_бло_огр'!$C10*'блоки_площади_огражд'!$B9</f>
        <v>0</v>
      </c>
      <c r="H10" s="47">
        <f>'Много_кол_бло_огр'!$C10*'блоки_площади_огражд'!$B9</f>
        <v>0</v>
      </c>
      <c r="I10" s="28">
        <f>'Много_кол_бло_огр'!$D10*'блоки_площади_огражд'!B$4</f>
        <v>0</v>
      </c>
      <c r="J10" s="28">
        <f>'Много_кол_бло_огр'!$D10*'блоки_площади_огражд'!C$4</f>
        <v>0</v>
      </c>
      <c r="K10" s="28">
        <f>'Много_кол_бло_огр'!$D10*'блоки_площади_огражд'!D$4</f>
        <v>0</v>
      </c>
      <c r="L10" s="28">
        <f>'Много_кол_бло_огр'!$D10*'блоки_площади_огражд'!E$4</f>
        <v>0</v>
      </c>
      <c r="M10" s="28">
        <f>'Много_кол_бло_огр'!$D10*'блоки_площади_огражд'!F$4</f>
        <v>0</v>
      </c>
      <c r="N10" s="28">
        <f>'Много_кол_бло_огр'!$D10*'блоки_площади_огражд'!G$4</f>
        <v>0</v>
      </c>
      <c r="O10" s="47">
        <f>'Много_кол_бло_огр'!$D10*'блоки_площади_огражд'!B$5</f>
        <v>0</v>
      </c>
      <c r="P10" s="47">
        <f>'Много_кол_бло_огр'!$D10*'блоки_площади_огражд'!C$5</f>
        <v>0</v>
      </c>
      <c r="Q10" s="47">
        <f>'Много_кол_бло_огр'!$D10*'блоки_площади_огражд'!D$5</f>
        <v>0</v>
      </c>
      <c r="R10" s="47">
        <f>'Много_кол_бло_огр'!$D10*'блоки_площади_огражд'!E$5</f>
        <v>0</v>
      </c>
      <c r="S10" s="47">
        <f>'Много_кол_бло_огр'!$D10*'блоки_площади_огражд'!F$5</f>
        <v>0</v>
      </c>
      <c r="T10" s="47">
        <f>'Много_кол_бло_огр'!$D10*'блоки_площади_огражд'!G$5</f>
        <v>0</v>
      </c>
      <c r="U10" s="28">
        <f>'Много_кол_бло_огр'!$D10*'блоки_площади_огражд'!B$6</f>
        <v>0</v>
      </c>
      <c r="V10" s="28">
        <f>'Много_кол_бло_огр'!$D10*'блоки_площади_огражд'!C$6</f>
        <v>0</v>
      </c>
      <c r="W10" s="28">
        <f>'Много_кол_бло_огр'!$D10*'блоки_площади_огражд'!D$6</f>
        <v>0</v>
      </c>
      <c r="X10" s="28">
        <f>'Много_кол_бло_огр'!$D10*'блоки_площади_огражд'!E$6</f>
        <v>0</v>
      </c>
      <c r="Y10" s="28">
        <f>'Много_кол_бло_огр'!$D10*'блоки_площади_огражд'!F$6</f>
        <v>0</v>
      </c>
      <c r="Z10" s="28">
        <f>'Много_кол_бло_огр'!$D10*'блоки_площади_огражд'!G$6</f>
        <v>0</v>
      </c>
      <c r="AA10" s="47">
        <f>'Много_кол_бло_огр'!$E10*'блоки_площади_огражд'!B$7</f>
        <v>428</v>
      </c>
      <c r="AB10" s="47">
        <f>'Много_кол_бло_огр'!$E10*'блоки_площади_огражд'!C$7</f>
        <v>268</v>
      </c>
      <c r="AC10" s="47">
        <f>'Много_кол_бло_огр'!$E10*'блоки_площади_огражд'!D$7</f>
        <v>173.40000000000003</v>
      </c>
      <c r="AD10" s="47">
        <f>'Много_кол_бло_огр'!$E10*'блоки_площади_огражд'!E$7</f>
        <v>12.6</v>
      </c>
      <c r="AE10" s="47">
        <f>'Много_кол_бло_огр'!$E10*'блоки_площади_огражд'!F$7</f>
        <v>1766.5</v>
      </c>
      <c r="AF10" s="47">
        <f>'Много_кол_бло_огр'!$E10*'блоки_площади_огражд'!G$7</f>
        <v>0</v>
      </c>
      <c r="AG10" s="28">
        <f>'Много_кол_бло_огр'!$E10*'блоки_площади_огражд'!B$8</f>
        <v>428.60000000000002</v>
      </c>
      <c r="AH10" s="28">
        <f>'Много_кол_бло_огр'!$E10*'блоки_площади_огражд'!C$8</f>
        <v>280</v>
      </c>
      <c r="AI10" s="28">
        <f>'Много_кол_бло_огр'!$E10*'блоки_площади_огражд'!D$8</f>
        <v>173.40000000000003</v>
      </c>
      <c r="AJ10" s="28">
        <f>'Много_кол_бло_огр'!$E10*'блоки_площади_огражд'!E$8</f>
        <v>0</v>
      </c>
      <c r="AK10" s="28">
        <f>'Много_кол_бло_огр'!$E10*'блоки_площади_огражд'!F$8</f>
        <v>0</v>
      </c>
      <c r="AL10" s="28">
        <f>'Много_кол_бло_огр'!$E10*'блоки_площади_огражд'!G$8</f>
        <v>1766.5</v>
      </c>
      <c r="AM10" s="47">
        <f>'Много_кол_бло_огр'!$F10*'блоки_площади_огражд'!B$9</f>
        <v>260.96000000000004</v>
      </c>
      <c r="AN10" s="47">
        <f>'Много_кол_бло_огр'!$F10*'блоки_площади_огражд'!C$9</f>
        <v>107.19999999999999</v>
      </c>
      <c r="AO10" s="47">
        <f>'Много_кол_бло_огр'!$F10*'блоки_площади_огражд'!D$9</f>
        <v>83.159999999999997</v>
      </c>
      <c r="AP10" s="47">
        <f>'Много_кол_бло_огр'!$F10*'блоки_площади_огражд'!E$9</f>
        <v>5.04</v>
      </c>
      <c r="AQ10" s="47">
        <f>'Много_кол_бло_огр'!$F10*'блоки_площади_огражд'!F$9</f>
        <v>706.60000000000002</v>
      </c>
      <c r="AR10" s="47">
        <f>'Много_кол_бло_огр'!$F10*'блоки_площади_огражд'!G$9</f>
        <v>0</v>
      </c>
      <c r="AS10" s="28">
        <f>'Много_кол_бло_огр'!$F10*'блоки_площади_огражд'!B$10</f>
        <v>261.20000000000005</v>
      </c>
      <c r="AT10" s="28">
        <f>'Много_кол_бло_огр'!$F10*'блоки_площади_огражд'!C$10</f>
        <v>112</v>
      </c>
      <c r="AU10" s="28">
        <f>'Много_кол_бло_огр'!$F10*'блоки_площади_огражд'!D$10</f>
        <v>83.159999999999997</v>
      </c>
      <c r="AV10" s="28">
        <f>'Много_кол_бло_огр'!$F10*'блоки_площади_огражд'!E$10</f>
        <v>0</v>
      </c>
      <c r="AW10" s="28">
        <f>'Много_кол_бло_огр'!$F10*'блоки_площади_огражд'!F$10</f>
        <v>0</v>
      </c>
      <c r="AX10" s="28">
        <f>'Много_кол_бло_огр'!$F10*'блоки_площади_огражд'!G$10</f>
        <v>706.60000000000002</v>
      </c>
      <c r="AY10" s="47">
        <f>'Много_кол_бло_огр'!$G10*'блоки_площади_огражд'!B$11</f>
        <v>214.83999999999997</v>
      </c>
      <c r="AZ10" s="47">
        <f>'Много_кол_бло_огр'!$G10*'блоки_площади_огражд'!C$11</f>
        <v>89.120000000000005</v>
      </c>
      <c r="BA10" s="47">
        <f>'Много_кол_бло_огр'!$G10*'блоки_площади_огражд'!D$11</f>
        <v>60.840000000000003</v>
      </c>
      <c r="BB10" s="47">
        <f>'Много_кол_бло_огр'!$G10*'блоки_площади_огражд'!E$11</f>
        <v>5.04</v>
      </c>
      <c r="BC10" s="47">
        <f>'Много_кол_бло_огр'!$G10*'блоки_площади_огражд'!F$11</f>
        <v>711.60000000000002</v>
      </c>
      <c r="BD10" s="47">
        <f>'Много_кол_бло_огр'!$G10*'блоки_площади_огражд'!G$11</f>
        <v>0</v>
      </c>
      <c r="BE10" s="28">
        <f>'Много_кол_бло_огр'!$G10*'блоки_площади_огражд'!B$12</f>
        <v>211.07999999999998</v>
      </c>
      <c r="BF10" s="28">
        <f>'Много_кол_бло_огр'!$G10*'блоки_площади_огражд'!C$12</f>
        <v>97.920000000000002</v>
      </c>
      <c r="BG10" s="28">
        <f>'Много_кол_бло_огр'!$G10*'блоки_площади_огражд'!D$12</f>
        <v>60.840000000000003</v>
      </c>
      <c r="BH10" s="28">
        <f>'Много_кол_бло_огр'!$G10*'блоки_площади_огражд'!E$12</f>
        <v>0</v>
      </c>
      <c r="BI10" s="28">
        <f>'Много_кол_бло_огр'!$G10*'блоки_площади_огражд'!F$12</f>
        <v>0</v>
      </c>
      <c r="BJ10" s="28">
        <f>'Много_кол_бло_огр'!$G10*'блоки_площади_огражд'!G$12</f>
        <v>711.60000000000002</v>
      </c>
      <c r="BK10" s="47">
        <f>'Много_кол_бло_огр'!$H10*'блоки_площади_огражд'!B$13</f>
        <v>0</v>
      </c>
      <c r="BL10" s="47">
        <f>'Много_кол_бло_огр'!$H10*'блоки_площади_огражд'!C$13</f>
        <v>0</v>
      </c>
      <c r="BM10" s="47">
        <f>'Много_кол_бло_огр'!$H10*'блоки_площади_огражд'!D$13</f>
        <v>0</v>
      </c>
      <c r="BN10" s="47">
        <f>'Много_кол_бло_огр'!$H10*'блоки_площади_огражд'!E$13</f>
        <v>0</v>
      </c>
      <c r="BO10" s="47">
        <f>'Много_кол_бло_огр'!$H10*'блоки_площади_огражд'!F$13</f>
        <v>0</v>
      </c>
      <c r="BP10" s="47">
        <f>'Много_кол_бло_огр'!$H10*'блоки_площади_огражд'!G$13</f>
        <v>0</v>
      </c>
      <c r="BQ10" s="28">
        <f>'Много_кол_бло_огр'!$H10*'блоки_площади_огражд'!B$14</f>
        <v>0</v>
      </c>
      <c r="BR10" s="28">
        <f>'Много_кол_бло_огр'!$H10*'блоки_площади_огражд'!C$14</f>
        <v>0</v>
      </c>
      <c r="BS10" s="28">
        <f>'Много_кол_бло_огр'!$H10*'блоки_площади_огражд'!D$14</f>
        <v>0</v>
      </c>
      <c r="BT10" s="28">
        <f>'Много_кол_бло_огр'!$H10*'блоки_площади_огражд'!E$14</f>
        <v>0</v>
      </c>
      <c r="BU10" s="28">
        <f>'Много_кол_бло_огр'!$H10*'блоки_площади_огражд'!F$14</f>
        <v>0</v>
      </c>
      <c r="BV10" s="28">
        <f>'Много_кол_бло_огр'!$H10*'блоки_площади_огражд'!G$14</f>
        <v>0</v>
      </c>
      <c r="BW10" s="26">
        <v>8</v>
      </c>
      <c r="BX10" s="47">
        <f t="shared" ref="BX10:BX14" si="18">C10+I10*($BW10-1)+O10+U10*($BW10-1)+AA10+AG10*($BW10-1)+AM10+AS10*($BW10-1)+AY10+BE10*($BW10-1)+BK10+BQ10*($BW10-1)</f>
        <v>7209.9600000000009</v>
      </c>
      <c r="BY10" s="47">
        <f t="shared" ref="BY10:BY14" si="19">D10+J10*($BW10-1)+P10+V10*($BW10-1)+AB10+AH10*($BW10-1)+AN10+AT10*($BW10-1)+AZ10+BF10*($BW10-1)+BL10+BR10*($BW10-1)</f>
        <v>3893.7599999999998</v>
      </c>
      <c r="BZ10" s="47">
        <f t="shared" ref="BZ10:BZ14" si="20">E10+K10*($BW10-1)+Q10+W10*($BW10-1)+AC10+AI10*($BW10-1)+AO10+AU10*($BW10-1)+BA10+BG10*($BW10-1)+BM10+BS10*($BW10-1)</f>
        <v>2539.2000000000007</v>
      </c>
      <c r="CA10" s="47">
        <f t="shared" ref="CA10:CA14" si="21">F10+L10*($BW10-1)+R10+X10*($BW10-1)+AD10+AJ10*($BW10-1)+AP10+AV10*($BW10-1)+BB10+BH10*($BW10-1)+BN10+BT10*($BW10-1)</f>
        <v>22.68</v>
      </c>
      <c r="CB10" s="47">
        <f t="shared" ref="CB10:CB14" si="22">G10+M10+S10+Y10+AE10+AK10+AQ10+AW10+BC10+BI10+BO10+BU10</f>
        <v>3184.6999999999998</v>
      </c>
      <c r="CC10" s="47">
        <f t="shared" ref="CC10:CC14" si="23">H10+N10+T10+Z10+AF10+AL10+AR10+AX10+BD10+BJ10+BP10+BV10</f>
        <v>3184.6999999999998</v>
      </c>
      <c r="CD10" s="48">
        <v>22</v>
      </c>
      <c r="CE10" s="48">
        <v>-34</v>
      </c>
      <c r="CF10" s="49">
        <v>3.8500000000000001</v>
      </c>
      <c r="CG10" s="49">
        <v>0.46999999999999997</v>
      </c>
      <c r="CH10" s="49">
        <v>0.28000000000000003</v>
      </c>
      <c r="CI10" s="49">
        <v>0.46999999999999997</v>
      </c>
      <c r="CJ10" s="49">
        <v>1.3600000000000001</v>
      </c>
      <c r="CK10" s="49">
        <v>1.3600000000000001</v>
      </c>
      <c r="CL10" s="50">
        <f t="shared" ref="CL10:CL14" si="24">BX10*(($CD10-$CE10)/CF10)</f>
        <v>104872.14545454546</v>
      </c>
      <c r="CM10" s="50">
        <f t="shared" ref="CM10:CM14" si="25">BY10*(($CD10-$CE10)/CG10)</f>
        <v>463937.36170212767</v>
      </c>
      <c r="CN10" s="50">
        <f t="shared" ref="CN10:CN14" si="26">BZ10*(($CD10-$CE10)/CH10)</f>
        <v>507840.00000000006</v>
      </c>
      <c r="CO10" s="50">
        <f t="shared" ref="CO10:CO14" si="27">CA10*(($CD10-$CE10)/CI10)</f>
        <v>2702.2978723404258</v>
      </c>
      <c r="CP10" s="50">
        <f t="shared" ref="CP10:CP14" si="28">CB10*(($CD10-$CE10)/CJ10)</f>
        <v>131134.70588235292</v>
      </c>
      <c r="CQ10" s="50">
        <f t="shared" ref="CQ10:CQ14" si="29">CC10*(($CD10-$CE10)/CK10)</f>
        <v>131134.70588235292</v>
      </c>
      <c r="CR10" s="47">
        <f t="shared" ref="CR10:CR14" si="30">SUM(CL10:CQ10)</f>
        <v>1341621.2167937197</v>
      </c>
      <c r="CS10" s="29"/>
      <c r="CT10" s="29"/>
      <c r="CU10" s="29">
        <f t="shared" ref="CU10:CU14" si="31">CT10*0.000001</f>
        <v>0</v>
      </c>
      <c r="CV10" s="29"/>
      <c r="CW10" s="51">
        <v>2221270.9700000002</v>
      </c>
      <c r="CX10" s="29">
        <f t="shared" ref="CX10:CX14" si="32">CW10*0.000001*0.859845</f>
        <v>1.90994873719965</v>
      </c>
      <c r="CY10" s="52">
        <f t="shared" ref="CY10:CY14" si="33">CX10*154</f>
        <v>294.13210552874608</v>
      </c>
      <c r="CZ10" s="29"/>
    </row>
    <row r="11">
      <c r="A11" s="53"/>
      <c r="B11" s="68" t="s">
        <v>19</v>
      </c>
      <c r="C11" s="55">
        <f>'Много_кол_бло_огр'!$C11*'блоки_площади_огражд'!$B10</f>
        <v>0</v>
      </c>
      <c r="D11" s="55">
        <f>'Много_кол_бло_огр'!$C11*'блоки_площади_огражд'!$B10</f>
        <v>0</v>
      </c>
      <c r="E11" s="55">
        <f>'Много_кол_бло_огр'!$C11*'блоки_площади_огражд'!$B10</f>
        <v>0</v>
      </c>
      <c r="F11" s="55">
        <f>'Много_кол_бло_огр'!$C11*'блоки_площади_огражд'!$B10</f>
        <v>0</v>
      </c>
      <c r="G11" s="55">
        <f>'Много_кол_бло_огр'!$C11*'блоки_площади_огражд'!$B10</f>
        <v>0</v>
      </c>
      <c r="H11" s="55">
        <f>'Много_кол_бло_огр'!$C11*'блоки_площади_огражд'!$B10</f>
        <v>0</v>
      </c>
      <c r="I11" s="56">
        <f>Много_кол_бло_огр!$D11*блоки_площади_огражд!B$4</f>
        <v>0</v>
      </c>
      <c r="J11" s="56">
        <f>Много_кол_бло_огр!$D11*блоки_площади_огражд!C$4</f>
        <v>0</v>
      </c>
      <c r="K11" s="56">
        <f>Много_кол_бло_огр!$D11*блоки_площади_огражд!D$4</f>
        <v>0</v>
      </c>
      <c r="L11" s="56">
        <f>Много_кол_бло_огр!$D11*блоки_площади_огражд!E$4</f>
        <v>0</v>
      </c>
      <c r="M11" s="56">
        <f>Много_кол_бло_огр!$D11*блоки_площади_огражд!F$4</f>
        <v>0</v>
      </c>
      <c r="N11" s="56">
        <f>Много_кол_бло_огр!$D11*блоки_площади_огражд!G$4</f>
        <v>0</v>
      </c>
      <c r="O11" s="55">
        <f>Много_кол_бло_огр!$D11*блоки_площади_огражд!B$5</f>
        <v>0</v>
      </c>
      <c r="P11" s="55">
        <f>Много_кол_бло_огр!$D11*блоки_площади_огражд!C$5</f>
        <v>0</v>
      </c>
      <c r="Q11" s="55">
        <f>Много_кол_бло_огр!$D11*блоки_площади_огражд!D$5</f>
        <v>0</v>
      </c>
      <c r="R11" s="55">
        <f>Много_кол_бло_огр!$D11*блоки_площади_огражд!E$5</f>
        <v>0</v>
      </c>
      <c r="S11" s="55">
        <f>Много_кол_бло_огр!$D11*блоки_площади_огражд!F$5</f>
        <v>0</v>
      </c>
      <c r="T11" s="55">
        <f>Много_кол_бло_огр!$D11*блоки_площади_огражд!G$5</f>
        <v>0</v>
      </c>
      <c r="U11" s="56">
        <f>Много_кол_бло_огр!$D11*блоки_площади_огражд!B$6</f>
        <v>0</v>
      </c>
      <c r="V11" s="56">
        <f>Много_кол_бло_огр!$D11*блоки_площади_огражд!C$6</f>
        <v>0</v>
      </c>
      <c r="W11" s="56">
        <f>Много_кол_бло_огр!$D11*блоки_площади_огражд!D$6</f>
        <v>0</v>
      </c>
      <c r="X11" s="56">
        <f>Много_кол_бло_огр!$D11*блоки_площади_огражд!E$6</f>
        <v>0</v>
      </c>
      <c r="Y11" s="56">
        <f>Много_кол_бло_огр!$D11*блоки_площади_огражд!F$6</f>
        <v>0</v>
      </c>
      <c r="Z11" s="56">
        <f>Много_кол_бло_огр!$D11*блоки_площади_огражд!G$6</f>
        <v>0</v>
      </c>
      <c r="AA11" s="55">
        <f>Много_кол_бло_огр!$E11*блоки_площади_огражд!B$7</f>
        <v>428</v>
      </c>
      <c r="AB11" s="55">
        <f>Много_кол_бло_огр!$E11*блоки_площади_огражд!C$7</f>
        <v>268</v>
      </c>
      <c r="AC11" s="55">
        <f>Много_кол_бло_огр!$E11*блоки_площади_огражд!D$7</f>
        <v>173.40000000000003</v>
      </c>
      <c r="AD11" s="55">
        <f>Много_кол_бло_огр!$E11*блоки_площади_огражд!E$7</f>
        <v>12.6</v>
      </c>
      <c r="AE11" s="55">
        <f>Много_кол_бло_огр!$E11*блоки_площади_огражд!F$7</f>
        <v>1766.5</v>
      </c>
      <c r="AF11" s="55">
        <f>Много_кол_бло_огр!$E11*блоки_площади_огражд!G$7</f>
        <v>0</v>
      </c>
      <c r="AG11" s="56">
        <f>Много_кол_бло_огр!$E11*блоки_площади_огражд!B$8</f>
        <v>428.60000000000002</v>
      </c>
      <c r="AH11" s="56">
        <f>Много_кол_бло_огр!$E11*блоки_площади_огражд!C$8</f>
        <v>280</v>
      </c>
      <c r="AI11" s="56">
        <f>Много_кол_бло_огр!$E11*блоки_площади_огражд!D$8</f>
        <v>173.40000000000003</v>
      </c>
      <c r="AJ11" s="56">
        <f>Много_кол_бло_огр!$E11*блоки_площади_огражд!E$8</f>
        <v>0</v>
      </c>
      <c r="AK11" s="56">
        <f>Много_кол_бло_огр!$E11*блоки_площади_огражд!F$8</f>
        <v>0</v>
      </c>
      <c r="AL11" s="56">
        <f>Много_кол_бло_огр!$E11*блоки_площади_огражд!G$8</f>
        <v>1766.5</v>
      </c>
      <c r="AM11" s="55">
        <f>Много_кол_бло_огр!$F11*блоки_площади_огражд!B$9</f>
        <v>260.96000000000004</v>
      </c>
      <c r="AN11" s="55">
        <f>Много_кол_бло_огр!$F11*блоки_площади_огражд!C$9</f>
        <v>107.19999999999999</v>
      </c>
      <c r="AO11" s="55">
        <f>Много_кол_бло_огр!$F11*блоки_площади_огражд!D$9</f>
        <v>83.159999999999997</v>
      </c>
      <c r="AP11" s="55">
        <f>Много_кол_бло_огр!$F11*блоки_площади_огражд!E$9</f>
        <v>5.04</v>
      </c>
      <c r="AQ11" s="55">
        <f>Много_кол_бло_огр!$F11*блоки_площади_огражд!F$9</f>
        <v>706.60000000000002</v>
      </c>
      <c r="AR11" s="55">
        <f>Много_кол_бло_огр!$F11*блоки_площади_огражд!G$9</f>
        <v>0</v>
      </c>
      <c r="AS11" s="56">
        <f>Много_кол_бло_огр!$F11*блоки_площади_огражд!B$10</f>
        <v>261.20000000000005</v>
      </c>
      <c r="AT11" s="56">
        <f>Много_кол_бло_огр!$F11*блоки_площади_огражд!C$10</f>
        <v>112</v>
      </c>
      <c r="AU11" s="56">
        <f>Много_кол_бло_огр!$F11*блоки_площади_огражд!D$10</f>
        <v>83.159999999999997</v>
      </c>
      <c r="AV11" s="56">
        <f>Много_кол_бло_огр!$F11*блоки_площади_огражд!E$10</f>
        <v>0</v>
      </c>
      <c r="AW11" s="56">
        <f>Много_кол_бло_огр!$F11*блоки_площади_огражд!F$10</f>
        <v>0</v>
      </c>
      <c r="AX11" s="56">
        <f>Много_кол_бло_огр!$F11*блоки_площади_огражд!G$10</f>
        <v>706.60000000000002</v>
      </c>
      <c r="AY11" s="55">
        <f>Много_кол_бло_огр!$G11*блоки_площади_огражд!B$11</f>
        <v>214.83999999999997</v>
      </c>
      <c r="AZ11" s="55">
        <f>Много_кол_бло_огр!$G11*блоки_площади_огражд!C$11</f>
        <v>89.120000000000005</v>
      </c>
      <c r="BA11" s="55">
        <f>Много_кол_бло_огр!$G11*блоки_площади_огражд!D$11</f>
        <v>60.840000000000003</v>
      </c>
      <c r="BB11" s="55">
        <f>Много_кол_бло_огр!$G11*блоки_площади_огражд!E$11</f>
        <v>5.04</v>
      </c>
      <c r="BC11" s="55">
        <f>Много_кол_бло_огр!$G11*блоки_площади_огражд!F$11</f>
        <v>711.60000000000002</v>
      </c>
      <c r="BD11" s="55">
        <f>Много_кол_бло_огр!$G11*блоки_площади_огражд!G$11</f>
        <v>0</v>
      </c>
      <c r="BE11" s="56">
        <f>Много_кол_бло_огр!$G11*блоки_площади_огражд!B$12</f>
        <v>211.07999999999998</v>
      </c>
      <c r="BF11" s="56">
        <f>Много_кол_бло_огр!$G11*блоки_площади_огражд!C$12</f>
        <v>97.920000000000002</v>
      </c>
      <c r="BG11" s="56">
        <f>Много_кол_бло_огр!$G11*блоки_площади_огражд!D$12</f>
        <v>60.840000000000003</v>
      </c>
      <c r="BH11" s="56">
        <f>Много_кол_бло_огр!$G11*блоки_площади_огражд!E$12</f>
        <v>0</v>
      </c>
      <c r="BI11" s="56">
        <f>Много_кол_бло_огр!$G11*блоки_площади_огражд!F$12</f>
        <v>0</v>
      </c>
      <c r="BJ11" s="56">
        <f>Много_кол_бло_огр!$G11*блоки_площади_огражд!G$12</f>
        <v>711.60000000000002</v>
      </c>
      <c r="BK11" s="55">
        <f>Много_кол_бло_огр!$H11*блоки_площади_огражд!B$13</f>
        <v>0</v>
      </c>
      <c r="BL11" s="55">
        <f>Много_кол_бло_огр!$H11*блоки_площади_огражд!C$13</f>
        <v>0</v>
      </c>
      <c r="BM11" s="55">
        <f>Много_кол_бло_огр!$H11*блоки_площади_огражд!D$13</f>
        <v>0</v>
      </c>
      <c r="BN11" s="55">
        <f>Много_кол_бло_огр!$H11*блоки_площади_огражд!E$13</f>
        <v>0</v>
      </c>
      <c r="BO11" s="55">
        <f>Много_кол_бло_огр!$H11*блоки_площади_огражд!F$13</f>
        <v>0</v>
      </c>
      <c r="BP11" s="55">
        <f>Много_кол_бло_огр!$H11*блоки_площади_огражд!G$13</f>
        <v>0</v>
      </c>
      <c r="BQ11" s="56">
        <f>Много_кол_бло_огр!$H11*блоки_площади_огражд!B$14</f>
        <v>0</v>
      </c>
      <c r="BR11" s="56">
        <f>Много_кол_бло_огр!$H11*блоки_площади_огражд!C$14</f>
        <v>0</v>
      </c>
      <c r="BS11" s="56">
        <f>Много_кол_бло_огр!$H11*блоки_площади_огражд!D$14</f>
        <v>0</v>
      </c>
      <c r="BT11" s="56">
        <f>Много_кол_бло_огр!$H11*блоки_площади_огражд!E$14</f>
        <v>0</v>
      </c>
      <c r="BU11" s="56">
        <f>Много_кол_бло_огр!$H11*блоки_площади_огражд!F$14</f>
        <v>0</v>
      </c>
      <c r="BV11" s="56">
        <f>Много_кол_бло_огр!$H11*блоки_площади_огражд!G$14</f>
        <v>0</v>
      </c>
      <c r="BW11" s="57">
        <v>8</v>
      </c>
      <c r="BX11" s="55">
        <f t="shared" si="18"/>
        <v>7209.9600000000009</v>
      </c>
      <c r="BY11" s="55">
        <f t="shared" si="19"/>
        <v>3893.7599999999998</v>
      </c>
      <c r="BZ11" s="55">
        <f t="shared" si="20"/>
        <v>2539.2000000000007</v>
      </c>
      <c r="CA11" s="55">
        <f t="shared" si="21"/>
        <v>22.68</v>
      </c>
      <c r="CB11" s="55">
        <f t="shared" si="22"/>
        <v>3184.6999999999998</v>
      </c>
      <c r="CC11" s="55">
        <f t="shared" si="23"/>
        <v>3184.6999999999998</v>
      </c>
      <c r="CD11" s="58">
        <v>22</v>
      </c>
      <c r="CE11" s="58">
        <v>-34</v>
      </c>
      <c r="CF11" s="59">
        <v>3.8500000000000001</v>
      </c>
      <c r="CG11" s="59">
        <v>0.46999999999999997</v>
      </c>
      <c r="CH11" s="59">
        <v>0.28000000000000003</v>
      </c>
      <c r="CI11" s="59">
        <v>0.46999999999999997</v>
      </c>
      <c r="CJ11" s="59">
        <v>1.3600000000000001</v>
      </c>
      <c r="CK11" s="59">
        <v>1.3600000000000001</v>
      </c>
      <c r="CL11" s="60">
        <f t="shared" si="24"/>
        <v>104872.14545454546</v>
      </c>
      <c r="CM11" s="60">
        <f t="shared" si="25"/>
        <v>463937.36170212767</v>
      </c>
      <c r="CN11" s="60">
        <f t="shared" si="26"/>
        <v>507840.00000000006</v>
      </c>
      <c r="CO11" s="60">
        <f t="shared" si="27"/>
        <v>2702.2978723404258</v>
      </c>
      <c r="CP11" s="60">
        <f t="shared" si="28"/>
        <v>131134.70588235292</v>
      </c>
      <c r="CQ11" s="60">
        <f t="shared" si="29"/>
        <v>131134.70588235292</v>
      </c>
      <c r="CR11" s="55">
        <f t="shared" si="30"/>
        <v>1341621.2167937197</v>
      </c>
      <c r="CS11" s="61"/>
      <c r="CT11" s="61"/>
      <c r="CU11" s="61">
        <f t="shared" si="31"/>
        <v>0</v>
      </c>
      <c r="CV11" s="61"/>
      <c r="CW11" s="62">
        <v>2221270.9700000002</v>
      </c>
      <c r="CX11" s="61">
        <f t="shared" si="32"/>
        <v>1.90994873719965</v>
      </c>
      <c r="CY11" s="63">
        <f t="shared" si="33"/>
        <v>294.13210552874608</v>
      </c>
      <c r="CZ11" s="29">
        <f>SUM(CY9:CY11)</f>
        <v>882.3963165862383</v>
      </c>
      <c r="DA11">
        <f>(SUM(CW9:CW11))*0.000001</f>
        <v>6.6638129099999999</v>
      </c>
    </row>
    <row r="12">
      <c r="A12" s="36" t="s">
        <v>20</v>
      </c>
      <c r="B12" s="64" t="s">
        <v>21</v>
      </c>
      <c r="C12" s="38">
        <f>Много_кол_бло_огр!$C12*блоки_площади_огражд!$B11</f>
        <v>0</v>
      </c>
      <c r="D12" s="38">
        <f>Много_кол_бло_огр!$C12*блоки_площади_огражд!$B11</f>
        <v>0</v>
      </c>
      <c r="E12" s="38">
        <f>Много_кол_бло_огр!$C12*блоки_площади_огражд!$B11</f>
        <v>0</v>
      </c>
      <c r="F12" s="38">
        <f>Много_кол_бло_огр!$C12*блоки_площади_огражд!$B11</f>
        <v>0</v>
      </c>
      <c r="G12" s="38">
        <f>Много_кол_бло_огр!$C12*блоки_площади_огражд!$B11</f>
        <v>0</v>
      </c>
      <c r="H12" s="38">
        <f>Много_кол_бло_огр!$C12*блоки_площади_огражд!$B11</f>
        <v>0</v>
      </c>
      <c r="I12" s="39">
        <f>Много_кол_бло_огр!$D12*блоки_площади_огражд!B$4</f>
        <v>0</v>
      </c>
      <c r="J12" s="39">
        <f>Много_кол_бло_огр!$D12*блоки_площади_огражд!C$4</f>
        <v>0</v>
      </c>
      <c r="K12" s="39">
        <f>Много_кол_бло_огр!$D12*блоки_площади_огражд!D$4</f>
        <v>0</v>
      </c>
      <c r="L12" s="39">
        <f>Много_кол_бло_огр!$D12*блоки_площади_огражд!E$4</f>
        <v>0</v>
      </c>
      <c r="M12" s="39">
        <f>Много_кол_бло_огр!$D12*блоки_площади_огражд!F$4</f>
        <v>0</v>
      </c>
      <c r="N12" s="39">
        <f>Много_кол_бло_огр!$D12*блоки_площади_огражд!G$4</f>
        <v>0</v>
      </c>
      <c r="O12" s="38">
        <f>Много_кол_бло_огр!$D12*блоки_площади_огражд!B$5</f>
        <v>0</v>
      </c>
      <c r="P12" s="38">
        <f>Много_кол_бло_огр!$D12*блоки_площади_огражд!C$5</f>
        <v>0</v>
      </c>
      <c r="Q12" s="38">
        <f>Много_кол_бло_огр!$D12*блоки_площади_огражд!D$5</f>
        <v>0</v>
      </c>
      <c r="R12" s="38">
        <f>Много_кол_бло_огр!$D12*блоки_площади_огражд!E$5</f>
        <v>0</v>
      </c>
      <c r="S12" s="38">
        <f>Много_кол_бло_огр!$D12*блоки_площади_огражд!F$5</f>
        <v>0</v>
      </c>
      <c r="T12" s="38">
        <f>Много_кол_бло_огр!$D12*блоки_площади_огражд!G$5</f>
        <v>0</v>
      </c>
      <c r="U12" s="39">
        <f>Много_кол_бло_огр!$D12*блоки_площади_огражд!B$6</f>
        <v>0</v>
      </c>
      <c r="V12" s="39">
        <f>Много_кол_бло_огр!$D12*блоки_площади_огражд!C$6</f>
        <v>0</v>
      </c>
      <c r="W12" s="39">
        <f>Много_кол_бло_огр!$D12*блоки_площади_огражд!D$6</f>
        <v>0</v>
      </c>
      <c r="X12" s="39">
        <f>Много_кол_бло_огр!$D12*блоки_площади_огражд!E$6</f>
        <v>0</v>
      </c>
      <c r="Y12" s="39">
        <f>Много_кол_бло_огр!$D12*блоки_площади_огражд!F$6</f>
        <v>0</v>
      </c>
      <c r="Z12" s="39">
        <f>Много_кол_бло_огр!$D12*блоки_площади_огражд!G$6</f>
        <v>0</v>
      </c>
      <c r="AA12" s="38">
        <f>Много_кол_бло_огр!$E12*блоки_площади_огражд!B$7</f>
        <v>428</v>
      </c>
      <c r="AB12" s="38">
        <f>Много_кол_бло_огр!$E12*блоки_площади_огражд!C$7</f>
        <v>268</v>
      </c>
      <c r="AC12" s="38">
        <f>Много_кол_бло_огр!$E12*блоки_площади_огражд!D$7</f>
        <v>173.40000000000003</v>
      </c>
      <c r="AD12" s="38">
        <f>Много_кол_бло_огр!$E12*блоки_площади_огражд!E$7</f>
        <v>12.6</v>
      </c>
      <c r="AE12" s="38">
        <f>Много_кол_бло_огр!$E12*блоки_площади_огражд!F$7</f>
        <v>1766.5</v>
      </c>
      <c r="AF12" s="38">
        <f>Много_кол_бло_огр!$E12*блоки_площади_огражд!G$7</f>
        <v>0</v>
      </c>
      <c r="AG12" s="39">
        <f>Много_кол_бло_огр!$E12*блоки_площади_огражд!B$8</f>
        <v>428.60000000000002</v>
      </c>
      <c r="AH12" s="39">
        <f>Много_кол_бло_огр!$E12*блоки_площади_огражд!C$8</f>
        <v>280</v>
      </c>
      <c r="AI12" s="39">
        <f>Много_кол_бло_огр!$E12*блоки_площади_огражд!D$8</f>
        <v>173.40000000000003</v>
      </c>
      <c r="AJ12" s="39">
        <f>Много_кол_бло_огр!$E12*блоки_площади_огражд!E$8</f>
        <v>0</v>
      </c>
      <c r="AK12" s="39">
        <f>Много_кол_бло_огр!$E12*блоки_площади_огражд!F$8</f>
        <v>0</v>
      </c>
      <c r="AL12" s="39">
        <f>Много_кол_бло_огр!$E12*блоки_площади_огражд!G$8</f>
        <v>1766.5</v>
      </c>
      <c r="AM12" s="38">
        <f>Много_кол_бло_огр!$F12*блоки_площади_огражд!B$9</f>
        <v>260.96000000000004</v>
      </c>
      <c r="AN12" s="38">
        <f>Много_кол_бло_огр!$F12*блоки_площади_огражд!C$9</f>
        <v>107.19999999999999</v>
      </c>
      <c r="AO12" s="38">
        <f>Много_кол_бло_огр!$F12*блоки_площади_огражд!D$9</f>
        <v>83.159999999999997</v>
      </c>
      <c r="AP12" s="38">
        <f>Много_кол_бло_огр!$F12*блоки_площади_огражд!E$9</f>
        <v>5.04</v>
      </c>
      <c r="AQ12" s="38">
        <f>Много_кол_бло_огр!$F12*блоки_площади_огражд!F$9</f>
        <v>706.60000000000002</v>
      </c>
      <c r="AR12" s="38">
        <f>Много_кол_бло_огр!$F12*блоки_площади_огражд!G$9</f>
        <v>0</v>
      </c>
      <c r="AS12" s="39">
        <f>Много_кол_бло_огр!$F12*блоки_площади_огражд!B$10</f>
        <v>261.20000000000005</v>
      </c>
      <c r="AT12" s="39">
        <f>Много_кол_бло_огр!$F12*блоки_площади_огражд!C$10</f>
        <v>112</v>
      </c>
      <c r="AU12" s="39">
        <f>Много_кол_бло_огр!$F12*блоки_площади_огражд!D$10</f>
        <v>83.159999999999997</v>
      </c>
      <c r="AV12" s="39">
        <f>Много_кол_бло_огр!$F12*блоки_площади_огражд!E$10</f>
        <v>0</v>
      </c>
      <c r="AW12" s="39">
        <f>Много_кол_бло_огр!$F12*блоки_площади_огражд!F$10</f>
        <v>0</v>
      </c>
      <c r="AX12" s="39">
        <f>Много_кол_бло_огр!$F12*блоки_площади_огражд!G$10</f>
        <v>706.60000000000002</v>
      </c>
      <c r="AY12" s="38">
        <f>Много_кол_бло_огр!$G12*блоки_площади_огражд!B$11</f>
        <v>214.83999999999997</v>
      </c>
      <c r="AZ12" s="38">
        <f>Много_кол_бло_огр!$G12*блоки_площади_огражд!C$11</f>
        <v>89.120000000000005</v>
      </c>
      <c r="BA12" s="38">
        <f>Много_кол_бло_огр!$G12*блоки_площади_огражд!D$11</f>
        <v>60.840000000000003</v>
      </c>
      <c r="BB12" s="38">
        <f>Много_кол_бло_огр!$G12*блоки_площади_огражд!E$11</f>
        <v>5.04</v>
      </c>
      <c r="BC12" s="38">
        <f>Много_кол_бло_огр!$G12*блоки_площади_огражд!F$11</f>
        <v>711.60000000000002</v>
      </c>
      <c r="BD12" s="38">
        <f>Много_кол_бло_огр!$G12*блоки_площади_огражд!G$11</f>
        <v>0</v>
      </c>
      <c r="BE12" s="39">
        <f>Много_кол_бло_огр!$G12*блоки_площади_огражд!B$12</f>
        <v>211.07999999999998</v>
      </c>
      <c r="BF12" s="39">
        <f>Много_кол_бло_огр!$G12*блоки_площади_огражд!C$12</f>
        <v>97.920000000000002</v>
      </c>
      <c r="BG12" s="39">
        <f>Много_кол_бло_огр!$G12*блоки_площади_огражд!D$12</f>
        <v>60.840000000000003</v>
      </c>
      <c r="BH12" s="39">
        <f>Много_кол_бло_огр!$G12*блоки_площади_огражд!E$12</f>
        <v>0</v>
      </c>
      <c r="BI12" s="39">
        <f>Много_кол_бло_огр!$G12*блоки_площади_огражд!F$12</f>
        <v>0</v>
      </c>
      <c r="BJ12" s="39">
        <f>Много_кол_бло_огр!$G12*блоки_площади_огражд!G$12</f>
        <v>711.60000000000002</v>
      </c>
      <c r="BK12" s="38">
        <f>Много_кол_бло_огр!$H12*блоки_площади_огражд!B$13</f>
        <v>0</v>
      </c>
      <c r="BL12" s="38">
        <f>Много_кол_бло_огр!$H12*блоки_площади_огражд!C$13</f>
        <v>0</v>
      </c>
      <c r="BM12" s="38">
        <f>Много_кол_бло_огр!$H12*блоки_площади_огражд!D$13</f>
        <v>0</v>
      </c>
      <c r="BN12" s="38">
        <f>Много_кол_бло_огр!$H12*блоки_площади_огражд!E$13</f>
        <v>0</v>
      </c>
      <c r="BO12" s="38">
        <f>Много_кол_бло_огр!$H12*блоки_площади_огражд!F$13</f>
        <v>0</v>
      </c>
      <c r="BP12" s="38">
        <f>Много_кол_бло_огр!$H12*блоки_площади_огражд!G$13</f>
        <v>0</v>
      </c>
      <c r="BQ12" s="39">
        <f>Много_кол_бло_огр!$H12*блоки_площади_огражд!B$14</f>
        <v>0</v>
      </c>
      <c r="BR12" s="39">
        <f>Много_кол_бло_огр!$H12*блоки_площади_огражд!C$14</f>
        <v>0</v>
      </c>
      <c r="BS12" s="39">
        <f>Много_кол_бло_огр!$H12*блоки_площади_огражд!D$14</f>
        <v>0</v>
      </c>
      <c r="BT12" s="39">
        <f>Много_кол_бло_огр!$H12*блоки_площади_огражд!E$14</f>
        <v>0</v>
      </c>
      <c r="BU12" s="39">
        <f>Много_кол_бло_огр!$H12*блоки_площади_огражд!F$14</f>
        <v>0</v>
      </c>
      <c r="BV12" s="39">
        <f>Много_кол_бло_огр!$H12*блоки_площади_огражд!G$14</f>
        <v>0</v>
      </c>
      <c r="BW12" s="40">
        <v>8</v>
      </c>
      <c r="BX12" s="38">
        <f t="shared" si="18"/>
        <v>7209.9600000000009</v>
      </c>
      <c r="BY12" s="38">
        <f t="shared" si="19"/>
        <v>3893.7599999999998</v>
      </c>
      <c r="BZ12" s="38">
        <f t="shared" si="20"/>
        <v>2539.2000000000007</v>
      </c>
      <c r="CA12" s="38">
        <f t="shared" si="21"/>
        <v>22.68</v>
      </c>
      <c r="CB12" s="38">
        <f t="shared" si="22"/>
        <v>3184.6999999999998</v>
      </c>
      <c r="CC12" s="38">
        <f t="shared" si="23"/>
        <v>3184.6999999999998</v>
      </c>
      <c r="CD12" s="39">
        <v>22</v>
      </c>
      <c r="CE12" s="65">
        <v>-34</v>
      </c>
      <c r="CF12" s="42">
        <v>3.8500000000000001</v>
      </c>
      <c r="CG12" s="42">
        <v>0.46999999999999997</v>
      </c>
      <c r="CH12" s="42">
        <v>0.28000000000000003</v>
      </c>
      <c r="CI12" s="42">
        <v>0.46999999999999997</v>
      </c>
      <c r="CJ12" s="42">
        <v>1.3600000000000001</v>
      </c>
      <c r="CK12" s="42">
        <v>1.3600000000000001</v>
      </c>
      <c r="CL12" s="42">
        <f t="shared" si="24"/>
        <v>104872.14545454546</v>
      </c>
      <c r="CM12" s="42">
        <f t="shared" si="25"/>
        <v>463937.36170212767</v>
      </c>
      <c r="CN12" s="42">
        <f t="shared" si="26"/>
        <v>507840.00000000006</v>
      </c>
      <c r="CO12" s="42">
        <f t="shared" si="27"/>
        <v>2702.2978723404258</v>
      </c>
      <c r="CP12" s="42">
        <f t="shared" si="28"/>
        <v>131134.70588235292</v>
      </c>
      <c r="CQ12" s="42">
        <f t="shared" si="29"/>
        <v>131134.70588235292</v>
      </c>
      <c r="CR12" s="38">
        <f t="shared" si="30"/>
        <v>1341621.2167937197</v>
      </c>
      <c r="CS12" s="69"/>
      <c r="CT12" s="43"/>
      <c r="CU12" s="43">
        <f t="shared" si="31"/>
        <v>0</v>
      </c>
      <c r="CV12" s="43"/>
      <c r="CW12" s="66">
        <v>2221270.9700000002</v>
      </c>
      <c r="CX12" s="43">
        <f t="shared" si="32"/>
        <v>1.90994873719965</v>
      </c>
      <c r="CY12" s="44">
        <f t="shared" si="33"/>
        <v>294.13210552874608</v>
      </c>
      <c r="CZ12" s="29"/>
    </row>
    <row r="13">
      <c r="A13" s="45"/>
      <c r="B13" s="67" t="s">
        <v>22</v>
      </c>
      <c r="C13" s="47">
        <f>Много_кол_бло_огр!$C13*блоки_площади_огражд!$B12</f>
        <v>0</v>
      </c>
      <c r="D13" s="47">
        <f>Много_кол_бло_огр!$C13*блоки_площади_огражд!$B12</f>
        <v>0</v>
      </c>
      <c r="E13" s="47">
        <f>Много_кол_бло_огр!$C13*блоки_площади_огражд!$B12</f>
        <v>0</v>
      </c>
      <c r="F13" s="47">
        <f>Много_кол_бло_огр!$C13*блоки_площади_огражд!$B12</f>
        <v>0</v>
      </c>
      <c r="G13" s="47">
        <f>Много_кол_бло_огр!$C13*блоки_площади_огражд!$B12</f>
        <v>0</v>
      </c>
      <c r="H13" s="47">
        <f>Много_кол_бло_огр!$C13*блоки_площади_огражд!$B12</f>
        <v>0</v>
      </c>
      <c r="I13" s="28">
        <f>Много_кол_бло_огр!$D13*блоки_площади_огражд!B$4</f>
        <v>0</v>
      </c>
      <c r="J13" s="28">
        <f>Много_кол_бло_огр!$D13*блоки_площади_огражд!C$4</f>
        <v>0</v>
      </c>
      <c r="K13" s="28">
        <f>Много_кол_бло_огр!$D13*блоки_площади_огражд!D$4</f>
        <v>0</v>
      </c>
      <c r="L13" s="28">
        <f>Много_кол_бло_огр!$D13*блоки_площади_огражд!E$4</f>
        <v>0</v>
      </c>
      <c r="M13" s="28">
        <f>Много_кол_бло_огр!$D13*блоки_площади_огражд!F$4</f>
        <v>0</v>
      </c>
      <c r="N13" s="28">
        <f>Много_кол_бло_огр!$D13*блоки_площади_огражд!G$4</f>
        <v>0</v>
      </c>
      <c r="O13" s="47">
        <f>Много_кол_бло_огр!$D13*блоки_площади_огражд!B$5</f>
        <v>0</v>
      </c>
      <c r="P13" s="47">
        <f>Много_кол_бло_огр!$D13*блоки_площади_огражд!C$5</f>
        <v>0</v>
      </c>
      <c r="Q13" s="47">
        <f>Много_кол_бло_огр!$D13*блоки_площади_огражд!D$5</f>
        <v>0</v>
      </c>
      <c r="R13" s="47">
        <f>Много_кол_бло_огр!$D13*блоки_площади_огражд!E$5</f>
        <v>0</v>
      </c>
      <c r="S13" s="47">
        <f>Много_кол_бло_огр!$D13*блоки_площади_огражд!F$5</f>
        <v>0</v>
      </c>
      <c r="T13" s="47">
        <f>Много_кол_бло_огр!$D13*блоки_площади_огражд!G$5</f>
        <v>0</v>
      </c>
      <c r="U13" s="28">
        <f>Много_кол_бло_огр!$D13*блоки_площади_огражд!B$6</f>
        <v>0</v>
      </c>
      <c r="V13" s="28">
        <f>Много_кол_бло_огр!$D13*блоки_площади_огражд!C$6</f>
        <v>0</v>
      </c>
      <c r="W13" s="28">
        <f>Много_кол_бло_огр!$D13*блоки_площади_огражд!D$6</f>
        <v>0</v>
      </c>
      <c r="X13" s="28">
        <f>Много_кол_бло_огр!$D13*блоки_площади_огражд!E$6</f>
        <v>0</v>
      </c>
      <c r="Y13" s="28">
        <f>Много_кол_бло_огр!$D13*блоки_площади_огражд!F$6</f>
        <v>0</v>
      </c>
      <c r="Z13" s="28">
        <f>Много_кол_бло_огр!$D13*блоки_площади_огражд!G$6</f>
        <v>0</v>
      </c>
      <c r="AA13" s="47">
        <f>Много_кол_бло_огр!$E13*блоки_площади_огражд!B$7</f>
        <v>428</v>
      </c>
      <c r="AB13" s="47">
        <f>Много_кол_бло_огр!$E13*блоки_площади_огражд!C$7</f>
        <v>268</v>
      </c>
      <c r="AC13" s="47">
        <f>Много_кол_бло_огр!$E13*блоки_площади_огражд!D$7</f>
        <v>173.40000000000003</v>
      </c>
      <c r="AD13" s="47">
        <f>Много_кол_бло_огр!$E13*блоки_площади_огражд!E$7</f>
        <v>12.6</v>
      </c>
      <c r="AE13" s="47">
        <f>Много_кол_бло_огр!$E13*блоки_площади_огражд!F$7</f>
        <v>1766.5</v>
      </c>
      <c r="AF13" s="47">
        <f>Много_кол_бло_огр!$E13*блоки_площади_огражд!G$7</f>
        <v>0</v>
      </c>
      <c r="AG13" s="28">
        <f>Много_кол_бло_огр!$E13*блоки_площади_огражд!B$8</f>
        <v>428.60000000000002</v>
      </c>
      <c r="AH13" s="28">
        <f>Много_кол_бло_огр!$E13*блоки_площади_огражд!C$8</f>
        <v>280</v>
      </c>
      <c r="AI13" s="28">
        <f>Много_кол_бло_огр!$E13*блоки_площади_огражд!D$8</f>
        <v>173.40000000000003</v>
      </c>
      <c r="AJ13" s="28">
        <f>Много_кол_бло_огр!$E13*блоки_площади_огражд!E$8</f>
        <v>0</v>
      </c>
      <c r="AK13" s="28">
        <f>Много_кол_бло_огр!$E13*блоки_площади_огражд!F$8</f>
        <v>0</v>
      </c>
      <c r="AL13" s="28">
        <f>Много_кол_бло_огр!$E13*блоки_площади_огражд!G$8</f>
        <v>1766.5</v>
      </c>
      <c r="AM13" s="47">
        <f>Много_кол_бло_огр!$F13*блоки_площади_огражд!B$9</f>
        <v>260.96000000000004</v>
      </c>
      <c r="AN13" s="47">
        <f>Много_кол_бло_огр!$F13*блоки_площади_огражд!C$9</f>
        <v>107.19999999999999</v>
      </c>
      <c r="AO13" s="47">
        <f>Много_кол_бло_огр!$F13*блоки_площади_огражд!D$9</f>
        <v>83.159999999999997</v>
      </c>
      <c r="AP13" s="47">
        <f>Много_кол_бло_огр!$F13*блоки_площади_огражд!E$9</f>
        <v>5.04</v>
      </c>
      <c r="AQ13" s="47">
        <f>Много_кол_бло_огр!$F13*блоки_площади_огражд!F$9</f>
        <v>706.60000000000002</v>
      </c>
      <c r="AR13" s="47">
        <f>Много_кол_бло_огр!$F13*блоки_площади_огражд!G$9</f>
        <v>0</v>
      </c>
      <c r="AS13" s="28">
        <f>Много_кол_бло_огр!$F13*блоки_площади_огражд!B$10</f>
        <v>261.20000000000005</v>
      </c>
      <c r="AT13" s="28">
        <f>Много_кол_бло_огр!$F13*блоки_площади_огражд!C$10</f>
        <v>112</v>
      </c>
      <c r="AU13" s="28">
        <f>Много_кол_бло_огр!$F13*блоки_площади_огражд!D$10</f>
        <v>83.159999999999997</v>
      </c>
      <c r="AV13" s="28">
        <f>Много_кол_бло_огр!$F13*блоки_площади_огражд!E$10</f>
        <v>0</v>
      </c>
      <c r="AW13" s="28">
        <f>Много_кол_бло_огр!$F13*блоки_площади_огражд!F$10</f>
        <v>0</v>
      </c>
      <c r="AX13" s="28">
        <f>Много_кол_бло_огр!$F13*блоки_площади_огражд!G$10</f>
        <v>706.60000000000002</v>
      </c>
      <c r="AY13" s="47">
        <f>Много_кол_бло_огр!$G13*блоки_площади_огражд!B$11</f>
        <v>214.83999999999997</v>
      </c>
      <c r="AZ13" s="47">
        <f>Много_кол_бло_огр!$G13*блоки_площади_огражд!C$11</f>
        <v>89.120000000000005</v>
      </c>
      <c r="BA13" s="47">
        <f>Много_кол_бло_огр!$G13*блоки_площади_огражд!D$11</f>
        <v>60.840000000000003</v>
      </c>
      <c r="BB13" s="47">
        <f>Много_кол_бло_огр!$G13*блоки_площади_огражд!E$11</f>
        <v>5.04</v>
      </c>
      <c r="BC13" s="47">
        <f>Много_кол_бло_огр!$G13*блоки_площади_огражд!F$11</f>
        <v>711.60000000000002</v>
      </c>
      <c r="BD13" s="47">
        <f>Много_кол_бло_огр!$G13*блоки_площади_огражд!G$11</f>
        <v>0</v>
      </c>
      <c r="BE13" s="28">
        <f>Много_кол_бло_огр!$G13*блоки_площади_огражд!B$12</f>
        <v>211.07999999999998</v>
      </c>
      <c r="BF13" s="28">
        <f>Много_кол_бло_огр!$G13*блоки_площади_огражд!C$12</f>
        <v>97.920000000000002</v>
      </c>
      <c r="BG13" s="28">
        <f>Много_кол_бло_огр!$G13*блоки_площади_огражд!D$12</f>
        <v>60.840000000000003</v>
      </c>
      <c r="BH13" s="28">
        <f>Много_кол_бло_огр!$G13*блоки_площади_огражд!E$12</f>
        <v>0</v>
      </c>
      <c r="BI13" s="28">
        <f>Много_кол_бло_огр!$G13*блоки_площади_огражд!F$12</f>
        <v>0</v>
      </c>
      <c r="BJ13" s="28">
        <f>Много_кол_бло_огр!$G13*блоки_площади_огражд!G$12</f>
        <v>711.60000000000002</v>
      </c>
      <c r="BK13" s="47">
        <f>Много_кол_бло_огр!$H13*блоки_площади_огражд!B$13</f>
        <v>0</v>
      </c>
      <c r="BL13" s="47">
        <f>Много_кол_бло_огр!$H13*блоки_площади_огражд!C$13</f>
        <v>0</v>
      </c>
      <c r="BM13" s="47">
        <f>Много_кол_бло_огр!$H13*блоки_площади_огражд!D$13</f>
        <v>0</v>
      </c>
      <c r="BN13" s="47">
        <f>Много_кол_бло_огр!$H13*блоки_площади_огражд!E$13</f>
        <v>0</v>
      </c>
      <c r="BO13" s="47">
        <f>Много_кол_бло_огр!$H13*блоки_площади_огражд!F$13</f>
        <v>0</v>
      </c>
      <c r="BP13" s="47">
        <f>Много_кол_бло_огр!$H13*блоки_площади_огражд!G$13</f>
        <v>0</v>
      </c>
      <c r="BQ13" s="28">
        <f>Много_кол_бло_огр!$H13*блоки_площади_огражд!B$14</f>
        <v>0</v>
      </c>
      <c r="BR13" s="28">
        <f>Много_кол_бло_огр!$H13*блоки_площади_огражд!C$14</f>
        <v>0</v>
      </c>
      <c r="BS13" s="28">
        <f>Много_кол_бло_огр!$H13*блоки_площади_огражд!D$14</f>
        <v>0</v>
      </c>
      <c r="BT13" s="28">
        <f>Много_кол_бло_огр!$H13*блоки_площади_огражд!E$14</f>
        <v>0</v>
      </c>
      <c r="BU13" s="28">
        <f>Много_кол_бло_огр!$H13*блоки_площади_огражд!F$14</f>
        <v>0</v>
      </c>
      <c r="BV13" s="28">
        <f>Много_кол_бло_огр!$H13*блоки_площади_огражд!G$14</f>
        <v>0</v>
      </c>
      <c r="BW13" s="26">
        <v>8</v>
      </c>
      <c r="BX13" s="47">
        <f t="shared" si="18"/>
        <v>7209.9600000000009</v>
      </c>
      <c r="BY13" s="47">
        <f t="shared" si="19"/>
        <v>3893.7599999999998</v>
      </c>
      <c r="BZ13" s="47">
        <f t="shared" si="20"/>
        <v>2539.2000000000007</v>
      </c>
      <c r="CA13" s="47">
        <f t="shared" si="21"/>
        <v>22.68</v>
      </c>
      <c r="CB13" s="47">
        <f t="shared" si="22"/>
        <v>3184.6999999999998</v>
      </c>
      <c r="CC13" s="47">
        <f t="shared" si="23"/>
        <v>3184.6999999999998</v>
      </c>
      <c r="CD13" s="28">
        <v>22</v>
      </c>
      <c r="CE13" s="48">
        <v>-34</v>
      </c>
      <c r="CF13" s="50">
        <v>3.8500000000000001</v>
      </c>
      <c r="CG13" s="50">
        <v>0.46999999999999997</v>
      </c>
      <c r="CH13" s="50">
        <v>0.28000000000000003</v>
      </c>
      <c r="CI13" s="50">
        <v>0.46999999999999997</v>
      </c>
      <c r="CJ13" s="50">
        <v>1.3600000000000001</v>
      </c>
      <c r="CK13" s="50">
        <v>1.3600000000000001</v>
      </c>
      <c r="CL13" s="50">
        <f t="shared" si="24"/>
        <v>104872.14545454546</v>
      </c>
      <c r="CM13" s="50">
        <f t="shared" si="25"/>
        <v>463937.36170212767</v>
      </c>
      <c r="CN13" s="50">
        <f t="shared" si="26"/>
        <v>507840.00000000006</v>
      </c>
      <c r="CO13" s="50">
        <f t="shared" si="27"/>
        <v>2702.2978723404258</v>
      </c>
      <c r="CP13" s="50">
        <f t="shared" si="28"/>
        <v>131134.70588235292</v>
      </c>
      <c r="CQ13" s="50">
        <f t="shared" si="29"/>
        <v>131134.70588235292</v>
      </c>
      <c r="CR13" s="47">
        <f t="shared" si="30"/>
        <v>1341621.2167937197</v>
      </c>
      <c r="CS13" s="70"/>
      <c r="CT13" s="29"/>
      <c r="CU13" s="29">
        <f t="shared" si="31"/>
        <v>0</v>
      </c>
      <c r="CV13" s="29"/>
      <c r="CW13" s="51">
        <v>2221270.9700000002</v>
      </c>
      <c r="CX13" s="29">
        <f t="shared" si="32"/>
        <v>1.90994873719965</v>
      </c>
      <c r="CY13" s="52">
        <f t="shared" si="33"/>
        <v>294.13210552874608</v>
      </c>
      <c r="CZ13" s="29"/>
    </row>
    <row r="14">
      <c r="A14" s="53"/>
      <c r="B14" s="68" t="s">
        <v>23</v>
      </c>
      <c r="C14" s="55">
        <f>Много_кол_бло_огр!$C14*блоки_площади_огражд!$B13</f>
        <v>0</v>
      </c>
      <c r="D14" s="55">
        <f>Много_кол_бло_огр!$C14*блоки_площади_огражд!$B13</f>
        <v>0</v>
      </c>
      <c r="E14" s="55">
        <f>Много_кол_бло_огр!$C14*блоки_площади_огражд!$B13</f>
        <v>0</v>
      </c>
      <c r="F14" s="55">
        <f>Много_кол_бло_огр!$C14*блоки_площади_огражд!$B13</f>
        <v>0</v>
      </c>
      <c r="G14" s="55">
        <f>Много_кол_бло_огр!$C14*блоки_площади_огражд!$B13</f>
        <v>0</v>
      </c>
      <c r="H14" s="55">
        <f>Много_кол_бло_огр!$C14*блоки_площади_огражд!$B13</f>
        <v>0</v>
      </c>
      <c r="I14" s="56">
        <f>Много_кол_бло_огр!$D14*блоки_площади_огражд!B$4</f>
        <v>0</v>
      </c>
      <c r="J14" s="56">
        <f>Много_кол_бло_огр!$D14*блоки_площади_огражд!C$4</f>
        <v>0</v>
      </c>
      <c r="K14" s="56">
        <f>Много_кол_бло_огр!$D14*блоки_площади_огражд!D$4</f>
        <v>0</v>
      </c>
      <c r="L14" s="56">
        <f>Много_кол_бло_огр!$D14*блоки_площади_огражд!E$4</f>
        <v>0</v>
      </c>
      <c r="M14" s="56">
        <f>Много_кол_бло_огр!$D14*блоки_площади_огражд!F$4</f>
        <v>0</v>
      </c>
      <c r="N14" s="56">
        <f>Много_кол_бло_огр!$D14*блоки_площади_огражд!G$4</f>
        <v>0</v>
      </c>
      <c r="O14" s="55">
        <f>Много_кол_бло_огр!$D14*блоки_площади_огражд!B$5</f>
        <v>0</v>
      </c>
      <c r="P14" s="55">
        <f>Много_кол_бло_огр!$D14*блоки_площади_огражд!C$5</f>
        <v>0</v>
      </c>
      <c r="Q14" s="55">
        <f>Много_кол_бло_огр!$D14*блоки_площади_огражд!D$5</f>
        <v>0</v>
      </c>
      <c r="R14" s="55">
        <f>Много_кол_бло_огр!$D14*блоки_площади_огражд!E$5</f>
        <v>0</v>
      </c>
      <c r="S14" s="55">
        <f>Много_кол_бло_огр!$D14*блоки_площади_огражд!F$5</f>
        <v>0</v>
      </c>
      <c r="T14" s="55">
        <f>Много_кол_бло_огр!$D14*блоки_площади_огражд!G$5</f>
        <v>0</v>
      </c>
      <c r="U14" s="56">
        <f>Много_кол_бло_огр!$D14*блоки_площади_огражд!B$6</f>
        <v>0</v>
      </c>
      <c r="V14" s="56">
        <f>Много_кол_бло_огр!$D14*блоки_площади_огражд!C$6</f>
        <v>0</v>
      </c>
      <c r="W14" s="56">
        <f>Много_кол_бло_огр!$D14*блоки_площади_огражд!D$6</f>
        <v>0</v>
      </c>
      <c r="X14" s="56">
        <f>Много_кол_бло_огр!$D14*блоки_площади_огражд!E$6</f>
        <v>0</v>
      </c>
      <c r="Y14" s="56">
        <f>Много_кол_бло_огр!$D14*блоки_площади_огражд!F$6</f>
        <v>0</v>
      </c>
      <c r="Z14" s="56">
        <f>Много_кол_бло_огр!$D14*блоки_площади_огражд!G$6</f>
        <v>0</v>
      </c>
      <c r="AA14" s="55">
        <f>Много_кол_бло_огр!$E14*блоки_площади_огражд!B$7</f>
        <v>599.19999999999993</v>
      </c>
      <c r="AB14" s="55">
        <f>Много_кол_бло_огр!$E14*блоки_площади_огражд!C$7</f>
        <v>375.19999999999993</v>
      </c>
      <c r="AC14" s="55">
        <f>Много_кол_бло_огр!$E14*блоки_площади_огражд!D$7</f>
        <v>242.76000000000005</v>
      </c>
      <c r="AD14" s="55">
        <f>Много_кол_бло_огр!$E14*блоки_площади_огражд!E$7</f>
        <v>17.640000000000001</v>
      </c>
      <c r="AE14" s="55">
        <f>Много_кол_бло_огр!$E14*блоки_площади_огражд!F$7</f>
        <v>2473.0999999999999</v>
      </c>
      <c r="AF14" s="55">
        <f>Много_кол_бло_огр!$E14*блоки_площади_огражд!G$7</f>
        <v>0</v>
      </c>
      <c r="AG14" s="56">
        <f>Много_кол_бло_огр!$E14*блоки_площади_огражд!B$8</f>
        <v>600.03999999999996</v>
      </c>
      <c r="AH14" s="56">
        <f>Много_кол_бло_огр!$E14*блоки_площади_огражд!C$8</f>
        <v>392</v>
      </c>
      <c r="AI14" s="56">
        <f>Много_кол_бло_огр!$E14*блоки_площади_огражд!D$8</f>
        <v>242.76000000000005</v>
      </c>
      <c r="AJ14" s="56">
        <f>Много_кол_бло_огр!$E14*блоки_площади_огражд!E$8</f>
        <v>0</v>
      </c>
      <c r="AK14" s="56">
        <f>Много_кол_бло_огр!$E14*блоки_площади_огражд!F$8</f>
        <v>0</v>
      </c>
      <c r="AL14" s="56">
        <f>Много_кол_бло_огр!$E14*блоки_площади_огражд!G$8</f>
        <v>2473.0999999999999</v>
      </c>
      <c r="AM14" s="55">
        <f>Много_кол_бло_огр!$F14*блоки_площади_огражд!B$9</f>
        <v>260.96000000000004</v>
      </c>
      <c r="AN14" s="55">
        <f>Много_кол_бло_огр!$F14*блоки_площади_огражд!C$9</f>
        <v>107.19999999999999</v>
      </c>
      <c r="AO14" s="55">
        <f>Много_кол_бло_огр!$F14*блоки_площади_огражд!D$9</f>
        <v>83.159999999999997</v>
      </c>
      <c r="AP14" s="55">
        <f>Много_кол_бло_огр!$F14*блоки_площади_огражд!E$9</f>
        <v>5.04</v>
      </c>
      <c r="AQ14" s="55">
        <f>Много_кол_бло_огр!$F14*блоки_площади_огражд!F$9</f>
        <v>706.60000000000002</v>
      </c>
      <c r="AR14" s="55">
        <f>Много_кол_бло_огр!$F14*блоки_площади_огражд!G$9</f>
        <v>0</v>
      </c>
      <c r="AS14" s="56">
        <f>Много_кол_бло_огр!$F14*блоки_площади_огражд!B$10</f>
        <v>261.20000000000005</v>
      </c>
      <c r="AT14" s="56">
        <f>Много_кол_бло_огр!$F14*блоки_площади_огражд!C$10</f>
        <v>112</v>
      </c>
      <c r="AU14" s="56">
        <f>Много_кол_бло_огр!$F14*блоки_площади_огражд!D$10</f>
        <v>83.159999999999997</v>
      </c>
      <c r="AV14" s="56">
        <f>Много_кол_бло_огр!$F14*блоки_площади_огражд!E$10</f>
        <v>0</v>
      </c>
      <c r="AW14" s="56">
        <f>Много_кол_бло_огр!$F14*блоки_площади_огражд!F$10</f>
        <v>0</v>
      </c>
      <c r="AX14" s="56">
        <f>Много_кол_бло_огр!$F14*блоки_площади_огражд!G$10</f>
        <v>706.60000000000002</v>
      </c>
      <c r="AY14" s="55">
        <f>Много_кол_бло_огр!$G14*блоки_площади_огражд!B$11</f>
        <v>107.41999999999999</v>
      </c>
      <c r="AZ14" s="55">
        <f>Много_кол_бло_огр!$G14*блоки_площади_огражд!C$11</f>
        <v>44.560000000000002</v>
      </c>
      <c r="BA14" s="55">
        <f>Много_кол_бло_огр!$G14*блоки_площади_огражд!D$11</f>
        <v>30.420000000000002</v>
      </c>
      <c r="BB14" s="55">
        <f>Много_кол_бло_огр!$G14*блоки_площади_огражд!E$11</f>
        <v>2.52</v>
      </c>
      <c r="BC14" s="55">
        <f>Много_кол_бло_огр!$G14*блоки_площади_огражд!F$11</f>
        <v>355.80000000000001</v>
      </c>
      <c r="BD14" s="55">
        <f>Много_кол_бло_огр!$G14*блоки_площади_огражд!G$11</f>
        <v>0</v>
      </c>
      <c r="BE14" s="56">
        <f>Много_кол_бло_огр!$G14*блоки_площади_огражд!B$12</f>
        <v>105.53999999999999</v>
      </c>
      <c r="BF14" s="56">
        <f>Много_кол_бло_огр!$G14*блоки_площади_огражд!C$12</f>
        <v>48.960000000000001</v>
      </c>
      <c r="BG14" s="56">
        <f>Много_кол_бло_огр!$G14*блоки_площади_огражд!D$12</f>
        <v>30.420000000000002</v>
      </c>
      <c r="BH14" s="56">
        <f>Много_кол_бло_огр!$G14*блоки_площади_огражд!E$12</f>
        <v>0</v>
      </c>
      <c r="BI14" s="56">
        <f>Много_кол_бло_огр!$G14*блоки_площади_огражд!F$12</f>
        <v>0</v>
      </c>
      <c r="BJ14" s="56">
        <f>Много_кол_бло_огр!$G14*блоки_площади_огражд!G$12</f>
        <v>355.80000000000001</v>
      </c>
      <c r="BK14" s="55">
        <f>Много_кол_бло_огр!$H14*блоки_площади_огражд!B$13</f>
        <v>0</v>
      </c>
      <c r="BL14" s="55">
        <f>Много_кол_бло_огр!$H14*блоки_площади_огражд!C$13</f>
        <v>0</v>
      </c>
      <c r="BM14" s="55">
        <f>Много_кол_бло_огр!$H14*блоки_площади_огражд!D$13</f>
        <v>0</v>
      </c>
      <c r="BN14" s="55">
        <f>Много_кол_бло_огр!$H14*блоки_площади_огражд!E$13</f>
        <v>0</v>
      </c>
      <c r="BO14" s="55">
        <f>Много_кол_бло_огр!$H14*блоки_площади_огражд!F$13</f>
        <v>0</v>
      </c>
      <c r="BP14" s="55">
        <f>Много_кол_бло_огр!$H14*блоки_площади_огражд!G$13</f>
        <v>0</v>
      </c>
      <c r="BQ14" s="56">
        <f>Много_кол_бло_огр!$H14*блоки_площади_огражд!B$14</f>
        <v>0</v>
      </c>
      <c r="BR14" s="56">
        <f>Много_кол_бло_огр!$H14*блоки_площади_огражд!C$14</f>
        <v>0</v>
      </c>
      <c r="BS14" s="56">
        <f>Много_кол_бло_огр!$H14*блоки_площади_огражд!D$14</f>
        <v>0</v>
      </c>
      <c r="BT14" s="56">
        <f>Много_кол_бло_огр!$H14*блоки_площади_огражд!E$14</f>
        <v>0</v>
      </c>
      <c r="BU14" s="56">
        <f>Много_кол_бло_огр!$H14*блоки_площади_огражд!F$14</f>
        <v>0</v>
      </c>
      <c r="BV14" s="56">
        <f>Много_кол_бло_огр!$H14*блоки_площади_огражд!G$14</f>
        <v>0</v>
      </c>
      <c r="BW14" s="57">
        <v>8</v>
      </c>
      <c r="BX14" s="55">
        <f t="shared" si="18"/>
        <v>7735.04</v>
      </c>
      <c r="BY14" s="55">
        <f t="shared" si="19"/>
        <v>4397.6799999999994</v>
      </c>
      <c r="BZ14" s="55">
        <f t="shared" si="20"/>
        <v>2850.7200000000007</v>
      </c>
      <c r="CA14" s="55">
        <f t="shared" si="21"/>
        <v>25.199999999999999</v>
      </c>
      <c r="CB14" s="55">
        <f t="shared" si="22"/>
        <v>3535.5</v>
      </c>
      <c r="CC14" s="55">
        <f t="shared" si="23"/>
        <v>3535.5</v>
      </c>
      <c r="CD14" s="56">
        <v>22</v>
      </c>
      <c r="CE14" s="58">
        <v>-34</v>
      </c>
      <c r="CF14" s="60">
        <v>3.8500000000000001</v>
      </c>
      <c r="CG14" s="60">
        <v>0.46999999999999997</v>
      </c>
      <c r="CH14" s="60">
        <v>0.28000000000000003</v>
      </c>
      <c r="CI14" s="60">
        <v>0.46999999999999997</v>
      </c>
      <c r="CJ14" s="60">
        <v>1.3600000000000001</v>
      </c>
      <c r="CK14" s="60">
        <v>1.3600000000000001</v>
      </c>
      <c r="CL14" s="60">
        <f t="shared" si="24"/>
        <v>112509.67272727273</v>
      </c>
      <c r="CM14" s="60">
        <f t="shared" si="25"/>
        <v>523978.89361702127</v>
      </c>
      <c r="CN14" s="60">
        <f t="shared" si="26"/>
        <v>570144.00000000012</v>
      </c>
      <c r="CO14" s="60">
        <f t="shared" si="27"/>
        <v>3002.5531914893618</v>
      </c>
      <c r="CP14" s="60">
        <f t="shared" si="28"/>
        <v>145579.41176470587</v>
      </c>
      <c r="CQ14" s="60">
        <f t="shared" si="29"/>
        <v>145579.41176470587</v>
      </c>
      <c r="CR14" s="55">
        <f t="shared" si="30"/>
        <v>1500793.9430651951</v>
      </c>
      <c r="CS14" s="71"/>
      <c r="CT14" s="61"/>
      <c r="CU14" s="61">
        <f t="shared" si="31"/>
        <v>0</v>
      </c>
      <c r="CV14" s="61"/>
      <c r="CW14" s="62">
        <v>2526816.3599999999</v>
      </c>
      <c r="CX14" s="61">
        <f t="shared" si="32"/>
        <v>2.1726704130641998</v>
      </c>
      <c r="CY14" s="63">
        <f t="shared" si="33"/>
        <v>334.5912436118868</v>
      </c>
      <c r="CZ14" s="29">
        <f>SUM(CY12:CY14)</f>
        <v>922.85545466937901</v>
      </c>
      <c r="DA14">
        <f>(SUM(CW12:CW14))*0.000001</f>
        <v>6.9693583000000006</v>
      </c>
    </row>
    <row r="15" ht="14.25">
      <c r="A15" s="72" t="s">
        <v>24</v>
      </c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73"/>
      <c r="BP15" s="73"/>
      <c r="BQ15" s="73"/>
      <c r="BR15" s="73"/>
      <c r="BS15" s="73"/>
      <c r="BT15" s="73"/>
      <c r="BU15" s="73"/>
      <c r="BV15" s="73"/>
      <c r="BW15" s="73"/>
      <c r="BX15" s="73"/>
      <c r="BY15" s="73"/>
      <c r="BZ15" s="73"/>
      <c r="CA15" s="73"/>
      <c r="CB15" s="73"/>
      <c r="CC15" s="73"/>
      <c r="CD15" s="72"/>
      <c r="CE15" s="72"/>
      <c r="CF15" s="73"/>
      <c r="CG15" s="73"/>
      <c r="CH15" s="73"/>
      <c r="CI15" s="73"/>
      <c r="CJ15" s="73"/>
      <c r="CK15" s="73"/>
      <c r="CL15" s="73"/>
      <c r="CM15" s="73"/>
      <c r="CN15" s="73"/>
      <c r="CO15" s="73"/>
      <c r="CP15" s="73"/>
      <c r="CQ15" s="73"/>
      <c r="CR15" s="74">
        <f>SUM(CR4:CR14)</f>
        <v>14074204.40760041</v>
      </c>
      <c r="CW15">
        <f>SUM(CW4:CW14)</f>
        <v>23362836</v>
      </c>
      <c r="CX15">
        <f>SUM(CX4:CX14)</f>
        <v>20.088417720420001</v>
      </c>
      <c r="CY15">
        <f>SUM(CY4:CY14)</f>
        <v>3093.6163289446799</v>
      </c>
    </row>
    <row r="16" ht="14.25">
      <c r="CD16" s="25"/>
      <c r="CE16" s="25"/>
    </row>
    <row r="17" ht="14.25">
      <c r="CD17" s="25"/>
      <c r="CE17" s="25"/>
    </row>
    <row r="18" ht="14.25">
      <c r="CD18" s="25"/>
      <c r="CE18" s="25"/>
    </row>
    <row r="19" ht="14.25">
      <c r="CD19" s="25"/>
      <c r="CE19" s="25"/>
    </row>
    <row r="20" ht="14.25">
      <c r="CD20" s="25"/>
      <c r="CE20" s="25"/>
    </row>
    <row r="21" ht="14.25">
      <c r="CD21" s="25"/>
      <c r="CE21" s="25"/>
    </row>
  </sheetData>
  <mergeCells count="29">
    <mergeCell ref="A1:A3"/>
    <mergeCell ref="B1:B3"/>
    <mergeCell ref="C1:N1"/>
    <mergeCell ref="O1:Z1"/>
    <mergeCell ref="AA1:AL1"/>
    <mergeCell ref="AM1:AX1"/>
    <mergeCell ref="AY1:BJ1"/>
    <mergeCell ref="BK1:BV1"/>
    <mergeCell ref="BW1:BW3"/>
    <mergeCell ref="BX1:CC2"/>
    <mergeCell ref="CD1:CD3"/>
    <mergeCell ref="CE1:CE3"/>
    <mergeCell ref="CF1:CK2"/>
    <mergeCell ref="CL1:CR2"/>
    <mergeCell ref="C2:H2"/>
    <mergeCell ref="I2:N2"/>
    <mergeCell ref="O2:T2"/>
    <mergeCell ref="U2:Z2"/>
    <mergeCell ref="AA2:AF2"/>
    <mergeCell ref="AG2:AL2"/>
    <mergeCell ref="AM2:AR2"/>
    <mergeCell ref="AS2:AX2"/>
    <mergeCell ref="AY2:BD2"/>
    <mergeCell ref="BE2:BJ2"/>
    <mergeCell ref="BK2:BP2"/>
    <mergeCell ref="BQ2:BV2"/>
    <mergeCell ref="A4:A8"/>
    <mergeCell ref="A9:A11"/>
    <mergeCell ref="A12:A14"/>
  </mergeCells>
  <printOptions headings="0" gridLines="0"/>
  <pageMargins left="0.70000004768371604" right="0.70000004768371604" top="0.75" bottom="0.75" header="0.30000001192092901" footer="0.30000001192092901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35.8515625"/>
    <col bestFit="1" min="3" max="3" width="14.421875"/>
    <col bestFit="1" min="4" max="4" width="13.00390625"/>
    <col customWidth="1" min="5" max="5" width="8.28125"/>
    <col bestFit="1" min="6" max="6" width="15.8515625"/>
    <col bestFit="1" min="7" max="7" width="18.8515625"/>
  </cols>
  <sheetData>
    <row r="1">
      <c r="A1" s="75" t="s">
        <v>25</v>
      </c>
      <c r="B1" s="76" t="s">
        <v>62</v>
      </c>
      <c r="C1" s="77"/>
      <c r="D1" s="77"/>
      <c r="E1" s="77"/>
      <c r="F1" s="77"/>
      <c r="G1" s="77"/>
    </row>
    <row r="2">
      <c r="A2" s="3"/>
      <c r="B2" s="78" t="s">
        <v>48</v>
      </c>
      <c r="C2" s="78" t="s">
        <v>49</v>
      </c>
      <c r="D2" s="78" t="s">
        <v>50</v>
      </c>
      <c r="E2" s="78" t="s">
        <v>51</v>
      </c>
      <c r="F2" s="79" t="s">
        <v>52</v>
      </c>
      <c r="G2" s="79" t="s">
        <v>53</v>
      </c>
    </row>
    <row r="3">
      <c r="A3" s="80" t="s">
        <v>63</v>
      </c>
      <c r="B3" s="6">
        <f>'1тип(3кв)'!F58</f>
        <v>67.5</v>
      </c>
      <c r="C3" s="6">
        <f>'1тип(3кв)'!F18-'1тип(3кв)'!F14-'1тип(3кв)'!F15-'1тип(3кв)'!F16-'1тип(3кв)'!F17-'1тип(3кв)'!F10</f>
        <v>39.599999999999987</v>
      </c>
      <c r="D3" s="6">
        <f>SUM('1тип(3кв)'!F44:F47)</f>
        <v>37.590000000000003</v>
      </c>
      <c r="E3" s="6">
        <f>'1тип(3кв)'!F23</f>
        <v>2.52</v>
      </c>
      <c r="F3" s="12">
        <f>'1тип(3кв)'!B66</f>
        <v>256.19999999999999</v>
      </c>
      <c r="G3" s="12">
        <v>0</v>
      </c>
    </row>
    <row r="4">
      <c r="A4" s="80" t="s">
        <v>64</v>
      </c>
      <c r="B4" s="6">
        <f>'1тип(3кв)'!F63</f>
        <v>67.620000000000005</v>
      </c>
      <c r="C4" s="6">
        <f>SUM('1тип(3кв)'!F10:F13)</f>
        <v>42</v>
      </c>
      <c r="D4" s="6">
        <f>D3</f>
        <v>37.590000000000003</v>
      </c>
      <c r="E4" s="6">
        <v>0</v>
      </c>
      <c r="F4" s="12">
        <v>0</v>
      </c>
      <c r="G4" s="12">
        <f>'1тип(3кв)'!B66</f>
        <v>256.19999999999999</v>
      </c>
    </row>
    <row r="5">
      <c r="A5" s="80" t="s">
        <v>65</v>
      </c>
      <c r="B5" s="6">
        <f>'1тип(3кв)'!F28</f>
        <v>112.38</v>
      </c>
      <c r="C5" s="6">
        <f>SUM('1тип(3кв)'!F11:F13)</f>
        <v>39.600000000000001</v>
      </c>
      <c r="D5" s="6">
        <f>SUM('1тип(3кв)'!F14:F17)</f>
        <v>41.009999999999998</v>
      </c>
      <c r="E5" s="6">
        <f>'1тип(3кв)'!F23</f>
        <v>2.52</v>
      </c>
      <c r="F5" s="12">
        <f>'1тип(3кв)'!B66</f>
        <v>256.19999999999999</v>
      </c>
      <c r="G5" s="12">
        <v>0</v>
      </c>
    </row>
    <row r="6">
      <c r="A6" s="80" t="s">
        <v>66</v>
      </c>
      <c r="B6" s="6">
        <f>'1тип(3кв)'!F33</f>
        <v>112.5</v>
      </c>
      <c r="C6" s="6">
        <f>SUM('1тип(3кв)'!F10:F13)</f>
        <v>42</v>
      </c>
      <c r="D6" s="6">
        <f>SUM('1тип(3кв)'!F14:F17)</f>
        <v>41.009999999999998</v>
      </c>
      <c r="E6" s="6">
        <v>0</v>
      </c>
      <c r="F6" s="12">
        <v>0</v>
      </c>
      <c r="G6" s="12">
        <f>'1тип(3кв)'!B66</f>
        <v>256.19999999999999</v>
      </c>
    </row>
    <row r="7">
      <c r="A7" s="80" t="s">
        <v>67</v>
      </c>
      <c r="B7" s="6">
        <f>'2тип(4кв)'!F54</f>
        <v>85.599999999999994</v>
      </c>
      <c r="C7" s="6">
        <f>SUM('2тип(4кв)'!F40:F41)</f>
        <v>53.599999999999994</v>
      </c>
      <c r="D7" s="6">
        <f>SUM('2тип(4кв)'!F42:F43)</f>
        <v>34.680000000000007</v>
      </c>
      <c r="E7" s="6">
        <v>2.52</v>
      </c>
      <c r="F7" s="12">
        <f>'2тип(4кв)'!B62</f>
        <v>353.30000000000001</v>
      </c>
      <c r="G7" s="12">
        <v>0</v>
      </c>
    </row>
    <row r="8">
      <c r="A8" s="80" t="s">
        <v>68</v>
      </c>
      <c r="B8" s="6">
        <f>'2тип(4кв)'!F59</f>
        <v>85.719999999999999</v>
      </c>
      <c r="C8" s="6">
        <f>SUM('2тип(4кв)'!F39:F41)</f>
        <v>56</v>
      </c>
      <c r="D8" s="6">
        <f>D7</f>
        <v>34.680000000000007</v>
      </c>
      <c r="E8" s="6">
        <v>0</v>
      </c>
      <c r="F8" s="12">
        <v>0</v>
      </c>
      <c r="G8" s="12">
        <f>F7</f>
        <v>353.30000000000001</v>
      </c>
    </row>
    <row r="9">
      <c r="A9" s="80" t="s">
        <v>69</v>
      </c>
      <c r="B9" s="6">
        <f>'2тип(4кв)'!F27</f>
        <v>130.48000000000002</v>
      </c>
      <c r="C9" s="6">
        <f>SUM('2тип(4кв)'!F13:F14)</f>
        <v>53.599999999999994</v>
      </c>
      <c r="D9" s="6">
        <f>SUM('2тип(4кв)'!F15:F16)</f>
        <v>41.579999999999998</v>
      </c>
      <c r="E9" s="6">
        <v>2.52</v>
      </c>
      <c r="F9" s="12">
        <f>F7</f>
        <v>353.30000000000001</v>
      </c>
      <c r="G9" s="12">
        <v>0</v>
      </c>
    </row>
    <row r="10">
      <c r="A10" s="80" t="s">
        <v>70</v>
      </c>
      <c r="B10" s="6">
        <f>'2тип(4кв)'!F32</f>
        <v>130.60000000000002</v>
      </c>
      <c r="C10" s="6">
        <f>SUM('2тип(4кв)'!F12:F14)</f>
        <v>56</v>
      </c>
      <c r="D10" s="6">
        <f>D9</f>
        <v>41.579999999999998</v>
      </c>
      <c r="E10" s="6">
        <v>0</v>
      </c>
      <c r="F10" s="12">
        <v>0</v>
      </c>
      <c r="G10" s="12">
        <f>G8</f>
        <v>353.30000000000001</v>
      </c>
    </row>
    <row r="11">
      <c r="A11" s="80" t="s">
        <v>71</v>
      </c>
      <c r="B11" s="6">
        <f>'У_1тип(3кв)'!F60</f>
        <v>107.41999999999999</v>
      </c>
      <c r="C11" s="6">
        <f>SUM('У_1тип(3кв)'!F11,'У_1тип(3кв)'!F13:F16)</f>
        <v>44.560000000000002</v>
      </c>
      <c r="D11" s="6">
        <f>SUM('У_1тип(3кв)'!F17:F19)</f>
        <v>30.420000000000002</v>
      </c>
      <c r="E11" s="6">
        <v>2.52</v>
      </c>
      <c r="F11" s="12">
        <f>'У_1тип(3кв)'!B68</f>
        <v>355.80000000000001</v>
      </c>
      <c r="G11" s="12">
        <v>0</v>
      </c>
    </row>
    <row r="12">
      <c r="A12" s="80" t="s">
        <v>72</v>
      </c>
      <c r="B12" s="6">
        <f>'У_1тип(3кв)'!F65</f>
        <v>105.53999999999999</v>
      </c>
      <c r="C12" s="6">
        <f>SUM('У_1тип(3кв)'!F11:F16)</f>
        <v>48.960000000000001</v>
      </c>
      <c r="D12" s="6">
        <f>D11</f>
        <v>30.420000000000002</v>
      </c>
      <c r="E12" s="6">
        <v>0</v>
      </c>
      <c r="F12" s="12">
        <v>0</v>
      </c>
      <c r="G12" s="12">
        <v>355.80000000000001</v>
      </c>
    </row>
    <row r="13">
      <c r="A13" s="80" t="s">
        <v>73</v>
      </c>
      <c r="B13" s="6">
        <f>'У_1тип(3кв)'!F30</f>
        <v>145.39999999999998</v>
      </c>
      <c r="C13" s="6">
        <f t="shared" ref="C13:C14" si="34">C11</f>
        <v>44.560000000000002</v>
      </c>
      <c r="D13" s="6">
        <f>SUM('У_1тип(3кв)'!F47:F49)</f>
        <v>26.970000000000002</v>
      </c>
      <c r="E13" s="6">
        <v>2.52</v>
      </c>
      <c r="F13" s="12">
        <v>355.80000000000001</v>
      </c>
      <c r="G13" s="12">
        <v>0</v>
      </c>
    </row>
    <row r="14">
      <c r="A14" s="80" t="s">
        <v>74</v>
      </c>
      <c r="B14" s="6">
        <f>'У_1тип(3кв)'!F35</f>
        <v>143.51999999999998</v>
      </c>
      <c r="C14" s="6">
        <f t="shared" si="34"/>
        <v>48.960000000000001</v>
      </c>
      <c r="D14" s="6">
        <f>D13</f>
        <v>26.970000000000002</v>
      </c>
      <c r="E14" s="6">
        <v>0</v>
      </c>
      <c r="F14" s="12">
        <v>0</v>
      </c>
      <c r="G14" s="12">
        <v>355.80000000000001</v>
      </c>
    </row>
  </sheetData>
  <mergeCells count="2">
    <mergeCell ref="A1:A2"/>
    <mergeCell ref="B1:G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"/>
    </sheetView>
  </sheetViews>
  <sheetFormatPr baseColWidth="8" defaultColWidth="9.1406253092569294" defaultRowHeight="14.25"/>
  <cols>
    <col bestFit="1" customWidth="1" min="1" max="1" width="20.855468643610301"/>
    <col customWidth="1" min="2" max="2" width="20.855468643610301"/>
    <col customWidth="1" min="3" max="3" width="12.855468643610299"/>
    <col customWidth="1" min="4" max="4" width="12.2851566656466"/>
    <col bestFit="1" customWidth="1" min="5" max="5" width="12.855468643610299"/>
    <col bestFit="1" customWidth="1" min="6" max="6" width="11.855469151108901"/>
    <col bestFit="1" customWidth="1" min="8" max="8" width="15.281752872906999"/>
  </cols>
  <sheetData>
    <row r="1">
      <c r="A1" s="1" t="s">
        <v>25</v>
      </c>
      <c r="B1" s="1" t="s">
        <v>1</v>
      </c>
      <c r="C1" s="6" t="s">
        <v>75</v>
      </c>
      <c r="D1" s="10"/>
      <c r="E1" s="10"/>
      <c r="F1" s="11"/>
      <c r="G1" s="12" t="s">
        <v>54</v>
      </c>
      <c r="H1" s="12" t="s">
        <v>76</v>
      </c>
    </row>
    <row r="2">
      <c r="A2" s="3"/>
      <c r="B2" s="3"/>
      <c r="C2" s="12" t="s">
        <v>27</v>
      </c>
      <c r="D2" s="12" t="s">
        <v>28</v>
      </c>
      <c r="E2" s="12" t="s">
        <v>29</v>
      </c>
      <c r="F2" s="12" t="s">
        <v>30</v>
      </c>
      <c r="G2" s="81"/>
      <c r="H2" s="81"/>
    </row>
    <row r="3">
      <c r="A3" s="4" t="s">
        <v>9</v>
      </c>
      <c r="B3" s="5" t="s">
        <v>10</v>
      </c>
      <c r="C3" s="12">
        <f>Мног_колич_блоков!C3*Осн._характ_ки_малоэт_кварт!$C$8</f>
        <v>0</v>
      </c>
      <c r="D3" s="12">
        <f>Мног_колич_блоков!D3*Осн._характ_ки_малоэт_кварт!$D$8</f>
        <v>256</v>
      </c>
      <c r="E3" s="12">
        <f>Мног_колич_блоков!E3*Осн._характ_ки_малоэт_кварт!$E$8</f>
        <v>24</v>
      </c>
      <c r="F3" s="12">
        <f>Мног_колич_блоков!F3*Осн._характ_ки_малоэт_кварт!$F$8</f>
        <v>0</v>
      </c>
      <c r="G3" s="12">
        <f t="shared" ref="G3:G9" si="35">SUM(C3:F3)</f>
        <v>280</v>
      </c>
      <c r="H3" s="12">
        <f>SUM(G3:G7)</f>
        <v>1200</v>
      </c>
    </row>
    <row r="4">
      <c r="A4" s="8"/>
      <c r="B4" s="5" t="s">
        <v>12</v>
      </c>
      <c r="C4" s="12">
        <f>Мног_колич_блоков!C4*Осн._характ_ки_малоэт_кварт!$C$8</f>
        <v>0</v>
      </c>
      <c r="D4" s="12">
        <f>Мног_колич_блоков!D4*Осн._характ_ки_малоэт_кварт!$D$8</f>
        <v>288</v>
      </c>
      <c r="E4" s="12">
        <f>Мног_колич_блоков!E4*Осн._характ_ки_малоэт_кварт!$E$8</f>
        <v>24</v>
      </c>
      <c r="F4" s="12">
        <f>Мног_колич_блоков!F4*Осн._характ_ки_малоэт_кварт!$F$8</f>
        <v>0</v>
      </c>
      <c r="G4" s="12">
        <f t="shared" si="35"/>
        <v>312</v>
      </c>
      <c r="H4" s="82"/>
    </row>
    <row r="5">
      <c r="A5" s="8"/>
      <c r="B5" s="5" t="s">
        <v>13</v>
      </c>
      <c r="C5" s="12">
        <f>Мног_колич_блоков!C5*Осн._характ_ки_малоэт_кварт!$C$8</f>
        <v>0</v>
      </c>
      <c r="D5" s="12">
        <f>Мног_колич_блоков!D5*Осн._характ_ки_малоэт_кварт!$D$8</f>
        <v>224</v>
      </c>
      <c r="E5" s="12">
        <f>Мног_колич_блоков!E5*Осн._характ_ки_малоэт_кварт!$E$8</f>
        <v>48</v>
      </c>
      <c r="F5" s="12">
        <f>Мног_колич_блоков!F5*Осн._характ_ки_малоэт_кварт!$F$8</f>
        <v>0</v>
      </c>
      <c r="G5" s="12">
        <f t="shared" si="35"/>
        <v>272</v>
      </c>
      <c r="H5" s="82"/>
    </row>
    <row r="6">
      <c r="A6" s="8"/>
      <c r="B6" s="5" t="s">
        <v>14</v>
      </c>
      <c r="C6" s="12">
        <f>Мног_колич_блоков!C6*Осн._характ_ки_малоэт_кварт!$C$8</f>
        <v>0</v>
      </c>
      <c r="D6" s="12">
        <f>Мног_колич_блоков!D6*Осн._характ_ки_малоэт_кварт!$D$8</f>
        <v>160</v>
      </c>
      <c r="E6" s="12">
        <f>Мног_колич_блоков!E6*Осн._характ_ки_малоэт_кварт!$E$8</f>
        <v>24</v>
      </c>
      <c r="F6" s="12">
        <f>Мног_колич_блоков!F6*Осн._характ_ки_малоэт_кварт!$F$8</f>
        <v>0</v>
      </c>
      <c r="G6" s="12">
        <f t="shared" si="35"/>
        <v>184</v>
      </c>
      <c r="H6" s="82"/>
    </row>
    <row r="7">
      <c r="A7" s="9"/>
      <c r="B7" s="5" t="s">
        <v>15</v>
      </c>
      <c r="C7" s="12">
        <f>Мног_колич_блоков!C7*Осн._характ_ки_малоэт_кварт!$C$8</f>
        <v>0</v>
      </c>
      <c r="D7" s="12">
        <f>Мног_колич_блоков!D7*Осн._характ_ки_малоэт_кварт!$D$8</f>
        <v>128</v>
      </c>
      <c r="E7" s="12">
        <f>Мног_колич_блоков!E7*Осн._характ_ки_малоэт_кварт!$E$8</f>
        <v>24</v>
      </c>
      <c r="F7" s="12">
        <f>Мног_колич_блоков!F7*Осн._характ_ки_малоэт_кварт!$F$8</f>
        <v>0</v>
      </c>
      <c r="G7" s="12">
        <f t="shared" si="35"/>
        <v>152</v>
      </c>
      <c r="H7" s="81"/>
    </row>
    <row r="8">
      <c r="A8" s="4" t="s">
        <v>16</v>
      </c>
      <c r="B8" s="5" t="s">
        <v>17</v>
      </c>
      <c r="C8" s="12">
        <f>Мног_колич_блоков!C8*Осн._характ_ки_малоэт_кварт!$C$8</f>
        <v>0</v>
      </c>
      <c r="D8" s="12">
        <f>Мног_колич_блоков!D8*Осн._характ_ки_малоэт_кварт!$D$8</f>
        <v>224</v>
      </c>
      <c r="E8" s="12">
        <f>Мног_колич_блоков!E8*Осн._характ_ки_малоэт_кварт!$E$8</f>
        <v>48</v>
      </c>
      <c r="F8" s="12">
        <f>Мног_колич_блоков!F8*Осн._характ_ки_малоэт_кварт!$F$8</f>
        <v>0</v>
      </c>
      <c r="G8" s="12">
        <f t="shared" si="35"/>
        <v>272</v>
      </c>
      <c r="H8" s="12">
        <f>SUM(G8:G10)</f>
        <v>816</v>
      </c>
    </row>
    <row r="9">
      <c r="A9" s="8"/>
      <c r="B9" s="5" t="s">
        <v>18</v>
      </c>
      <c r="C9" s="12">
        <f>Мног_колич_блоков!C9*Осн._характ_ки_малоэт_кварт!$C$8</f>
        <v>0</v>
      </c>
      <c r="D9" s="12">
        <f>Мног_колич_блоков!D9*Осн._характ_ки_малоэт_кварт!$D$8</f>
        <v>224</v>
      </c>
      <c r="E9" s="12">
        <f>Мног_колич_блоков!E9*Осн._характ_ки_малоэт_кварт!$E$8</f>
        <v>48</v>
      </c>
      <c r="F9" s="12">
        <f>Мног_колич_блоков!F9*Осн._характ_ки_малоэт_кварт!$F$8</f>
        <v>0</v>
      </c>
      <c r="G9" s="12">
        <f t="shared" si="35"/>
        <v>272</v>
      </c>
      <c r="H9" s="82"/>
    </row>
    <row r="10">
      <c r="A10" s="9"/>
      <c r="B10" s="5" t="s">
        <v>19</v>
      </c>
      <c r="C10" s="12">
        <f>Мног_колич_блоков!C10*Осн._характ_ки_малоэт_кварт!$C$8</f>
        <v>0</v>
      </c>
      <c r="D10" s="12">
        <f>Мног_колич_блоков!D10*Осн._характ_ки_малоэт_кварт!$D$8</f>
        <v>224</v>
      </c>
      <c r="E10" s="12">
        <f>Мног_колич_блоков!E10*Осн._характ_ки_малоэт_кварт!$E$8</f>
        <v>48</v>
      </c>
      <c r="F10" s="12">
        <f>Мног_колич_блоков!F10*Осн._характ_ки_малоэт_кварт!$F$8</f>
        <v>0</v>
      </c>
      <c r="G10" s="12">
        <f t="shared" ref="G10:G14" si="36">SUM(C10:F10)</f>
        <v>272</v>
      </c>
      <c r="H10" s="81"/>
    </row>
    <row r="11">
      <c r="A11" s="4" t="s">
        <v>20</v>
      </c>
      <c r="B11" s="5" t="s">
        <v>21</v>
      </c>
      <c r="C11" s="12">
        <f>Мног_колич_блоков!C11*Осн._характ_ки_малоэт_кварт!$C$8</f>
        <v>0</v>
      </c>
      <c r="D11" s="12">
        <f>Мног_колич_блоков!D11*Осн._характ_ки_малоэт_кварт!$D$8</f>
        <v>224</v>
      </c>
      <c r="E11" s="12">
        <f>Мног_колич_блоков!E11*Осн._характ_ки_малоэт_кварт!$E$8</f>
        <v>48</v>
      </c>
      <c r="F11" s="12">
        <f>Мног_колич_блоков!F11*Осн._характ_ки_малоэт_кварт!$F$8</f>
        <v>0</v>
      </c>
      <c r="G11" s="12">
        <f t="shared" si="36"/>
        <v>272</v>
      </c>
      <c r="H11" s="12">
        <f>SUM(G11:G13)</f>
        <v>856</v>
      </c>
    </row>
    <row r="12">
      <c r="A12" s="8"/>
      <c r="B12" s="5" t="s">
        <v>22</v>
      </c>
      <c r="C12" s="12">
        <f>Мног_колич_блоков!C12*Осн._характ_ки_малоэт_кварт!$C$8</f>
        <v>0</v>
      </c>
      <c r="D12" s="12">
        <f>Мног_колич_блоков!D12*Осн._характ_ки_малоэт_кварт!$D$8</f>
        <v>224</v>
      </c>
      <c r="E12" s="12">
        <f>Мног_колич_блоков!E12*Осн._характ_ки_малоэт_кварт!$E$8</f>
        <v>48</v>
      </c>
      <c r="F12" s="12">
        <f>Мног_колич_блоков!F12*Осн._характ_ки_малоэт_кварт!$F$8</f>
        <v>0</v>
      </c>
      <c r="G12" s="12">
        <f t="shared" si="36"/>
        <v>272</v>
      </c>
      <c r="H12" s="82"/>
    </row>
    <row r="13">
      <c r="A13" s="9"/>
      <c r="B13" s="5" t="s">
        <v>23</v>
      </c>
      <c r="C13" s="12">
        <f>Мног_колич_блоков!C13*Осн._характ_ки_малоэт_кварт!$C$8</f>
        <v>0</v>
      </c>
      <c r="D13" s="12">
        <f>Мног_колич_блоков!D13*Осн._характ_ки_малоэт_кварт!$D$8</f>
        <v>288</v>
      </c>
      <c r="E13" s="12">
        <f>Мног_колич_блоков!E13*Осн._характ_ки_малоэт_кварт!$E$8</f>
        <v>24</v>
      </c>
      <c r="F13" s="12">
        <f>Мног_колич_блоков!F13*Осн._характ_ки_малоэт_кварт!$F$8</f>
        <v>0</v>
      </c>
      <c r="G13" s="12">
        <f t="shared" si="36"/>
        <v>312</v>
      </c>
      <c r="H13" s="81"/>
    </row>
    <row r="14">
      <c r="A14" s="5" t="s">
        <v>24</v>
      </c>
      <c r="B14" s="5"/>
      <c r="C14" s="12">
        <f>Мног_колич_блоков!C14*Осн._характ_ки_малоэт_кварт!$C$8</f>
        <v>0</v>
      </c>
      <c r="D14" s="12">
        <f>Мног_колич_блоков!D14*Осн._характ_ки_малоэт_кварт!$D$8</f>
        <v>2464</v>
      </c>
      <c r="E14" s="12">
        <f>Мног_колич_блоков!E14*Осн._характ_ки_малоэт_кварт!$E$8</f>
        <v>408</v>
      </c>
      <c r="F14" s="12">
        <f>Мног_колич_блоков!F14*Осн._характ_ки_малоэт_кварт!$F$8</f>
        <v>0</v>
      </c>
      <c r="G14" s="12">
        <f t="shared" si="36"/>
        <v>2872</v>
      </c>
      <c r="H14" s="12"/>
    </row>
  </sheetData>
  <mergeCells count="11">
    <mergeCell ref="A1:A2"/>
    <mergeCell ref="B1:B2"/>
    <mergeCell ref="C1:F1"/>
    <mergeCell ref="G1:G2"/>
    <mergeCell ref="H1:H2"/>
    <mergeCell ref="A3:A7"/>
    <mergeCell ref="H3:H7"/>
    <mergeCell ref="A8:A10"/>
    <mergeCell ref="H8:H10"/>
    <mergeCell ref="A11:A13"/>
    <mergeCell ref="H11:H13"/>
  </mergeCells>
  <printOptions headings="0" gridLines="0"/>
  <pageMargins left="0.70000004768371604" right="0.70000004768371604" top="0.75" bottom="0.75" header="0.30000001192092901" footer="0.30000001192092901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"/>
    </sheetView>
  </sheetViews>
  <sheetFormatPr baseColWidth="8" defaultColWidth="9.1406253092569294" defaultRowHeight="14.25"/>
  <cols>
    <col bestFit="1" customWidth="1" min="1" max="1" width="20.855468643610301"/>
    <col customWidth="1" min="2" max="2" width="20.855468643610301"/>
    <col customWidth="1" min="3" max="3" width="12.855468643610299"/>
    <col customWidth="1" min="4" max="4" width="12.2851566656466"/>
    <col bestFit="1" customWidth="1" min="5" max="5" width="12.855468643610299"/>
    <col bestFit="1" customWidth="1" min="6" max="6" width="11.855469151108901"/>
    <col customWidth="1" min="8" max="8" style="25" width="17.28125"/>
    <col customWidth="1" min="10" max="10" style="25" width="15.8515625"/>
    <col customWidth="1" min="11" max="11" style="25" width="18.00390625"/>
    <col customWidth="1" min="12" max="12" style="25" width="12.8515625"/>
  </cols>
  <sheetData>
    <row r="1">
      <c r="A1" s="1" t="s">
        <v>25</v>
      </c>
      <c r="B1" s="1" t="s">
        <v>1</v>
      </c>
      <c r="C1" s="6" t="s">
        <v>75</v>
      </c>
      <c r="D1" s="10"/>
      <c r="E1" s="10"/>
      <c r="F1" s="11"/>
      <c r="G1" s="12" t="s">
        <v>54</v>
      </c>
      <c r="H1" s="83" t="s">
        <v>76</v>
      </c>
      <c r="J1" s="84" t="s">
        <v>77</v>
      </c>
      <c r="K1" s="84" t="s">
        <v>78</v>
      </c>
      <c r="L1" s="84" t="s">
        <v>79</v>
      </c>
    </row>
    <row r="2">
      <c r="A2" s="19"/>
      <c r="B2" s="19"/>
      <c r="C2" s="85" t="s">
        <v>27</v>
      </c>
      <c r="D2" s="85" t="s">
        <v>28</v>
      </c>
      <c r="E2" s="85" t="s">
        <v>29</v>
      </c>
      <c r="F2" s="85" t="s">
        <v>30</v>
      </c>
      <c r="G2" s="82"/>
      <c r="H2" s="86"/>
      <c r="J2" s="86"/>
      <c r="K2" s="86"/>
      <c r="L2" s="86"/>
    </row>
    <row r="3">
      <c r="A3" s="87" t="s">
        <v>9</v>
      </c>
      <c r="B3" s="88" t="s">
        <v>10</v>
      </c>
      <c r="C3" s="89">
        <f>Мног_колич_блоков!C3*Осн._характ_ки_малоэт_кварт!$C$8</f>
        <v>0</v>
      </c>
      <c r="D3" s="89">
        <f>Мног_колич_блоков!D3*Осн._характ_ки_малоэт_кварт!$D$8</f>
        <v>256</v>
      </c>
      <c r="E3" s="89">
        <f>Мног_колич_блоков!E3*Осн._характ_ки_малоэт_кварт!$E$8</f>
        <v>24</v>
      </c>
      <c r="F3" s="89">
        <f>Мног_колич_блоков!F3*Осн._характ_ки_малоэт_кварт!$F$8</f>
        <v>0</v>
      </c>
      <c r="G3" s="89">
        <f t="shared" ref="G3:G9" si="37">SUM(C3:F3)</f>
        <v>280</v>
      </c>
      <c r="H3" s="90">
        <f>SUM(G3:G7)</f>
        <v>1200</v>
      </c>
      <c r="I3" s="91"/>
      <c r="J3" s="39">
        <f t="shared" ref="J3:J5" si="38">(G3-200)*0.0003</f>
        <v>0.023999999999999997</v>
      </c>
      <c r="K3" s="39">
        <f t="shared" ref="K3:K5" si="39">0.77-J3</f>
        <v>0.746</v>
      </c>
      <c r="L3" s="92">
        <f t="shared" ref="L3:L9" si="40">G3*K3</f>
        <v>208.88</v>
      </c>
    </row>
    <row r="4">
      <c r="A4" s="93"/>
      <c r="B4" s="5" t="s">
        <v>12</v>
      </c>
      <c r="C4" s="12">
        <f>Мног_колич_блоков!C4*Осн._характ_ки_малоэт_кварт!$C$8</f>
        <v>0</v>
      </c>
      <c r="D4" s="12">
        <f>Мног_колич_блоков!D4*Осн._характ_ки_малоэт_кварт!$D$8</f>
        <v>288</v>
      </c>
      <c r="E4" s="12">
        <f>Мног_колич_блоков!E4*Осн._характ_ки_малоэт_кварт!$E$8</f>
        <v>24</v>
      </c>
      <c r="F4" s="12">
        <f>Мног_колич_блоков!F4*Осн._характ_ки_малоэт_кварт!$F$8</f>
        <v>0</v>
      </c>
      <c r="G4" s="12">
        <f t="shared" si="37"/>
        <v>312</v>
      </c>
      <c r="H4" s="94"/>
      <c r="J4" s="28">
        <f t="shared" si="38"/>
        <v>0.033599999999999998</v>
      </c>
      <c r="K4" s="28">
        <f t="shared" si="39"/>
        <v>0.73640000000000005</v>
      </c>
      <c r="L4" s="95">
        <f t="shared" si="40"/>
        <v>229.75680000000003</v>
      </c>
    </row>
    <row r="5">
      <c r="A5" s="93"/>
      <c r="B5" s="5" t="s">
        <v>13</v>
      </c>
      <c r="C5" s="12">
        <f>Мног_колич_блоков!C5*Осн._характ_ки_малоэт_кварт!$C$8</f>
        <v>0</v>
      </c>
      <c r="D5" s="12">
        <f>Мног_колич_блоков!D5*Осн._характ_ки_малоэт_кварт!$D$8</f>
        <v>224</v>
      </c>
      <c r="E5" s="12">
        <f>Мног_колич_блоков!E5*Осн._характ_ки_малоэт_кварт!$E$8</f>
        <v>48</v>
      </c>
      <c r="F5" s="12">
        <f>Мног_колич_блоков!F5*Осн._характ_ки_малоэт_кварт!$F$8</f>
        <v>0</v>
      </c>
      <c r="G5" s="12">
        <f t="shared" si="37"/>
        <v>272</v>
      </c>
      <c r="H5" s="94"/>
      <c r="J5" s="28">
        <f t="shared" si="38"/>
        <v>0.021599999999999998</v>
      </c>
      <c r="K5" s="28">
        <f t="shared" si="39"/>
        <v>0.74840000000000007</v>
      </c>
      <c r="L5" s="95">
        <f t="shared" si="40"/>
        <v>203.56480000000002</v>
      </c>
    </row>
    <row r="6">
      <c r="A6" s="93"/>
      <c r="B6" s="5" t="s">
        <v>14</v>
      </c>
      <c r="C6" s="12">
        <f>Мног_колич_блоков!C6*Осн._характ_ки_малоэт_кварт!$C$8</f>
        <v>0</v>
      </c>
      <c r="D6" s="12">
        <f>Мног_колич_блоков!D6*Осн._характ_ки_малоэт_кварт!$D$8</f>
        <v>160</v>
      </c>
      <c r="E6" s="12">
        <f>Мног_колич_блоков!E6*Осн._характ_ки_малоэт_кварт!$E$8</f>
        <v>24</v>
      </c>
      <c r="F6" s="12">
        <f>Мног_колич_блоков!F6*Осн._характ_ки_малоэт_кварт!$F$8</f>
        <v>0</v>
      </c>
      <c r="G6" s="12">
        <f t="shared" si="37"/>
        <v>184</v>
      </c>
      <c r="H6" s="94"/>
      <c r="J6" s="28">
        <f t="shared" ref="J6:J7" si="41">(G6-100)*0.0008</f>
        <v>0.06720000000000001</v>
      </c>
      <c r="K6" s="28">
        <f t="shared" ref="K6:K7" si="42">0.85-J6</f>
        <v>0.78279999999999994</v>
      </c>
      <c r="L6" s="95">
        <f t="shared" si="40"/>
        <v>144.03519999999997</v>
      </c>
    </row>
    <row r="7">
      <c r="A7" s="96"/>
      <c r="B7" s="97" t="s">
        <v>15</v>
      </c>
      <c r="C7" s="98">
        <f>Мног_колич_блоков!C7*Осн._характ_ки_малоэт_кварт!$C$8</f>
        <v>0</v>
      </c>
      <c r="D7" s="98">
        <f>Мног_колич_блоков!D7*Осн._характ_ки_малоэт_кварт!$D$8</f>
        <v>128</v>
      </c>
      <c r="E7" s="98">
        <f>Мног_колич_блоков!E7*Осн._характ_ки_малоэт_кварт!$E$8</f>
        <v>24</v>
      </c>
      <c r="F7" s="98">
        <f>Мног_колич_блоков!F7*Осн._характ_ки_малоэт_кварт!$F$8</f>
        <v>0</v>
      </c>
      <c r="G7" s="98">
        <f t="shared" si="37"/>
        <v>152</v>
      </c>
      <c r="H7" s="99"/>
      <c r="I7" s="100"/>
      <c r="J7" s="56">
        <f t="shared" si="41"/>
        <v>0.041600000000000005</v>
      </c>
      <c r="K7" s="56">
        <f t="shared" si="42"/>
        <v>0.80840000000000001</v>
      </c>
      <c r="L7" s="101">
        <f t="shared" si="40"/>
        <v>122.8768</v>
      </c>
      <c r="M7">
        <f>SUM(L3:L7)</f>
        <v>909.11359999999991</v>
      </c>
    </row>
    <row r="8">
      <c r="A8" s="87" t="s">
        <v>16</v>
      </c>
      <c r="B8" s="88" t="s">
        <v>17</v>
      </c>
      <c r="C8" s="89">
        <f>Мног_колич_блоков!C8*Осн._характ_ки_малоэт_кварт!$C$8</f>
        <v>0</v>
      </c>
      <c r="D8" s="89">
        <f>Мног_колич_блоков!D8*Осн._характ_ки_малоэт_кварт!$D$8</f>
        <v>224</v>
      </c>
      <c r="E8" s="89">
        <f>Мног_колич_блоков!E8*Осн._характ_ки_малоэт_кварт!$E$8</f>
        <v>48</v>
      </c>
      <c r="F8" s="89">
        <f>Мног_колич_блоков!F8*Осн._характ_ки_малоэт_кварт!$F$8</f>
        <v>0</v>
      </c>
      <c r="G8" s="89">
        <f t="shared" si="37"/>
        <v>272</v>
      </c>
      <c r="H8" s="90">
        <f>SUM(G8:G10)</f>
        <v>816</v>
      </c>
      <c r="I8" s="91"/>
      <c r="J8" s="65">
        <f t="shared" ref="J8:J9" si="43">(G8-200)*0.0003</f>
        <v>0.021599999999999998</v>
      </c>
      <c r="K8" s="65">
        <f t="shared" ref="K8:K9" si="44">0.77-J8</f>
        <v>0.74840000000000007</v>
      </c>
      <c r="L8" s="92">
        <f t="shared" si="40"/>
        <v>203.56480000000002</v>
      </c>
    </row>
    <row r="9">
      <c r="A9" s="93"/>
      <c r="B9" s="5" t="s">
        <v>18</v>
      </c>
      <c r="C9" s="12">
        <f>Мног_колич_блоков!C9*Осн._характ_ки_малоэт_кварт!$C$8</f>
        <v>0</v>
      </c>
      <c r="D9" s="12">
        <f>Мног_колич_блоков!D9*Осн._характ_ки_малоэт_кварт!$D$8</f>
        <v>224</v>
      </c>
      <c r="E9" s="12">
        <f>Мног_колич_блоков!E9*Осн._характ_ки_малоэт_кварт!$E$8</f>
        <v>48</v>
      </c>
      <c r="F9" s="12">
        <f>Мног_колич_блоков!F9*Осн._характ_ки_малоэт_кварт!$F$8</f>
        <v>0</v>
      </c>
      <c r="G9" s="12">
        <f t="shared" si="37"/>
        <v>272</v>
      </c>
      <c r="H9" s="94"/>
      <c r="J9" s="48">
        <f t="shared" si="43"/>
        <v>0.021599999999999998</v>
      </c>
      <c r="K9" s="48">
        <f t="shared" si="44"/>
        <v>0.74840000000000007</v>
      </c>
      <c r="L9" s="95">
        <f t="shared" si="40"/>
        <v>203.56480000000002</v>
      </c>
    </row>
    <row r="10">
      <c r="A10" s="96"/>
      <c r="B10" s="97" t="s">
        <v>19</v>
      </c>
      <c r="C10" s="98">
        <f>Мног_колич_блоков!C10*Осн._характ_ки_малоэт_кварт!$C$8</f>
        <v>0</v>
      </c>
      <c r="D10" s="98">
        <f>Мног_колич_блоков!D10*Осн._характ_ки_малоэт_кварт!$D$8</f>
        <v>224</v>
      </c>
      <c r="E10" s="98">
        <f>Мног_колич_блоков!E10*Осн._характ_ки_малоэт_кварт!$E$8</f>
        <v>48</v>
      </c>
      <c r="F10" s="98">
        <f>Мног_колич_блоков!F10*Осн._характ_ки_малоэт_кварт!$F$8</f>
        <v>0</v>
      </c>
      <c r="G10" s="98">
        <f t="shared" ref="G10:G14" si="45">SUM(C10:F10)</f>
        <v>272</v>
      </c>
      <c r="H10" s="99"/>
      <c r="I10" s="100"/>
      <c r="J10" s="58">
        <f t="shared" ref="J10:J13" si="46">(G10-200)*0.0003</f>
        <v>0.021599999999999998</v>
      </c>
      <c r="K10" s="58">
        <f t="shared" ref="K10:K13" si="47">0.77-J10</f>
        <v>0.74840000000000007</v>
      </c>
      <c r="L10" s="101">
        <f t="shared" ref="L10:L13" si="48">G10*K10</f>
        <v>203.56480000000002</v>
      </c>
      <c r="M10">
        <f>SUM(L8:L10)</f>
        <v>610.69440000000009</v>
      </c>
    </row>
    <row r="11">
      <c r="A11" s="87" t="s">
        <v>20</v>
      </c>
      <c r="B11" s="88" t="s">
        <v>21</v>
      </c>
      <c r="C11" s="89">
        <f>Мног_колич_блоков!C11*Осн._характ_ки_малоэт_кварт!$C$8</f>
        <v>0</v>
      </c>
      <c r="D11" s="89">
        <f>Мног_колич_блоков!D11*Осн._характ_ки_малоэт_кварт!$D$8</f>
        <v>224</v>
      </c>
      <c r="E11" s="89">
        <f>Мног_колич_блоков!E11*Осн._характ_ки_малоэт_кварт!$E$8</f>
        <v>48</v>
      </c>
      <c r="F11" s="89">
        <f>Мног_колич_блоков!F11*Осн._характ_ки_малоэт_кварт!$F$8</f>
        <v>0</v>
      </c>
      <c r="G11" s="89">
        <f t="shared" si="45"/>
        <v>272</v>
      </c>
      <c r="H11" s="90">
        <f>SUM(G11:G13)</f>
        <v>856</v>
      </c>
      <c r="I11" s="91"/>
      <c r="J11" s="65">
        <f t="shared" si="46"/>
        <v>0.021599999999999998</v>
      </c>
      <c r="K11" s="65">
        <f t="shared" si="47"/>
        <v>0.74840000000000007</v>
      </c>
      <c r="L11" s="92">
        <f t="shared" si="48"/>
        <v>203.56480000000002</v>
      </c>
    </row>
    <row r="12">
      <c r="A12" s="93"/>
      <c r="B12" s="5" t="s">
        <v>22</v>
      </c>
      <c r="C12" s="12">
        <f>Мног_колич_блоков!C12*Осн._характ_ки_малоэт_кварт!$C$8</f>
        <v>0</v>
      </c>
      <c r="D12" s="12">
        <f>Мног_колич_блоков!D12*Осн._характ_ки_малоэт_кварт!$D$8</f>
        <v>224</v>
      </c>
      <c r="E12" s="12">
        <f>Мног_колич_блоков!E12*Осн._характ_ки_малоэт_кварт!$E$8</f>
        <v>48</v>
      </c>
      <c r="F12" s="12">
        <f>Мног_колич_блоков!F12*Осн._характ_ки_малоэт_кварт!$F$8</f>
        <v>0</v>
      </c>
      <c r="G12" s="12">
        <f t="shared" si="45"/>
        <v>272</v>
      </c>
      <c r="H12" s="94"/>
      <c r="J12" s="48">
        <f t="shared" si="46"/>
        <v>0.021599999999999998</v>
      </c>
      <c r="K12" s="48">
        <f t="shared" si="47"/>
        <v>0.74840000000000007</v>
      </c>
      <c r="L12" s="95">
        <f t="shared" si="48"/>
        <v>203.56480000000002</v>
      </c>
    </row>
    <row r="13">
      <c r="A13" s="96"/>
      <c r="B13" s="97" t="s">
        <v>23</v>
      </c>
      <c r="C13" s="98">
        <f>Мног_колич_блоков!C13*Осн._характ_ки_малоэт_кварт!$C$8</f>
        <v>0</v>
      </c>
      <c r="D13" s="98">
        <f>Мног_колич_блоков!D13*Осн._характ_ки_малоэт_кварт!$D$8</f>
        <v>288</v>
      </c>
      <c r="E13" s="98">
        <f>Мног_колич_блоков!E13*Осн._характ_ки_малоэт_кварт!$E$8</f>
        <v>24</v>
      </c>
      <c r="F13" s="98">
        <f>Мног_колич_блоков!F13*Осн._характ_ки_малоэт_кварт!$F$8</f>
        <v>0</v>
      </c>
      <c r="G13" s="98">
        <f t="shared" si="45"/>
        <v>312</v>
      </c>
      <c r="H13" s="99"/>
      <c r="I13" s="100"/>
      <c r="J13" s="58">
        <f t="shared" si="46"/>
        <v>0.033599999999999998</v>
      </c>
      <c r="K13" s="58">
        <f t="shared" si="47"/>
        <v>0.73640000000000005</v>
      </c>
      <c r="L13" s="101">
        <f t="shared" si="48"/>
        <v>229.75680000000003</v>
      </c>
      <c r="M13">
        <f>SUM(L11:L13)</f>
        <v>636.88640000000009</v>
      </c>
    </row>
    <row r="14">
      <c r="A14" s="24" t="s">
        <v>24</v>
      </c>
      <c r="B14" s="24"/>
      <c r="C14" s="81">
        <f>Мног_колич_блоков!C14*Осн._характ_ки_малоэт_кварт!$C$8</f>
        <v>0</v>
      </c>
      <c r="D14" s="81">
        <f>Мног_колич_блоков!D14*Осн._характ_ки_малоэт_кварт!$D$8</f>
        <v>2464</v>
      </c>
      <c r="E14" s="81">
        <f>Мног_колич_блоков!E14*Осн._характ_ки_малоэт_кварт!$E$8</f>
        <v>408</v>
      </c>
      <c r="F14" s="81">
        <f>Мног_колич_блоков!F14*Осн._характ_ки_малоэт_кварт!$F$8</f>
        <v>0</v>
      </c>
      <c r="G14" s="81">
        <f t="shared" si="45"/>
        <v>2872</v>
      </c>
      <c r="H14" s="102"/>
      <c r="J14" s="72"/>
      <c r="K14" s="72"/>
      <c r="L14" s="103">
        <f>SUM(L3:L13)</f>
        <v>2156.6944000000003</v>
      </c>
    </row>
  </sheetData>
  <mergeCells count="14">
    <mergeCell ref="A1:A2"/>
    <mergeCell ref="B1:B2"/>
    <mergeCell ref="C1:F1"/>
    <mergeCell ref="G1:G2"/>
    <mergeCell ref="H1:H2"/>
    <mergeCell ref="J1:J2"/>
    <mergeCell ref="K1:K2"/>
    <mergeCell ref="L1:L2"/>
    <mergeCell ref="A3:A7"/>
    <mergeCell ref="H3:H7"/>
    <mergeCell ref="A8:A10"/>
    <mergeCell ref="H8:H10"/>
    <mergeCell ref="A11:A13"/>
    <mergeCell ref="H11:H13"/>
  </mergeCells>
  <printOptions headings="0" gridLines="0"/>
  <pageMargins left="0.70000004768371604" right="0.70000004768371604" top="0.75" bottom="0.75" header="0.30000001192092901" footer="0.30000001192092901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"/>
    </sheetView>
  </sheetViews>
  <sheetFormatPr baseColWidth="8" defaultColWidth="9.1406253092569294" defaultRowHeight="14.25"/>
  <cols>
    <col bestFit="1" customWidth="1" min="1" max="1" width="20.855468643610301"/>
    <col customWidth="1" min="2" max="2" width="20.855468643610301"/>
    <col customWidth="1" min="3" max="3" width="12.855468643610299"/>
    <col customWidth="1" min="4" max="4" width="12.2851566656466"/>
    <col bestFit="1" customWidth="1" min="5" max="5" width="12.855468643610299"/>
    <col bestFit="1" customWidth="1" min="6" max="6" width="11.855469151108901"/>
    <col bestFit="1" customWidth="1" min="7" max="7" style="104" width="9.1406253092569294"/>
    <col bestFit="1" customWidth="1" min="8" max="8" style="25" width="16.57421875"/>
  </cols>
  <sheetData>
    <row r="1">
      <c r="A1" s="1" t="s">
        <v>25</v>
      </c>
      <c r="B1" s="1" t="s">
        <v>1</v>
      </c>
      <c r="C1" s="6" t="s">
        <v>80</v>
      </c>
      <c r="D1" s="10"/>
      <c r="E1" s="10"/>
      <c r="F1" s="11"/>
      <c r="G1" s="105" t="s">
        <v>54</v>
      </c>
      <c r="H1" s="28" t="s">
        <v>76</v>
      </c>
    </row>
    <row r="2">
      <c r="A2" s="3"/>
      <c r="B2" s="3"/>
      <c r="C2" s="12" t="s">
        <v>27</v>
      </c>
      <c r="D2" s="12" t="s">
        <v>28</v>
      </c>
      <c r="E2" s="12" t="s">
        <v>29</v>
      </c>
      <c r="F2" s="12" t="s">
        <v>30</v>
      </c>
      <c r="G2" s="106"/>
      <c r="H2" s="28"/>
    </row>
    <row r="3">
      <c r="A3" s="4" t="s">
        <v>9</v>
      </c>
      <c r="B3" s="5" t="s">
        <v>10</v>
      </c>
      <c r="C3" s="12">
        <f>Мног_колич_квартир!C3*3</f>
        <v>0</v>
      </c>
      <c r="D3" s="12">
        <f>Мног_колич_квартир!D3*3</f>
        <v>768</v>
      </c>
      <c r="E3" s="12">
        <f>Мног_колич_квартир!E3*3</f>
        <v>72</v>
      </c>
      <c r="F3" s="12">
        <f>Мног_колич_квартир!F3*3</f>
        <v>0</v>
      </c>
      <c r="G3" s="107">
        <f t="shared" ref="G3:G9" si="49">SUM(C3:F3)</f>
        <v>840</v>
      </c>
      <c r="H3" s="28">
        <f>SUM(G3:G7)</f>
        <v>3600</v>
      </c>
    </row>
    <row r="4">
      <c r="A4" s="8"/>
      <c r="B4" s="5" t="s">
        <v>12</v>
      </c>
      <c r="C4" s="12">
        <f>Мног_колич_квартир!C4*3</f>
        <v>0</v>
      </c>
      <c r="D4" s="12">
        <f>Мног_колич_квартир!D4*3</f>
        <v>864</v>
      </c>
      <c r="E4" s="12">
        <f>Мног_колич_квартир!E4*3</f>
        <v>72</v>
      </c>
      <c r="F4" s="12">
        <f>Мног_колич_квартир!F4*3</f>
        <v>0</v>
      </c>
      <c r="G4" s="107">
        <f t="shared" si="49"/>
        <v>936</v>
      </c>
      <c r="H4" s="28"/>
    </row>
    <row r="5">
      <c r="A5" s="8"/>
      <c r="B5" s="5" t="s">
        <v>13</v>
      </c>
      <c r="C5" s="12">
        <f>Мног_колич_квартир!C5*3</f>
        <v>0</v>
      </c>
      <c r="D5" s="12">
        <f>Мног_колич_квартир!D5*3</f>
        <v>672</v>
      </c>
      <c r="E5" s="12">
        <f>Мног_колич_квартир!E5*3</f>
        <v>144</v>
      </c>
      <c r="F5" s="12">
        <f>Мног_колич_квартир!F5*3</f>
        <v>0</v>
      </c>
      <c r="G5" s="107">
        <f t="shared" si="49"/>
        <v>816</v>
      </c>
      <c r="H5" s="28"/>
    </row>
    <row r="6">
      <c r="A6" s="8"/>
      <c r="B6" s="5" t="s">
        <v>14</v>
      </c>
      <c r="C6" s="12">
        <f>Мног_колич_квартир!C6*3</f>
        <v>0</v>
      </c>
      <c r="D6" s="12">
        <f>Мног_колич_квартир!D6*3</f>
        <v>480</v>
      </c>
      <c r="E6" s="12">
        <f>Мног_колич_квартир!E6*3</f>
        <v>72</v>
      </c>
      <c r="F6" s="12">
        <f>Мног_колич_квартир!F6*3</f>
        <v>0</v>
      </c>
      <c r="G6" s="107">
        <f t="shared" si="49"/>
        <v>552</v>
      </c>
      <c r="H6" s="28"/>
    </row>
    <row r="7">
      <c r="A7" s="9"/>
      <c r="B7" s="5" t="s">
        <v>15</v>
      </c>
      <c r="C7" s="12">
        <f>Мног_колич_квартир!C7*3</f>
        <v>0</v>
      </c>
      <c r="D7" s="12">
        <f>Мног_колич_квартир!D7*3</f>
        <v>384</v>
      </c>
      <c r="E7" s="12">
        <f>Мног_колич_квартир!E7*3</f>
        <v>72</v>
      </c>
      <c r="F7" s="12">
        <f>Мног_колич_квартир!F7*3</f>
        <v>0</v>
      </c>
      <c r="G7" s="107">
        <f t="shared" si="49"/>
        <v>456</v>
      </c>
      <c r="H7" s="28"/>
    </row>
    <row r="8">
      <c r="A8" s="4" t="s">
        <v>16</v>
      </c>
      <c r="B8" s="5" t="s">
        <v>17</v>
      </c>
      <c r="C8" s="12">
        <f>Мног_колич_квартир!C8*3</f>
        <v>0</v>
      </c>
      <c r="D8" s="12">
        <f>Мног_колич_квартир!D8*3</f>
        <v>672</v>
      </c>
      <c r="E8" s="12">
        <f>Мног_колич_квартир!E8*3</f>
        <v>144</v>
      </c>
      <c r="F8" s="12">
        <f>Мног_колич_квартир!F8*3</f>
        <v>0</v>
      </c>
      <c r="G8" s="107">
        <f t="shared" si="49"/>
        <v>816</v>
      </c>
      <c r="H8" s="28">
        <f>SUM(G8:G10)</f>
        <v>2448</v>
      </c>
    </row>
    <row r="9">
      <c r="A9" s="8"/>
      <c r="B9" s="5" t="s">
        <v>18</v>
      </c>
      <c r="C9" s="12">
        <f>Мног_колич_квартир!C9*3</f>
        <v>0</v>
      </c>
      <c r="D9" s="12">
        <f>Мног_колич_квартир!D9*3</f>
        <v>672</v>
      </c>
      <c r="E9" s="12">
        <f>Мног_колич_квартир!E9*3</f>
        <v>144</v>
      </c>
      <c r="F9" s="12">
        <f>Мног_колич_квартир!F9*3</f>
        <v>0</v>
      </c>
      <c r="G9" s="107">
        <f t="shared" si="49"/>
        <v>816</v>
      </c>
      <c r="H9" s="28"/>
    </row>
    <row r="10">
      <c r="A10" s="9"/>
      <c r="B10" s="5" t="s">
        <v>19</v>
      </c>
      <c r="C10" s="12">
        <f>Мног_колич_квартир!C10*3</f>
        <v>0</v>
      </c>
      <c r="D10" s="12">
        <f>Мног_колич_квартир!D10*3</f>
        <v>672</v>
      </c>
      <c r="E10" s="12">
        <f>Мног_колич_квартир!E10*3</f>
        <v>144</v>
      </c>
      <c r="F10" s="12">
        <f>Мног_колич_квартир!F10*3</f>
        <v>0</v>
      </c>
      <c r="G10" s="107">
        <f t="shared" ref="G10:G13" si="50">SUM(C10:F10)</f>
        <v>816</v>
      </c>
      <c r="H10" s="28"/>
    </row>
    <row r="11">
      <c r="A11" s="4" t="s">
        <v>20</v>
      </c>
      <c r="B11" s="5" t="s">
        <v>21</v>
      </c>
      <c r="C11" s="12">
        <f>Мног_колич_квартир!C11*3</f>
        <v>0</v>
      </c>
      <c r="D11" s="12">
        <f>Мног_колич_квартир!D11*3</f>
        <v>672</v>
      </c>
      <c r="E11" s="12">
        <f>Мног_колич_квартир!E11*3</f>
        <v>144</v>
      </c>
      <c r="F11" s="12">
        <f>Мног_колич_квартир!F11*3</f>
        <v>0</v>
      </c>
      <c r="G11" s="107">
        <f t="shared" si="50"/>
        <v>816</v>
      </c>
      <c r="H11" s="28">
        <f>SUM(G11:G13)</f>
        <v>2568</v>
      </c>
    </row>
    <row r="12">
      <c r="A12" s="8"/>
      <c r="B12" s="5" t="s">
        <v>22</v>
      </c>
      <c r="C12" s="12">
        <f>Мног_колич_квартир!C12*3</f>
        <v>0</v>
      </c>
      <c r="D12" s="12">
        <f>Мног_колич_квартир!D12*3</f>
        <v>672</v>
      </c>
      <c r="E12" s="12">
        <f>Мног_колич_квартир!E12*3</f>
        <v>144</v>
      </c>
      <c r="F12" s="12">
        <f>Мног_колич_квартир!F12*3</f>
        <v>0</v>
      </c>
      <c r="G12" s="107">
        <f t="shared" si="50"/>
        <v>816</v>
      </c>
      <c r="H12" s="28"/>
    </row>
    <row r="13">
      <c r="A13" s="9"/>
      <c r="B13" s="5" t="s">
        <v>23</v>
      </c>
      <c r="C13" s="12">
        <f>Мног_колич_квартир!C13*3</f>
        <v>0</v>
      </c>
      <c r="D13" s="12">
        <f>Мног_колич_квартир!D13*3</f>
        <v>864</v>
      </c>
      <c r="E13" s="12">
        <f>Мног_колич_квартир!E13*3</f>
        <v>72</v>
      </c>
      <c r="F13" s="12">
        <f>Мног_колич_квартир!F13*3</f>
        <v>0</v>
      </c>
      <c r="G13" s="107">
        <f t="shared" si="50"/>
        <v>936</v>
      </c>
      <c r="H13" s="28"/>
    </row>
    <row r="14">
      <c r="A14" s="5" t="s">
        <v>24</v>
      </c>
      <c r="B14" s="5"/>
      <c r="C14" s="12">
        <f>SUM(C3:C13)</f>
        <v>0</v>
      </c>
      <c r="D14" s="12">
        <f>SUM(D3:D13)</f>
        <v>7392</v>
      </c>
      <c r="E14" s="12">
        <f>SUM(E3:E13)</f>
        <v>1224</v>
      </c>
      <c r="F14" s="12">
        <f>SUM(F3:F13)</f>
        <v>0</v>
      </c>
      <c r="G14" s="107">
        <f>SUM(G3:G13)</f>
        <v>8616</v>
      </c>
      <c r="H14" s="28"/>
    </row>
  </sheetData>
  <mergeCells count="11">
    <mergeCell ref="A1:A2"/>
    <mergeCell ref="B1:B2"/>
    <mergeCell ref="C1:F1"/>
    <mergeCell ref="G1:G2"/>
    <mergeCell ref="H1:H2"/>
    <mergeCell ref="A3:A7"/>
    <mergeCell ref="H3:H7"/>
    <mergeCell ref="A8:A10"/>
    <mergeCell ref="H8:H10"/>
    <mergeCell ref="A11:A13"/>
    <mergeCell ref="H11:H13"/>
  </mergeCells>
  <printOptions headings="0" gridLines="0"/>
  <pageMargins left="0.70000004768371604" right="0.70000004768371604" top="0.75" bottom="0.75" header="0.30000001192092901" footer="0.30000001192092901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"/>
    </sheetView>
  </sheetViews>
  <sheetFormatPr baseColWidth="8" defaultColWidth="9.1406253092569294" defaultRowHeight="14.25"/>
  <cols>
    <col bestFit="1" customWidth="1" min="1" max="1" width="20.855468643610301"/>
    <col customWidth="1" hidden="1" min="2" max="2" width="20.855468643610301"/>
    <col customWidth="1" hidden="1" min="3" max="3" width="12.855468643610299"/>
    <col customWidth="1" hidden="1" min="4" max="4" width="12.2851566656466"/>
    <col customWidth="1" hidden="1" min="5" max="5" width="12.855468643610299"/>
    <col customWidth="1" hidden="1" min="6" max="6" width="11.855469151108901"/>
    <col bestFit="1" customWidth="1" min="7" max="7" style="104" width="9.1406253092569294"/>
    <col customWidth="1" hidden="1" min="8" max="8" style="25" width="16.57421875"/>
  </cols>
  <sheetData>
    <row r="1">
      <c r="A1" s="1" t="s">
        <v>25</v>
      </c>
      <c r="B1" s="1" t="s">
        <v>1</v>
      </c>
      <c r="C1" s="6" t="s">
        <v>80</v>
      </c>
      <c r="D1" s="10"/>
      <c r="E1" s="10"/>
      <c r="F1" s="11"/>
      <c r="G1" s="105" t="s">
        <v>54</v>
      </c>
      <c r="H1" s="28" t="s">
        <v>76</v>
      </c>
    </row>
    <row r="2">
      <c r="A2" s="3"/>
      <c r="B2" s="3"/>
      <c r="C2" s="12" t="s">
        <v>27</v>
      </c>
      <c r="D2" s="12" t="s">
        <v>28</v>
      </c>
      <c r="E2" s="12" t="s">
        <v>29</v>
      </c>
      <c r="F2" s="12" t="s">
        <v>30</v>
      </c>
      <c r="G2" s="106"/>
      <c r="H2" s="28"/>
    </row>
    <row r="3">
      <c r="A3" s="4" t="s">
        <v>9</v>
      </c>
      <c r="B3" s="5" t="s">
        <v>10</v>
      </c>
      <c r="C3" s="12">
        <f>Мног_колич_квартир!C3*3</f>
        <v>0</v>
      </c>
      <c r="D3" s="12">
        <f>Мног_колич_квартир!D3*3</f>
        <v>768</v>
      </c>
      <c r="E3" s="12">
        <f>Мног_колич_квартир!E3*3</f>
        <v>72</v>
      </c>
      <c r="F3" s="12">
        <f>Мног_колич_квартир!F3*3</f>
        <v>0</v>
      </c>
      <c r="G3" s="107">
        <f t="shared" ref="G3:G9" si="51">SUM(C3:F3)</f>
        <v>840</v>
      </c>
      <c r="H3" s="28">
        <f>SUM(G3:G7)</f>
        <v>3600</v>
      </c>
      <c r="I3" s="50">
        <f t="shared" ref="I3:I9" si="52">G3*0.0167</f>
        <v>14.028</v>
      </c>
    </row>
    <row r="4">
      <c r="A4" s="8"/>
      <c r="B4" s="5" t="s">
        <v>12</v>
      </c>
      <c r="C4" s="12">
        <f>Мног_колич_квартир!C4*3</f>
        <v>0</v>
      </c>
      <c r="D4" s="12">
        <f>Мног_колич_квартир!D4*3</f>
        <v>864</v>
      </c>
      <c r="E4" s="12">
        <f>Мног_колич_квартир!E4*3</f>
        <v>72</v>
      </c>
      <c r="F4" s="12">
        <f>Мног_колич_квартир!F4*3</f>
        <v>0</v>
      </c>
      <c r="G4" s="107">
        <f t="shared" si="51"/>
        <v>936</v>
      </c>
      <c r="H4" s="28"/>
      <c r="I4" s="50">
        <f t="shared" si="52"/>
        <v>15.6312</v>
      </c>
    </row>
    <row r="5">
      <c r="A5" s="8"/>
      <c r="B5" s="5" t="s">
        <v>13</v>
      </c>
      <c r="C5" s="12">
        <f>Мног_колич_квартир!C5*3</f>
        <v>0</v>
      </c>
      <c r="D5" s="12">
        <f>Мног_колич_квартир!D5*3</f>
        <v>672</v>
      </c>
      <c r="E5" s="12">
        <f>Мног_колич_квартир!E5*3</f>
        <v>144</v>
      </c>
      <c r="F5" s="12">
        <f>Мног_колич_квартир!F5*3</f>
        <v>0</v>
      </c>
      <c r="G5" s="107">
        <f t="shared" si="51"/>
        <v>816</v>
      </c>
      <c r="H5" s="28"/>
      <c r="I5" s="50">
        <f t="shared" si="52"/>
        <v>13.6272</v>
      </c>
    </row>
    <row r="6">
      <c r="A6" s="8"/>
      <c r="B6" s="5" t="s">
        <v>14</v>
      </c>
      <c r="C6" s="12">
        <f>Мног_колич_квартир!C6*3</f>
        <v>0</v>
      </c>
      <c r="D6" s="12">
        <f>Мног_колич_квартир!D6*3</f>
        <v>480</v>
      </c>
      <c r="E6" s="12">
        <f>Мног_колич_квартир!E6*3</f>
        <v>72</v>
      </c>
      <c r="F6" s="12">
        <f>Мног_колич_квартир!F6*3</f>
        <v>0</v>
      </c>
      <c r="G6" s="107">
        <f t="shared" si="51"/>
        <v>552</v>
      </c>
      <c r="H6" s="28"/>
      <c r="I6" s="50">
        <f t="shared" si="52"/>
        <v>9.218399999999999</v>
      </c>
    </row>
    <row r="7">
      <c r="A7" s="9"/>
      <c r="B7" s="5" t="s">
        <v>15</v>
      </c>
      <c r="C7" s="12">
        <f>Мног_колич_квартир!C7*3</f>
        <v>0</v>
      </c>
      <c r="D7" s="12">
        <f>Мног_колич_квартир!D7*3</f>
        <v>384</v>
      </c>
      <c r="E7" s="12">
        <f>Мног_колич_квартир!E7*3</f>
        <v>72</v>
      </c>
      <c r="F7" s="12">
        <f>Мног_колич_квартир!F7*3</f>
        <v>0</v>
      </c>
      <c r="G7" s="107">
        <f t="shared" si="51"/>
        <v>456</v>
      </c>
      <c r="H7" s="28"/>
      <c r="I7" s="50">
        <f t="shared" si="52"/>
        <v>7.6151999999999997</v>
      </c>
      <c r="J7">
        <f>SUM(I3:I7)</f>
        <v>60.120000000000005</v>
      </c>
    </row>
    <row r="8">
      <c r="A8" s="4" t="s">
        <v>16</v>
      </c>
      <c r="B8" s="5" t="s">
        <v>17</v>
      </c>
      <c r="C8" s="12">
        <f>Мног_колич_квартир!C8*3</f>
        <v>0</v>
      </c>
      <c r="D8" s="12">
        <f>Мног_колич_квартир!D8*3</f>
        <v>672</v>
      </c>
      <c r="E8" s="12">
        <f>Мног_колич_квартир!E8*3</f>
        <v>144</v>
      </c>
      <c r="F8" s="12">
        <f>Мног_колич_квартир!F8*3</f>
        <v>0</v>
      </c>
      <c r="G8" s="107">
        <f t="shared" si="51"/>
        <v>816</v>
      </c>
      <c r="H8" s="28">
        <f>SUM(G8:G10)</f>
        <v>2448</v>
      </c>
      <c r="I8" s="50">
        <f t="shared" si="52"/>
        <v>13.6272</v>
      </c>
    </row>
    <row r="9">
      <c r="A9" s="8"/>
      <c r="B9" s="5" t="s">
        <v>18</v>
      </c>
      <c r="C9" s="12">
        <f>Мног_колич_квартир!C9*3</f>
        <v>0</v>
      </c>
      <c r="D9" s="12">
        <f>Мног_колич_квартир!D9*3</f>
        <v>672</v>
      </c>
      <c r="E9" s="12">
        <f>Мног_колич_квартир!E9*3</f>
        <v>144</v>
      </c>
      <c r="F9" s="12">
        <f>Мног_колич_квартир!F9*3</f>
        <v>0</v>
      </c>
      <c r="G9" s="107">
        <f t="shared" si="51"/>
        <v>816</v>
      </c>
      <c r="H9" s="28"/>
      <c r="I9" s="50">
        <f t="shared" si="52"/>
        <v>13.6272</v>
      </c>
    </row>
    <row r="10">
      <c r="A10" s="9"/>
      <c r="B10" s="5" t="s">
        <v>19</v>
      </c>
      <c r="C10" s="12">
        <f>Мног_колич_квартир!C10*3</f>
        <v>0</v>
      </c>
      <c r="D10" s="12">
        <f>Мног_колич_квартир!D10*3</f>
        <v>672</v>
      </c>
      <c r="E10" s="12">
        <f>Мног_колич_квартир!E10*3</f>
        <v>144</v>
      </c>
      <c r="F10" s="12">
        <f>Мног_колич_квартир!F10*3</f>
        <v>0</v>
      </c>
      <c r="G10" s="107">
        <f t="shared" ref="G10:G13" si="53">SUM(C10:F10)</f>
        <v>816</v>
      </c>
      <c r="H10" s="28"/>
      <c r="I10" s="50">
        <f t="shared" ref="I10:I13" si="54">G10*0.0167</f>
        <v>13.6272</v>
      </c>
      <c r="J10">
        <f>SUM(I8:I10)</f>
        <v>40.881599999999999</v>
      </c>
    </row>
    <row r="11">
      <c r="A11" s="4" t="s">
        <v>20</v>
      </c>
      <c r="B11" s="5" t="s">
        <v>21</v>
      </c>
      <c r="C11" s="12">
        <f>Мног_колич_квартир!C11*3</f>
        <v>0</v>
      </c>
      <c r="D11" s="12">
        <f>Мног_колич_квартир!D11*3</f>
        <v>672</v>
      </c>
      <c r="E11" s="12">
        <f>Мног_колич_квартир!E11*3</f>
        <v>144</v>
      </c>
      <c r="F11" s="12">
        <f>Мног_колич_квартир!F11*3</f>
        <v>0</v>
      </c>
      <c r="G11" s="107">
        <f t="shared" si="53"/>
        <v>816</v>
      </c>
      <c r="H11" s="28">
        <f>SUM(G11:G13)</f>
        <v>2568</v>
      </c>
      <c r="I11" s="50">
        <f t="shared" si="54"/>
        <v>13.6272</v>
      </c>
    </row>
    <row r="12">
      <c r="A12" s="8"/>
      <c r="B12" s="5" t="s">
        <v>22</v>
      </c>
      <c r="C12" s="12">
        <f>Мног_колич_квартир!C12*3</f>
        <v>0</v>
      </c>
      <c r="D12" s="12">
        <f>Мног_колич_квартир!D12*3</f>
        <v>672</v>
      </c>
      <c r="E12" s="12">
        <f>Мног_колич_квартир!E12*3</f>
        <v>144</v>
      </c>
      <c r="F12" s="12">
        <f>Мног_колич_квартир!F12*3</f>
        <v>0</v>
      </c>
      <c r="G12" s="107">
        <f t="shared" si="53"/>
        <v>816</v>
      </c>
      <c r="H12" s="28"/>
      <c r="I12" s="50">
        <f t="shared" si="54"/>
        <v>13.6272</v>
      </c>
    </row>
    <row r="13">
      <c r="A13" s="9"/>
      <c r="B13" s="5" t="s">
        <v>23</v>
      </c>
      <c r="C13" s="12">
        <f>Мног_колич_квартир!C13*3</f>
        <v>0</v>
      </c>
      <c r="D13" s="12">
        <f>Мног_колич_квартир!D13*3</f>
        <v>864</v>
      </c>
      <c r="E13" s="12">
        <f>Мног_колич_квартир!E13*3</f>
        <v>72</v>
      </c>
      <c r="F13" s="12">
        <f>Мног_колич_квартир!F13*3</f>
        <v>0</v>
      </c>
      <c r="G13" s="107">
        <f t="shared" si="53"/>
        <v>936</v>
      </c>
      <c r="H13" s="28"/>
      <c r="I13" s="50">
        <f t="shared" si="54"/>
        <v>15.6312</v>
      </c>
      <c r="J13">
        <f>SUM(I11:I13)</f>
        <v>42.885599999999997</v>
      </c>
    </row>
    <row r="14">
      <c r="A14" s="5" t="s">
        <v>24</v>
      </c>
      <c r="B14" s="5"/>
      <c r="C14" s="12">
        <f>SUM(C3:C13)</f>
        <v>0</v>
      </c>
      <c r="D14" s="12">
        <f>SUM(D3:D13)</f>
        <v>7392</v>
      </c>
      <c r="E14" s="12">
        <f>SUM(E3:E13)</f>
        <v>1224</v>
      </c>
      <c r="F14" s="12">
        <f>SUM(F3:F13)</f>
        <v>0</v>
      </c>
      <c r="G14" s="107">
        <f>SUM(G3:G13)</f>
        <v>8616</v>
      </c>
      <c r="H14" s="28"/>
      <c r="I14" s="108">
        <f>SUM(I3:I13)</f>
        <v>143.88720000000001</v>
      </c>
    </row>
  </sheetData>
  <mergeCells count="11">
    <mergeCell ref="A1:A2"/>
    <mergeCell ref="B1:B2"/>
    <mergeCell ref="C1:F1"/>
    <mergeCell ref="G1:G2"/>
    <mergeCell ref="H1:H2"/>
    <mergeCell ref="A3:A7"/>
    <mergeCell ref="H3:H7"/>
    <mergeCell ref="A8:A10"/>
    <mergeCell ref="H8:H10"/>
    <mergeCell ref="A11:A13"/>
    <mergeCell ref="H11:H13"/>
  </mergeCells>
  <printOptions headings="0" gridLines="0"/>
  <pageMargins left="0.70000004768371604" right="0.70000004768371604" top="0.75" bottom="0.75" header="0.30000001192092901" footer="0.30000001192092901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R7-Office/7.3.3.59</Application>
  <DocSecurity>0</DocSecurity>
  <ScaleCrop>false</ScaleCrop>
  <Template>Normal.dotm</Templ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Роман Кунгурцев</cp:lastModifiedBy>
  <cp:revision>10</cp:revision>
  <dcterms:modified xsi:type="dcterms:W3CDTF">2023-08-09T20:15:47Z</dcterms:modified>
</cp:coreProperties>
</file>