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sidente" sheetId="1" r:id="rId4"/>
    <sheet state="visible" name="Conscrito" sheetId="2" r:id="rId5"/>
    <sheet state="visible" name="Medico" sheetId="3" r:id="rId6"/>
    <sheet state="visible" name="Odonto" sheetId="4" r:id="rId7"/>
  </sheets>
  <definedNames>
    <definedName hidden="1" localSheetId="0" name="_xlnm._FilterDatabase">Presidente!$E$1:$E$112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2">
      <text>
        <t xml:space="preserve">Seg à Qui - 10:00h e 13:30h
Sex - 08:30h
Início dia 30
Dia 9 - Feriado</t>
      </text>
    </comment>
    <comment authorId="0" ref="M3">
      <text>
        <t xml:space="preserve">Informações conferem
Avaliador: 3º Sgt Kaique</t>
      </text>
    </comment>
    <comment authorId="0" ref="M4">
      <text>
        <t xml:space="preserve">As informações levantadas com a família condizem com a ficha do conscrito. informo ainda que foi levantado que o mesmo possui experiência com musica (violino) e sente o desejo de servir.
Avaliador: 3º Sgt W Andre</t>
      </text>
    </comment>
    <comment authorId="0" ref="M5">
      <text>
        <t xml:space="preserve">Os pais estavam trabalhando e o conscrito estava cuidando da irmã pequena. Parece ser um cara tranquilo, primo já pagou os bizu pq é sgt temporário do 2 bpe
Avaliador: 3º Sgt De Brito</t>
      </text>
    </comment>
    <comment authorId="0" ref="M6">
      <text>
        <t xml:space="preserve">Apresenta boa condição social e condições de servir
Avaliador: 3º Sgt José Augusto</t>
      </text>
    </comment>
    <comment authorId="0" ref="M7">
      <text>
        <t xml:space="preserve">Condiz com a entrevista, local aparentemente tranquilo, família estruturada aparentemente
Avaliador: 3º Sgt Angelo</t>
      </text>
    </comment>
    <comment authorId="0" ref="M8">
      <text>
        <t xml:space="preserve">os dados recolhidos na investigação coincidem com a ficha, conscrito não apresenta nenhum tipo de doença que atrapalhe ele em atividades físicas.
Avaliador: 3º Sgt Mota</t>
      </text>
    </comment>
    <comment authorId="0" ref="M9">
      <text>
        <t xml:space="preserve">Realmente possui uma irmã especial mas a mãe garantiu que tem condições de servir sem atrapalhar.
Avaliador: 3º Sgt José Augusto</t>
      </text>
    </comment>
    <comment authorId="0" ref="M10">
      <text>
        <t xml:space="preserve">Local com alto risco de segurança porém o conscrito informou que conhece a vizinhança desde que nasceu, disse que é familiar, apesar da localidade não se envolveu com coisas ilícitas, mora apenas com o mãe e com o irmão.
Avaliador: </t>
      </text>
    </comment>
    <comment authorId="0" ref="M11">
      <text>
        <t xml:space="preserve">Cidadão religioso , pai e mãe são caseiros na igreja  a princípio ele não queria servir mas a mãe quer que ele sirva e ele começou a se conversar de que seria bom para ele. Obs: ele não queria servir por que os amigos do trabalho começaram a falar coisas pra desanimar ele.
Avaliador: 3º Sgt De Brito</t>
      </text>
    </comment>
    <comment authorId="0" ref="M12">
      <text>
        <t xml:space="preserve">conhecimento  em eletronica 
Avaliador: 3º Sgt Roosevelt</t>
      </text>
    </comment>
    <comment authorId="0" ref="M13">
      <text>
        <t xml:space="preserve">Informações conferem com a entrevista 
Avaliador: Al CFST Prado</t>
      </text>
    </comment>
    <comment authorId="0" ref="M14">
      <text>
        <t xml:space="preserve">Não foi encontrada nenhum morador na residência, porém o vizinho relatou que aparente ser uma pessoa caseira, não fica na rua, em princípio estuda na parte diurna
Avaliador: 3º Sgt Alexandre</t>
      </text>
    </comment>
    <comment authorId="0" ref="M15">
      <text>
        <t xml:space="preserve">Pai é militar (bombeiro militar) e apoia o filho em ingressar nas fileiras do exército, o filho tem o entusiasmo para a carreira, bem familiar e sua criação foi rígida e disciplinada, não possui muitas amizades
Avaliador: </t>
      </text>
    </comment>
    <comment authorId="0" ref="M16">
      <text>
        <t xml:space="preserve">Informações procedem tem condições de servir mas mora em área perigosa
Avaliador: 3º Sgt José Augusto</t>
      </text>
    </comment>
    <comment authorId="0" ref="M17">
      <text>
        <t xml:space="preserve">apresenta ótima condição social informações condizem com a ficha 
Avaliador: 3º Sgt José Augusto</t>
      </text>
    </comment>
    <comment authorId="0" ref="M18">
      <text>
        <t xml:space="preserve">não é voluntário porém apresenta condições para servir e as informações da ficha condizem com a entrevista, informações passadas por um morador do bairro q está aqui a 35 anos.
Avaliador: 3º Sgt José Augusto</t>
      </text>
    </comment>
    <comment authorId="0" ref="M19">
      <text>
        <t xml:space="preserve">pratica diversos tipos de lutas
Avaliador: </t>
      </text>
    </comment>
    <comment authorId="0" ref="M20">
      <text>
        <t xml:space="preserve">Vizinhos disse que é uma ótima pessoa, não tem problemas com nenhum tipo de vício, é evangélico e local em que reside tranquilo. conversei com o Conscrito e possui uma boa postura e tem boas pretensões se servir.
Avaliador: 3º Sgt De Brito</t>
      </text>
    </comment>
    <comment authorId="0" ref="M21">
      <text>
        <t xml:space="preserve">As informações condizem com a ficha do conscrito. Possui boa índole segundo o próprio tio porém não é voluntário para servir.
Avaliador: 3º Sgt W Andre</t>
      </text>
    </comment>
    <comment authorId="0" ref="M22">
      <text>
        <t xml:space="preserve">Evangélico, caseiro não tem problemas na família nem problemas psicológicos
Avaliador: </t>
      </text>
    </comment>
    <comment authorId="0" ref="M23">
      <text>
        <t xml:space="preserve">dados conferem. 
Avaliador: 3º Sgt Kaique</t>
      </text>
    </comment>
    <comment authorId="0" ref="M24">
      <text>
        <t xml:space="preserve">Família solicita, pai trabalhou na área de segurança privada, possue crença religiosa e é voluntário a servir. OBS.: Dados da ficha encontram-se parcialmente incorretos
Avaliador: Asp Of Costa</t>
      </text>
    </comment>
    <comment authorId="0" ref="M25">
      <text>
        <t xml:space="preserve">Terminando faculdade, tem bronquite, teve uma crise de ficar internado crise faz 1 ano, quer seguir carreira militar 
Avaliador: 3º Sgt Paulo</t>
      </text>
    </comment>
    <comment authorId="0" ref="M26">
      <text>
        <t xml:space="preserve">Informações conferem com a entrevista.
Avaliador: Al CFST Prado</t>
      </text>
    </comment>
    <comment authorId="0" ref="M27">
      <text>
        <t xml:space="preserve">mais velho de três irmãos,  pai hoje é pastor mas no passado já usou drogas , não faz uso de álcool e drogas e não fuma 
Avaliador: </t>
      </text>
    </comment>
    <comment authorId="0" ref="M28">
      <text>
        <t xml:space="preserve">Informações procedem apresenta boa condição social 
Avaliador: 3º Sgt José Augusto</t>
      </text>
    </comment>
    <comment authorId="0" ref="M29">
      <text>
        <t xml:space="preserve">
Avaliador: </t>
      </text>
    </comment>
    <comment authorId="0" ref="M30">
      <text>
        <t xml:space="preserve">um pouco acima do peso
Avaliador: </t>
      </text>
    </comment>
    <comment authorId="0" ref="M31">
      <text>
        <t xml:space="preserve">Informações conferem com a entrevista 
Avaliador: Al CFST Prado</t>
      </text>
    </comment>
    <comment authorId="0" ref="M32">
      <text>
        <t xml:space="preserve">Conscrito relatou estuda para concurso e devido a isso não fica na rua, tem amizades positivas (maioria militares), é focado nos estudos, tem porte atlético bom para encarar as atividades físicas da rotina militar, local que reside aparenta ser tranquilo, mora apenas com pai
Avaliador: 3º Sgt Alexandre</t>
      </text>
    </comment>
    <comment authorId="0" ref="M33">
      <text>
        <t xml:space="preserve">mostrou entusiasmo 
Avaliador: 3º Sgt Roosevelt</t>
      </text>
    </comment>
    <comment authorId="0" ref="M34">
      <text>
        <t xml:space="preserve">Conscrito relatou que tem vontade em servir (entusiasmo), diz ser uma pessoa familiar, ajuda complementar a renda familiar, frequenta a igreja porém se afastou (ainda continua frequentando), diz não se envolver com algo ilícito devido ao local que mora (local de alto risco) (Sgt Alexandre)
Avaliador: </t>
      </text>
    </comment>
    <comment authorId="0" ref="M35">
      <text>
        <t xml:space="preserve">informações batem com a entrevista
Avaliador: </t>
      </text>
    </comment>
    <comment authorId="0" ref="M36">
      <text>
        <t xml:space="preserve">Mãe relatou que deseja que o filho ingresse nas forças armadas, e o perfil do filho é de um menino caseiro, estudioso, centrado, mais maduro, ajuda o pai em seu trabalho quando há necessidade apenas, possui poucos amigos devido a família ser tradicional e rigorosa
Avaliador: </t>
      </text>
    </comment>
    <comment authorId="0" ref="M37">
      <text>
        <t xml:space="preserve">Local que mora é muito distante, porém a mãe relatou que seu filho frequenta a igreja evangélica constantemente e joga futebol no clube que tem ao lado de sua casa, possui apenas amizades da igreja, jovem namora a 3 anos onde foi relatado que a relação é tranquila, local de sua residência é bem calmo, relatado que não há problemas nas proximidades
Avaliador: 3º Sgt Alexandre</t>
      </text>
    </comment>
    <comment authorId="0" ref="M38">
      <text>
        <t xml:space="preserve">Pai militar aposentado da PM, família bem estruturada  e o conscrito possui uma boa postura
Avaliador: </t>
      </text>
    </comment>
    <comment authorId="0" ref="M39">
      <text>
        <t xml:space="preserve">Casa simples, irmão disse que o conscrito é tranquilo, bebê socialmente não tem amizades ruins e convívio com família e amigos são tranquilos 
Avaliador: 3º Sgt De Brito</t>
      </text>
    </comment>
    <comment authorId="0" ref="M40">
      <text>
        <t xml:space="preserve">
Avaliador: Al CFST Prado</t>
      </text>
    </comment>
    <comment authorId="0" ref="M41">
      <text>
        <t xml:space="preserve">mora com tia pq a mãe mora em outro estado e já teve problemas com drogas. E não mora com pai por que não tem espaço e ele prefere morar com a tia. fora isso nenhuma alteração
Avaliador: </t>
      </text>
    </comment>
    <comment authorId="0" ref="M42">
      <text>
        <t xml:space="preserve">Informações conferem
Avaliador: 2º Ten De Oliveira</t>
      </text>
    </comment>
    <comment authorId="0" ref="M43">
      <text>
        <t xml:space="preserve"> informações batem com o que foi apresentado 
Avaliador: 3º Sgt Guilherme</t>
      </text>
    </comment>
    <comment authorId="0" ref="M44">
      <text>
        <t xml:space="preserve">Conforme informações ditas na entrevista, bom convivio social cm os vizinhos 
Avaliador: 3º Sgt Angelo</t>
      </text>
    </comment>
    <comment authorId="0" ref="M45">
      <text>
        <t xml:space="preserve">Aparentou ser bem calmo ao dialogar, relatou que ajuda a família nos trabalhos domiciliar e também a vizinhança, tem entusiasmo para incorporar as fileiras do Exército. Próximo ao locou que reside da porta, foi encontrado resquícios de entorpecentes (diversos) caracterizando ponto de consumo de drogas, porém o mesmo disse que na mesma rua teve outros militares que serviu 
Avaliador: </t>
      </text>
    </comment>
    <comment authorId="0" ref="M46">
      <text>
        <t xml:space="preserve">Trabalha de Jovem aprendiz, por isso não é voluntário
Avaliador: Asp Of Costa</t>
      </text>
    </comment>
    <comment authorId="0" ref="M47">
      <text>
        <t xml:space="preserve">família bem estruturada e apoia ele servir
Avaliador: 3º Sgt Roosevelt</t>
      </text>
    </comment>
    <comment authorId="0" ref="M48">
      <text>
        <t xml:space="preserve">família tem orgulho do filho 
Avaliador: 3º Sgt Roosevelt</t>
      </text>
    </comment>
    <comment authorId="0" ref="M49">
      <text>
        <t xml:space="preserve">A família possui bastantes militares, jovem bem estudioso, calmo e centrado, possui o entusiasmos que a carreira necessita, os pais sao separados porém a faillis é bem estruturada
Avaliador: 3º Sgt Alexandre</t>
      </text>
    </comment>
    <comment authorId="0" ref="M50">
      <text>
        <t xml:space="preserve">Informações conferem com a entrevista
Avaliador: Al CFST Prado</t>
      </text>
    </comment>
    <comment authorId="0" ref="M51">
      <text>
        <t xml:space="preserve">experiência com TI
Avaliador: 3º Sgt Roosevelt</t>
      </text>
    </comment>
    <comment authorId="0" ref="M52">
      <text>
        <t xml:space="preserve">De acordo com o que foi dito na entrevista
Avaliador: </t>
      </text>
    </comment>
    <comment authorId="0" ref="M53">
      <text>
        <t xml:space="preserve">segue as informações da entrevista.
Avaliador: 3º Sgt Alex Dedes</t>
      </text>
    </comment>
    <comment authorId="0" ref="M54">
      <text>
        <t xml:space="preserve">família estruturada
Avaliador: 3º Sgt Roosevelt</t>
      </text>
    </comment>
    <comment authorId="0" ref="M55">
      <text>
        <t xml:space="preserve">Informações procedem conscrito apresenta boa convivência social 
Avaliador: 3º Sgt José Augusto</t>
      </text>
    </comment>
    <comment authorId="0" ref="M56">
      <text>
        <t xml:space="preserve">Não se encontrava na residência
Avaliador: Asp Of Costa</t>
      </text>
    </comment>
    <comment authorId="0" ref="M57">
      <text>
        <t xml:space="preserve"> informações batem com o que foi apresentado
Avaliador: 3º Sgt Guilherme</t>
      </text>
    </comment>
    <comment authorId="0" ref="M58">
      <text>
        <t xml:space="preserve">Conscrito prof de inglês, trabalha, pai é segurança particular e apoia a decisão do filho em servir. não possuem problemas jurídicos ou psicológicos. Conscrito aparenta ter sido bem educado.
Avaliador: 3º Sgt De Brito</t>
      </text>
    </comment>
    <comment authorId="0" ref="M59">
      <text>
        <t xml:space="preserve">Dados conferem
Avaliador: 3º Sgt Kaique</t>
      </text>
    </comment>
    <comment authorId="0" ref="M60">
      <text>
        <t xml:space="preserve">Informações conferem com a entrevista 
Avaliador: Al CFST Prado</t>
      </text>
    </comment>
    <comment authorId="0" ref="M61">
      <text>
        <t xml:space="preserve">Informações condizem com a entrevista 
Avaliador: </t>
      </text>
    </comment>
    <comment authorId="0" ref="M62">
      <text>
        <t xml:space="preserve">obs: região que mora ruim, com boca perto e perigosa. Defeito do conscrito ser muito quieto e tímido 
Avaliador: 3º Sgt De Brito</t>
      </text>
    </comment>
    <comment authorId="0" ref="M63">
      <text>
        <t xml:space="preserve">Conscrito apresenta uma boa condição social , bom biotipo e boa rotina
Avaliador: 3º Sgt José Augusto</t>
      </text>
    </comment>
    <comment authorId="0" ref="M64">
      <text>
        <t xml:space="preserve">Ele é voluntário para ser servir e mãe apoia, sem novidades. Obs: mãe possuiu depressão pós parto. Os tios que possuíram problema com a justiça são distantes.
Avaliador: 3º Sgt De Brito</t>
      </text>
    </comment>
    <comment authorId="0" ref="M65">
      <text>
        <t xml:space="preserve">Mãe muito educada, o conscrito também é educado.  Família Apoia ele ingressar no exército, ele tem o sonho de seguir carreira e quer servir. está palpitando para concursos.
Avaliador: </t>
      </text>
    </comment>
    <comment authorId="0" ref="M66">
      <text>
        <t xml:space="preserve">Pratica esportes físicos (futebol, academia). Os pais relatou que seu filho é caseiro, não possui muitos amigos, centrado, estudioso, introvertido e os pais apoiam porque o filho realmente deseja ingressar no exército 
Avaliador: </t>
      </text>
    </comment>
    <comment authorId="0" ref="M67">
      <text>
        <t xml:space="preserve">Condiz com o perfil para servir , trabalha com com o pai , bons hábitos 
Avaliador: 3º Sgt Paulo</t>
      </text>
    </comment>
    <comment authorId="0" ref="M68">
      <text>
        <t xml:space="preserve">Mãe do conscrito indagou a equipe sobre a questão de trote e a mesma é advogada
Avaliador: </t>
      </text>
    </comment>
    <comment authorId="0" ref="M69">
      <text>
        <t xml:space="preserve">segue as informações da entrevista
Avaliador: 3º Sgt Alex Dedes</t>
      </text>
    </comment>
    <comment authorId="0" ref="M70">
      <text>
        <t xml:space="preserve">ambiente familiar tranquilo , aprovação dos país,não possui nenhum caso de problema psicológico na família, o cidadão se expressa bem e tem experiência com informática. Obs: próximo ao local havia civis fazendo o uso de Drogas 
Avaliador: </t>
      </text>
    </comment>
    <comment authorId="0" ref="M71">
      <text>
        <t xml:space="preserve">tem uma boa comunicação 
Avaliador: 3º Sgt Roosevelt</t>
      </text>
    </comment>
    <comment authorId="0" ref="M72">
      <text>
        <t xml:space="preserve">Fuma e bebe ocasionalmente, trabalha como ajudante de carga, ajuda na renda da casa porém a mãe e a irmã trabalham 
Avaliador: 3º Sgt Paulo</t>
      </text>
    </comment>
    <comment authorId="0" ref="M73">
      <text>
        <t xml:space="preserve">Informações conferem com a entrevista.
Avaliador: Al CFST Prado</t>
      </text>
    </comment>
    <comment authorId="0" ref="M74">
      <text>
        <t xml:space="preserve">Informações conferem com a entrevista.
Avaliador: Al CFST Prado</t>
      </text>
    </comment>
    <comment authorId="0" ref="M75">
      <text>
        <t xml:space="preserve">a famila apoia ele servir
Avaliador: 3º Sgt Roosevelt</t>
      </text>
    </comment>
    <comment authorId="0" ref="M76">
      <text>
        <t xml:space="preserve">informacoes batem com a entrevista, estudando pra concurso militar, boa procedencia familiar 
Avaliador: 3º Sgt Angelo</t>
      </text>
    </comment>
    <comment authorId="0" ref="M77">
      <text>
        <t xml:space="preserve"> informações batem com o que foi apresentado 
Avaliador: 3º Sgt Guilherme</t>
      </text>
    </comment>
    <comment authorId="0" ref="M78">
      <text>
        <t xml:space="preserve">Dados conferem. 
Avaliador: 3º Sgt Kaique</t>
      </text>
    </comment>
    <comment authorId="0" ref="M79">
      <text>
        <t xml:space="preserve">demostrou entusiasmado 
Avaliador: 3º Sgt Roosevelt</t>
      </text>
    </comment>
    <comment authorId="0" ref="M80">
      <text>
        <t xml:space="preserve">Os pais apoiam e estão entusiasmados e na espectativa que ele consiga ingressar, bom convívio familiar e social , um cidadão tranquilo que trabalha com pai, aparenta ser um cidadão disciplinado. 
Avaliador: </t>
      </text>
    </comment>
    <comment authorId="0" ref="M81">
      <text>
        <t xml:space="preserve">Jovem bem familiar, não sai de casa por conta da pandemia, possui poucas amizades, bem calmo, bairro aparentemente sem qualquer ponto de risco
Avaliador: 3º Sgt Alexandre</t>
      </text>
    </comment>
    <comment authorId="0" ref="M82">
      <text>
        <t xml:space="preserve">dados conferem.  o conscrito informou que já usou maconha 
Avaliador: 3º Sgt Kaique</t>
      </text>
    </comment>
    <comment authorId="0" ref="M83">
      <text>
        <t xml:space="preserve">Seguem as informações da entrevista.
Avaliador: </t>
      </text>
    </comment>
    <comment authorId="0" ref="M84">
      <text>
        <t xml:space="preserve">Informações coincidem com a entrevista, estrutura familiar aparentemente boa
Avaliador: 3º Sgt Angelo</t>
      </text>
    </comment>
    <comment authorId="0" ref="M85">
      <text>
        <t xml:space="preserve">Irmão já foi preso e convive com ele.
Avaliador: 3º Sgt De Brito</t>
      </text>
    </comment>
    <comment authorId="0" ref="M86">
      <text>
        <t xml:space="preserve">dados conferem. área de risco
Avaliador: 3º Sgt Kaique</t>
      </text>
    </comment>
    <comment authorId="0" ref="M87">
      <text>
        <t xml:space="preserve">informações batem com a ficha , aparenta uma condição social normal , pai teve passagem por tráfico em 2019 e o mesmo diz visitá-lo só de vez em quando 
Avaliador: 3º Sgt José Augusto</t>
      </text>
    </comment>
    <comment authorId="0" ref="M88">
      <text>
        <t xml:space="preserve">Apresenta boa condição social, não apresenta problemas que possam interferir no serviço militar obrigatório
Avaliador: 3º Sgt José Augusto</t>
      </text>
    </comment>
    <comment authorId="0" ref="M89">
      <text>
        <t xml:space="preserve">não pratica esportes,  pai já foi preso 
Avaliador: </t>
      </text>
    </comment>
    <comment authorId="0" ref="M90">
      <text>
        <t xml:space="preserve">
Avaliador: </t>
      </text>
    </comment>
    <comment authorId="0" ref="M91">
      <text>
        <t xml:space="preserve">Informações conferem com a entrevista.
Avaliador: Al CFST Prado</t>
      </text>
    </comment>
    <comment authorId="0" ref="M92">
      <text>
        <t xml:space="preserve">família bem estruturada
Avaliador: 3º Sgt Roosevelt</t>
      </text>
    </comment>
    <comment authorId="0" ref="M93">
      <text>
        <t xml:space="preserve">
Avaliador: </t>
      </text>
    </comment>
    <comment authorId="0" ref="M94">
      <text>
        <t xml:space="preserve">todas as informações batem com a entrevista, aparenta boa estrutura social e familiar porém,  não é  voluntário para servir.
Avaliador: </t>
      </text>
    </comment>
    <comment authorId="0" ref="M95">
      <text>
        <t xml:space="preserve">Informações conferem com a entrevista,  pai ja serviu como oficial temporário,  família bem estruturada. 
Avaliador: Al CFST Prado</t>
      </text>
    </comment>
    <comment authorId="0" ref="M96">
      <text>
        <t xml:space="preserve">tem experiência na area da saude
Avaliador: 3º Sgt Roosevelt</t>
      </text>
    </comment>
    <comment authorId="0" ref="M97">
      <text>
        <t xml:space="preserve">bastante inteligente e comunicativo a mãe faz tratamento pra depressão 
Avaliador: 3º Sgt Roosevelt</t>
      </text>
    </comment>
    <comment authorId="0" ref="M98">
      <text>
        <t xml:space="preserve">Sgt Alexandre: Pai relatou que o filho frequenta a igreja constantemente , estudioso, bem caseiro e familiar, pai ainda relatou que é disciplinado,  justo e correto. Pai afirmou que na rua em que moram sempre ficam bares abertos durante a madrugada com som alto, grande quantidade de pessoas e motos se deslocando a todo tempo, mas já reside a 10 anos no local, conhecendo toda vizinhança 
Avaliador: </t>
      </text>
    </comment>
    <comment authorId="0" ref="M99">
      <text>
        <t xml:space="preserve">Dados conferem 
Avaliador: 3º Sgt Kaique</t>
      </text>
    </comment>
    <comment authorId="0" ref="M100">
      <text>
        <t xml:space="preserve">tem condições de servir
Avaliador: 3º Sgt Roosevelt</t>
      </text>
    </comment>
    <comment authorId="0" ref="M101">
      <text>
        <t xml:space="preserve">Pai relatou que o filho é bem centrado, estudioso, possui namorada e seu namoro é estável. Tem poucas amizades de forma que agrega positivamente em sua vida. Relatou que o filho está entusiasmado para ingressar nas fileiras do Exército (Sgt Alexandre)
Avaliador: </t>
      </text>
    </comment>
    <comment authorId="0" ref="M102">
      <text>
        <t xml:space="preserve">boa estrutura familiar, informações conferem com a entrevista. 
Avaliador: </t>
      </text>
    </comment>
    <comment authorId="0" ref="M103">
      <text>
        <t xml:space="preserve">Mora em área nobre, é adventista porém família falou que isso não afetaria ele. Sem novas alterações 
Avaliador: 3º Sgt De Brito</t>
      </text>
    </comment>
    <comment authorId="0" ref="M104">
      <text>
        <t xml:space="preserve">informações batem com a ficha , avó preferia que ele não entrasse pro eb pra ajudar em casa mas conscrito não possui nada errado . família bem estruturada
Avaliador: 3º Sgt De Brito</t>
      </text>
    </comment>
    <comment authorId="0" ref="M105">
      <text>
        <t xml:space="preserve">segue as informações da entrevista
Avaliador: 3º Sgt Alex Dedes</t>
      </text>
    </comment>
    <comment authorId="0" ref="M106">
      <text>
        <t xml:space="preserve">Não possui vicios , criação rigida , frequenta igreja
Avaliador: 3º Sgt Paulo</t>
      </text>
    </comment>
    <comment authorId="0" ref="M107">
      <text>
        <t xml:space="preserve">tem condições de servir
Avaliador: 3º Sgt Roosevelt</t>
      </text>
    </comment>
    <comment authorId="0" ref="M108">
      <text>
        <t xml:space="preserve">tem condições de servir 
Avaliador: 3º Sgt Roosevelt</t>
      </text>
    </comment>
    <comment authorId="0" ref="M109">
      <text>
        <t xml:space="preserve">dados conferem
Avaliador: 3º Sgt Kaique</t>
      </text>
    </comment>
    <comment authorId="0" ref="M110">
      <text>
        <t xml:space="preserve">segue as informações da entrevista
Avaliador: 3º Sgt Alex Dedes</t>
      </text>
    </comment>
    <comment authorId="0" ref="M111">
      <text>
        <t xml:space="preserve">Mãe relatou que o filho tem um perfil familiar, bem calmo  e extrovertido , tem namorada e seu relacionamento é estável, mora em ambiente tranquilo e seguro (condomínio fechado)
Avaliador: </t>
      </text>
    </comment>
    <comment authorId="0" ref="M112">
      <text>
        <t xml:space="preserve">
Avaliador: </t>
      </text>
    </comment>
  </commentList>
</comments>
</file>

<file path=xl/comments2.xml><?xml version="1.0" encoding="utf-8"?>
<comments xmlns:r="http://schemas.openxmlformats.org/officeDocument/2006/relationships" xmlns="http://schemas.openxmlformats.org/spreadsheetml/2006/main">
  <authors>
    <author/>
  </authors>
  <commentList>
    <comment authorId="0" ref="O28">
      <text>
        <t xml:space="preserve">O respondente atualizou este valor.</t>
      </text>
    </comment>
  </commentList>
</comments>
</file>

<file path=xl/sharedStrings.xml><?xml version="1.0" encoding="utf-8"?>
<sst xmlns="http://schemas.openxmlformats.org/spreadsheetml/2006/main" count="9772" uniqueCount="3169">
  <si>
    <t>Presidente CS</t>
  </si>
  <si>
    <t>Etapas do processo</t>
  </si>
  <si>
    <t>Dados</t>
  </si>
  <si>
    <t>Nome Completo</t>
  </si>
  <si>
    <t>RA</t>
  </si>
  <si>
    <t>Data
Apres</t>
  </si>
  <si>
    <t>Hora
Entrada</t>
  </si>
  <si>
    <t>Declaração</t>
  </si>
  <si>
    <t>Situação</t>
  </si>
  <si>
    <t>Gpto</t>
  </si>
  <si>
    <t>S2</t>
  </si>
  <si>
    <t>Psico</t>
  </si>
  <si>
    <t>Médico</t>
  </si>
  <si>
    <t>Odonto</t>
  </si>
  <si>
    <t>Entrevista</t>
  </si>
  <si>
    <t>Vis Social</t>
  </si>
  <si>
    <t>Data de
Nascimento</t>
  </si>
  <si>
    <t>Local de
Nascimento</t>
  </si>
  <si>
    <t>Identidade</t>
  </si>
  <si>
    <t>CPF</t>
  </si>
  <si>
    <t>Nome
do Pai</t>
  </si>
  <si>
    <t>Nome
da Mãe</t>
  </si>
  <si>
    <t>Endereço</t>
  </si>
  <si>
    <t>Cidade</t>
  </si>
  <si>
    <t>CEP</t>
  </si>
  <si>
    <t>Telefone</t>
  </si>
  <si>
    <t>E-mail</t>
  </si>
  <si>
    <t>Nr
Linha</t>
  </si>
  <si>
    <t>Parecer do
Entrevistador</t>
  </si>
  <si>
    <t>Nr Linha
pgConscrito</t>
  </si>
  <si>
    <t>Voluntário</t>
  </si>
  <si>
    <t>Pelotão</t>
  </si>
  <si>
    <t>Numeração</t>
  </si>
  <si>
    <t>Nome de Guerra</t>
  </si>
  <si>
    <t>NATAN CASSIANO DE ALENCAR PIRES</t>
  </si>
  <si>
    <t>Sim</t>
  </si>
  <si>
    <t>Selecionado</t>
  </si>
  <si>
    <t>Excelente</t>
  </si>
  <si>
    <t>Apto</t>
  </si>
  <si>
    <t>SAO PAULO - SP</t>
  </si>
  <si>
    <t>SP541152671</t>
  </si>
  <si>
    <t>490133748-32</t>
  </si>
  <si>
    <t>ADRIANO ALENCAR PIRES</t>
  </si>
  <si>
    <t>ELENI CASSIANO DOS SANTOS</t>
  </si>
  <si>
    <t>AVENIDA BARRO BRANCO, 377</t>
  </si>
  <si>
    <t>São Paulo</t>
  </si>
  <si>
    <t>(11) 95228-8493</t>
  </si>
  <si>
    <t>natanpires2016@gmail.com</t>
  </si>
  <si>
    <t>Apto. Boa desenvoltura. Chegou até a fase da prova no CPOR-SP.</t>
  </si>
  <si>
    <t>CASSIANO</t>
  </si>
  <si>
    <t>MATHEUS DE CASTRO SANTOS</t>
  </si>
  <si>
    <t>Muito Bom</t>
  </si>
  <si>
    <t>475168388-88</t>
  </si>
  <si>
    <t>CARLOS ROBERTO DOS SANTOS</t>
  </si>
  <si>
    <t>MARIA MADALENA DE CASTRO SANTOS</t>
  </si>
  <si>
    <t>RUA TIBURCIO DE ASSIS RIBEIRO 94</t>
  </si>
  <si>
    <t>(14) 98832-5313</t>
  </si>
  <si>
    <t>matheusdecastrosantos16@gmail.com</t>
  </si>
  <si>
    <t>O conscrito é voluntário para servir, aparenta vim de boa família e demonstra aptidão para o serviço militar</t>
  </si>
  <si>
    <t>CASTRO</t>
  </si>
  <si>
    <t>GUILHERME SANTOS DE LIMA</t>
  </si>
  <si>
    <t>SOLANEA - PB</t>
  </si>
  <si>
    <t>SP386621603</t>
  </si>
  <si>
    <t>525731918-77</t>
  </si>
  <si>
    <t>ALEKSANDRO SANTOS DE LIMA</t>
  </si>
  <si>
    <t>AURICELY SANTOS DE AZEVEDO</t>
  </si>
  <si>
    <t>RUA JOSE MIELLE, 648</t>
  </si>
  <si>
    <t>Taboão da Serra</t>
  </si>
  <si>
    <t>(11) 95173-3270</t>
  </si>
  <si>
    <t>limaguilherme782@gmail.com</t>
  </si>
  <si>
    <t>Possui boa desenvoltura, e referências de militar na família.</t>
  </si>
  <si>
    <t>GUILHERME LIMA</t>
  </si>
  <si>
    <t>MATHEUS MASTRIA DE MENEZES</t>
  </si>
  <si>
    <t>Não</t>
  </si>
  <si>
    <t>38.636.375-4</t>
  </si>
  <si>
    <t>495042278/21</t>
  </si>
  <si>
    <t>LAERCIO DE MENEZES</t>
  </si>
  <si>
    <t>ADRIANA MASTRIA</t>
  </si>
  <si>
    <t>RUA CAIÇARA DO RIO DO VENTO, 161 APTO 10</t>
  </si>
  <si>
    <t>11 952470911</t>
  </si>
  <si>
    <t>matheusmatria991@gmail.com</t>
  </si>
  <si>
    <t>Conscrito com excelente comunicação durante a entrevista. Estrutura familiar boa, tem um primo distante que já foi preso quando menor, mas não há indicios de envolvimento ou acesso com crime. Influência para servir do sogro que é PM. Apto em entrevista.</t>
  </si>
  <si>
    <t>MENEZES</t>
  </si>
  <si>
    <t>SAMUEL DE SOUSA SANTANA</t>
  </si>
  <si>
    <t>Bom</t>
  </si>
  <si>
    <t>121053274-35</t>
  </si>
  <si>
    <t>JOAO DA SILVA SANTANA</t>
  </si>
  <si>
    <t>MARINALVA MARIA DE SOUSA SANTANA</t>
  </si>
  <si>
    <t>RUA ASCENSO RIBEIRO, 83</t>
  </si>
  <si>
    <t>(11) 93208-1496</t>
  </si>
  <si>
    <t>samuksantana850@gmail.com</t>
  </si>
  <si>
    <t>O comportamento não é muito adequado. Através de pesquisa no Instagram verificou-se que mora em área de vulnerabilidade, porém disse em entrevista que na área não há venda/consumo de drogas.</t>
  </si>
  <si>
    <t>SAMUEL SOUZA</t>
  </si>
  <si>
    <t>RUAN BATISTA LEMOS</t>
  </si>
  <si>
    <t>SP507157485</t>
  </si>
  <si>
    <t>494934758-67</t>
  </si>
  <si>
    <t>JOSE GIVALDO DE LEMOS</t>
  </si>
  <si>
    <t>ANA PAULA CHAGAS BATISTA</t>
  </si>
  <si>
    <t>RUA TIBIRIÇÁ, 712</t>
  </si>
  <si>
    <t>(11) 93144-2633</t>
  </si>
  <si>
    <t>igruan7@gmail.com</t>
  </si>
  <si>
    <t>O conscrito é vonluntario, aparenta vim de uma família estruturada, e demonstra aptidão servi.</t>
  </si>
  <si>
    <t>RUAN LEMOS</t>
  </si>
  <si>
    <t>LUCAS ARAUJO E SILVA</t>
  </si>
  <si>
    <t>SP507314049</t>
  </si>
  <si>
    <t>392697858-90</t>
  </si>
  <si>
    <t>LUIZ ANTONIO DA SILVA</t>
  </si>
  <si>
    <t>HOSANY DE ARAUJO PEREIRA DA SILVA</t>
  </si>
  <si>
    <t>RUA EDUARDO SANCHEZ, 1341 APTO 11B</t>
  </si>
  <si>
    <t>(11) 98974-9461</t>
  </si>
  <si>
    <t>hosanyaraujo2@gmail.com</t>
  </si>
  <si>
    <t>Possui uma irmã com paralisia cerebral, ele ajuda nos cuidados da mesma.</t>
  </si>
  <si>
    <t>LUCAS SILVA</t>
  </si>
  <si>
    <t>BRIAN FERREIRA DIAS</t>
  </si>
  <si>
    <t>SP545259440</t>
  </si>
  <si>
    <t>508344868-81</t>
  </si>
  <si>
    <t>CRISTOVAO DIAS</t>
  </si>
  <si>
    <t>DENISE GOMES DIAS</t>
  </si>
  <si>
    <t>RUA DOS DOURADOS, 31</t>
  </si>
  <si>
    <t>JARDIM SANTA TEREZINHA (PEDREIRA)</t>
  </si>
  <si>
    <t>(11) 98064-5031</t>
  </si>
  <si>
    <t>brian.201ferreiradias@gmail.com</t>
  </si>
  <si>
    <t>Apto. Nada que desabone o conscrito. Sem habilidades adicionais.</t>
  </si>
  <si>
    <t>BRIAN</t>
  </si>
  <si>
    <t>GUSTAVO DOS SANTOS FAGUNDES VIEIRA</t>
  </si>
  <si>
    <t>SP566587300</t>
  </si>
  <si>
    <t>480268238-77</t>
  </si>
  <si>
    <t>GILLIARD FAGUNDES VIEIRA</t>
  </si>
  <si>
    <t>ROBERTA DOS SANTOS FAGUNDES</t>
  </si>
  <si>
    <t>RUA VIGARIO ALBERNAZ, 811</t>
  </si>
  <si>
    <t>(11) 96121-6509</t>
  </si>
  <si>
    <t>gfagunderas@gmail.com</t>
  </si>
  <si>
    <t>Inapto. O conscrito ajuda com quase tudo que ganha na renda familiar.</t>
  </si>
  <si>
    <t>FAGUNDES</t>
  </si>
  <si>
    <t>GABRIEL VITOR PEIXOTO DOS SANTOS</t>
  </si>
  <si>
    <t>LIMEIRA - SP</t>
  </si>
  <si>
    <t>SP529247951</t>
  </si>
  <si>
    <t>543354758-29</t>
  </si>
  <si>
    <t>RODRIGO PEIXOTO DOS SANTOS</t>
  </si>
  <si>
    <t>JACQUELINE MARIA DE SOUZA</t>
  </si>
  <si>
    <t>AVENIDA NOSSA SENHORA DO SABARA, 4350 BL 11 AP 54</t>
  </si>
  <si>
    <t>(11) 97636-8591</t>
  </si>
  <si>
    <t>gabrielvitorpeixoto11@gmail.com</t>
  </si>
  <si>
    <t>PREENCHE OS REQUISITOS PARA O INGRESSO NAS FA</t>
  </si>
  <si>
    <t>PEIXOTO</t>
  </si>
  <si>
    <t>GIOVANNI GAVIOLI NUNES</t>
  </si>
  <si>
    <t>SP52818426</t>
  </si>
  <si>
    <t>KARDEC NUNES</t>
  </si>
  <si>
    <t>ROSELAINE GAVIOLI NUNES</t>
  </si>
  <si>
    <t>RUA MARINA CRESPI, 118, APTO. 52-A</t>
  </si>
  <si>
    <t>giovannignunes4@gmail.com</t>
  </si>
  <si>
    <t>Não é voluntário, pois está fazendo faculdade de audivisual e faz trabalho informal, edita vídeo. Além desta parte de editar vídeo, também é cozinheiro.</t>
  </si>
  <si>
    <t>GAVIOLI</t>
  </si>
  <si>
    <t>FELLIPE PENA ANDRADE DE OLIVEIRA</t>
  </si>
  <si>
    <t>SP555234216</t>
  </si>
  <si>
    <t>528272658-00</t>
  </si>
  <si>
    <t>FABIO HENRIQUE ANDRADE DE OLIVEIRA</t>
  </si>
  <si>
    <t>ELISAMA PENA DA SILVA</t>
  </si>
  <si>
    <t>RUA BOFETE, 65</t>
  </si>
  <si>
    <t>(11) 97791-0887</t>
  </si>
  <si>
    <t>lipepena2014@gmail.com</t>
  </si>
  <si>
    <t>O candidato demonstrou interesse em servir, portou-se adaquadamente durante a entrevista, não há nada que o impessa de servir</t>
  </si>
  <si>
    <t>PENA</t>
  </si>
  <si>
    <t>GUILHERME MARCONDES SANTOS</t>
  </si>
  <si>
    <t>SP386193113</t>
  </si>
  <si>
    <t>474720778-36</t>
  </si>
  <si>
    <t>SIDNEI CARLOS DOS SANTOS</t>
  </si>
  <si>
    <t>SANDRA GEREZ MARCONDES SANTOS</t>
  </si>
  <si>
    <t>AVENIDA JOÃO BATISTA DI VITORIANO, 326</t>
  </si>
  <si>
    <t>(11) 99441-7823</t>
  </si>
  <si>
    <t>guims0121@gmail.com</t>
  </si>
  <si>
    <t>Candidato tem perfil, boa estrutura familiar, tem exemplos de militarismo na família, quer sevir ao EB apesar de não saber nada do Exercito. Vale observar na visita social situação de saúde da mãe que está se recuperando de câncer nos rins.</t>
  </si>
  <si>
    <t>MARCONDES</t>
  </si>
  <si>
    <t>LUCAS COSTA SANTOS</t>
  </si>
  <si>
    <t>SP53.869.4658</t>
  </si>
  <si>
    <t>477657098-01</t>
  </si>
  <si>
    <t>JOSE VERNER DA CRUZ SANTOS</t>
  </si>
  <si>
    <t>RAIMUNDA PEREIRA COSTA</t>
  </si>
  <si>
    <t>RUA FESTA CHINESA, 260, BLOCO C, APT. 44</t>
  </si>
  <si>
    <t>(11) 96503-3241</t>
  </si>
  <si>
    <t>lucas.jl.hp1@gmail.com</t>
  </si>
  <si>
    <t>Demonstrou compostura e facilidade de comunicação, quer sair um pouco da esfera familiar e adquirir novas experiências.</t>
  </si>
  <si>
    <t>COSTA SANTOS</t>
  </si>
  <si>
    <t>RAYAN SANTOS DA SILVA</t>
  </si>
  <si>
    <t>SP531727762</t>
  </si>
  <si>
    <t>511339958-29</t>
  </si>
  <si>
    <t>JOSE CARLOS SANTOS DA SILVA</t>
  </si>
  <si>
    <t>MARIA ALDENIR FERNANDES DA SILVA</t>
  </si>
  <si>
    <t>RUA CRUZ DO ESPIRITO SANTO 1026 BL 7 APTO 4</t>
  </si>
  <si>
    <t>(11) 94466-6494</t>
  </si>
  <si>
    <t>rayansantos2715@gmail.com</t>
  </si>
  <si>
    <t>Candidato deseja servir e apresenta perfil militar. Ponto para observação: Verificar motivo pelo que o pai saiu da PM.</t>
  </si>
  <si>
    <t>RAYAN</t>
  </si>
  <si>
    <t>OTAVIO ROMUALDO DOS SANTOS</t>
  </si>
  <si>
    <t>SP522931893</t>
  </si>
  <si>
    <t>515988818-76</t>
  </si>
  <si>
    <t>HUGO ROMUALDO DE ARAUJO</t>
  </si>
  <si>
    <t>JANAINA DOS SANTOS</t>
  </si>
  <si>
    <t>TRAVESSA ANTONIO MARTINS NABARRETE, 1</t>
  </si>
  <si>
    <t>(11) 95104-6912</t>
  </si>
  <si>
    <t>otavio_romu@hotmail.com</t>
  </si>
  <si>
    <t>Apesar de não ser voluntário, já quebrou o rádio do braço esquerdo. Não recomendo.</t>
  </si>
  <si>
    <t>ROMUALDO</t>
  </si>
  <si>
    <t>BRENO CHAUSSE ALVES</t>
  </si>
  <si>
    <t>DIADEMA - SP</t>
  </si>
  <si>
    <t>SP38895260</t>
  </si>
  <si>
    <t>485687858-16</t>
  </si>
  <si>
    <t>COSME OLIVEIRA ALVES</t>
  </si>
  <si>
    <t>MARIA ANTONIA CARDOSO CHAUSSE</t>
  </si>
  <si>
    <t>RUA SERRA DOS PIRINEUS, 114</t>
  </si>
  <si>
    <t>(11) 95204-4151</t>
  </si>
  <si>
    <t>brenochaussealves@gmail.com</t>
  </si>
  <si>
    <t>Conscrito com CNH B, facilidade de comunicação e sem detalhes que o desabone de alguma maneira</t>
  </si>
  <si>
    <t>CHAUSSÊ</t>
  </si>
  <si>
    <t>MATHEUS DA SILVA AGRADANO</t>
  </si>
  <si>
    <t>SP39.214.170</t>
  </si>
  <si>
    <t>553058718-67</t>
  </si>
  <si>
    <t>CLEBER AGRADANO</t>
  </si>
  <si>
    <t>TATIANE APARECIDA DA SILVA</t>
  </si>
  <si>
    <t>GIUSEPP ARCIMBOLDO, 407</t>
  </si>
  <si>
    <t>(11) 94623-0531</t>
  </si>
  <si>
    <t>matheusagradano69@gmail.com</t>
  </si>
  <si>
    <t>Apto.</t>
  </si>
  <si>
    <t>AGRADANO</t>
  </si>
  <si>
    <t>PEDRO AUGUSTO SOARES MARQUES</t>
  </si>
  <si>
    <t>SP573374028</t>
  </si>
  <si>
    <t>519228468-64</t>
  </si>
  <si>
    <t>FERNANDO DAVID MARQUES</t>
  </si>
  <si>
    <t>SUELLY DECURSSI SOARES MARQUES</t>
  </si>
  <si>
    <t>RODOVIA RAPOSO TAVARES, 15713</t>
  </si>
  <si>
    <t>(11) 95772-0020</t>
  </si>
  <si>
    <t>pedroa.soares@uol.com.br</t>
  </si>
  <si>
    <t>Apto. Porém, não deseja servir.</t>
  </si>
  <si>
    <t>MARQUES</t>
  </si>
  <si>
    <t>FELIPE GABRIEL ALMEIDA DA SILVA</t>
  </si>
  <si>
    <t>SP609614563</t>
  </si>
  <si>
    <t>519184468-81</t>
  </si>
  <si>
    <t>RENATO DONIZETE DA SILVA</t>
  </si>
  <si>
    <t>GEILMA ALVES DE ALMEIDA SILVA</t>
  </si>
  <si>
    <t>RUA THOMAZ MAZZONI 74</t>
  </si>
  <si>
    <t>(11) 99436-5173</t>
  </si>
  <si>
    <t>fegabriel50@gmail.com</t>
  </si>
  <si>
    <t xml:space="preserve">Tem aparentemente uma boa relação familiar, não apresentou indícios de contato com drogas, crime e outros. O entrevistado é músico e frequenta a igreja Evangélica. </t>
  </si>
  <si>
    <t>FELIPE ALMEIDA</t>
  </si>
  <si>
    <t>MARCOS VINICIUS GOMES TEIXEIRA</t>
  </si>
  <si>
    <t>SP543004119</t>
  </si>
  <si>
    <t>487124518-78</t>
  </si>
  <si>
    <t>MARTINHO ALVES TEIXEIRA</t>
  </si>
  <si>
    <t>DOMINGAS GOMES PEREIRA</t>
  </si>
  <si>
    <t>RUA PILBARRA, 33 A</t>
  </si>
  <si>
    <t>(11) 96748-6503</t>
  </si>
  <si>
    <t>marcostrabalhos1@gmail.com</t>
  </si>
  <si>
    <t>o conscrito não é voluntario a servir, mas se portou bem durante a entrevisa, possui ma familia estruturada e está se formando em gestão de TI</t>
  </si>
  <si>
    <t>VINICIUS</t>
  </si>
  <si>
    <t>LUCAS FREITAS PINA</t>
  </si>
  <si>
    <t>SP396200242</t>
  </si>
  <si>
    <t>496851748-30</t>
  </si>
  <si>
    <t>NELSON NEVES DE PINA</t>
  </si>
  <si>
    <t>MARIA DORALICE FREITAS DE PINA</t>
  </si>
  <si>
    <t>AVENIDA DOS FUNCIONARIOS PUBLICOS, 1308 CASA 08</t>
  </si>
  <si>
    <t>(11) 94122-3411</t>
  </si>
  <si>
    <t>lucasfreitaspina@gmail.com</t>
  </si>
  <si>
    <t>Apto para a lista de Majorados, já que, segundo o conscrito, vive sozinho com o irmão tendo em vista o falecimento de sua mãe, e o pai se encontra trabalhando em Pernambuco. Mora em um região extremamente longe.</t>
  </si>
  <si>
    <t>PINA</t>
  </si>
  <si>
    <t>FELIPE SANTANA MARTINS</t>
  </si>
  <si>
    <t>SP389837386</t>
  </si>
  <si>
    <t>239504348-60</t>
  </si>
  <si>
    <t>AMAILDO DOS SANTOS MARTINS</t>
  </si>
  <si>
    <t>CAROLINA DOS REIS SANTANA MARTINS</t>
  </si>
  <si>
    <t>RUA AMERICO LOPES, 3</t>
  </si>
  <si>
    <t>(11) 99014-3043</t>
  </si>
  <si>
    <t>felipesantana.fs171@gmail.com</t>
  </si>
  <si>
    <t xml:space="preserve">Tem aparentemente uma boa relação familiar, não apresentou indícios de contao com drogas, crime e outros. </t>
  </si>
  <si>
    <t>MARTINS</t>
  </si>
  <si>
    <t>LUCAS COSTA MELO PEREIRA</t>
  </si>
  <si>
    <t>SP564022834</t>
  </si>
  <si>
    <t>519669378-57</t>
  </si>
  <si>
    <t>ALDENIR PEREIRA</t>
  </si>
  <si>
    <t>MARIA DA LUZ COSTA MELO</t>
  </si>
  <si>
    <t>AVENIDA VILA EMA, 542, CASA 2</t>
  </si>
  <si>
    <t>(11) 98456-8246</t>
  </si>
  <si>
    <t>lcmpereira@yahoo.com</t>
  </si>
  <si>
    <t>JOVEM REUNE AS CONDIÇÕES PARA SERVIR AO EXÉRCITO</t>
  </si>
  <si>
    <t>PEREIRA</t>
  </si>
  <si>
    <t>GUSTAVO TEIXEIRA DE PAULA</t>
  </si>
  <si>
    <t>SP623072762</t>
  </si>
  <si>
    <t>513870678-00</t>
  </si>
  <si>
    <t>ADRIANO AUGUSTO DE PAULA</t>
  </si>
  <si>
    <t>FABIANA TEIXEIRA DE PAULO</t>
  </si>
  <si>
    <t>RUA JOSE FREIRE DA SILVA, 42</t>
  </si>
  <si>
    <t>(11) 94031-4367</t>
  </si>
  <si>
    <t>fabika.adriano@gmail.com</t>
  </si>
  <si>
    <t xml:space="preserve">O Conscrito ainda não terminou o ensino médio, está no último ano, porém não há contra indicação para servir. Se comunica com respeito, é de família mais humilde, e estrutura boa. Trabalha como ajudante geral em uma loja de pesca, e já trabalhou como ajudante de pedreiro e instalação de ar condicionado. </t>
  </si>
  <si>
    <t>TEIXEIRA</t>
  </si>
  <si>
    <t>LUCAS DE FRANCA FRANCISCO</t>
  </si>
  <si>
    <t>SP553711659</t>
  </si>
  <si>
    <t>520485288-30</t>
  </si>
  <si>
    <t>EDVALDO MANOEL FRANCISCO</t>
  </si>
  <si>
    <t>ANA LUCIA DE FRANCA FRANCISCO</t>
  </si>
  <si>
    <t>RUA SETE SN CS 13 AL OUT R NOVA</t>
  </si>
  <si>
    <t>(11) 98052-0425</t>
  </si>
  <si>
    <t>lucasdefranca2002@gmail.com</t>
  </si>
  <si>
    <t>Demostra ter perfil, tem desejo em servir, familia bem estruturada.</t>
  </si>
  <si>
    <t>FRANÇA</t>
  </si>
  <si>
    <t>DANIEL BEZERRA DA SILVA</t>
  </si>
  <si>
    <t>BEZERROS - PE</t>
  </si>
  <si>
    <t>SP38.443.0375</t>
  </si>
  <si>
    <t>504593578-08</t>
  </si>
  <si>
    <t>SEVERINO BEZERRA DA SILVA</t>
  </si>
  <si>
    <t>MARIA JOSINEIDE DA SILVA</t>
  </si>
  <si>
    <t>RUA JOSE ANTONIO COELHO, 228, AP. 10</t>
  </si>
  <si>
    <t>(11) 99429-7823</t>
  </si>
  <si>
    <t>daniel.02bezerra@gmail.com</t>
  </si>
  <si>
    <t>Apto. O único ponto foi que o candidato ja teve uma luxação no punho direito, mas alega que consegue fazer atividades regulares.</t>
  </si>
  <si>
    <t>DANIEL SILVA</t>
  </si>
  <si>
    <t>DOUGLAS CAZASSA GARCIA</t>
  </si>
  <si>
    <t>SANTO ANDRE - SP</t>
  </si>
  <si>
    <t>SP523288487</t>
  </si>
  <si>
    <t>512964998-20</t>
  </si>
  <si>
    <t>OSVALDO GARCIA JUNIOR</t>
  </si>
  <si>
    <t>KELLEN CRISTINA CAZASSA GARCIA</t>
  </si>
  <si>
    <t>RUA NOVA BRASILIA, 287 BLOCO 4 APTO 401</t>
  </si>
  <si>
    <t>(11) 98956-3281</t>
  </si>
  <si>
    <t>douglascazassa00@gmail.com</t>
  </si>
  <si>
    <t xml:space="preserve">Frequenta igreja regularmente, educado, </t>
  </si>
  <si>
    <t>GARCIA</t>
  </si>
  <si>
    <t>HENRIQUE SHINJI YONAMINE</t>
  </si>
  <si>
    <t>SP530498649</t>
  </si>
  <si>
    <t>451447278-67</t>
  </si>
  <si>
    <t>OSVALDO SHINHITI YONAMINE</t>
  </si>
  <si>
    <t>SILVANA OMENA DA SILVA</t>
  </si>
  <si>
    <t>RUA LÉO DE MORAIS, 231, BLOCO A, APTO. 96, RUA LEO DE MORAIS</t>
  </si>
  <si>
    <t>(11) 98990-2924</t>
  </si>
  <si>
    <t xml:space="preserve"> henriquesyonamine@hotmail.com</t>
  </si>
  <si>
    <t>Apto. O candidato foi bem na entrevista. Apesar da mãe não trabalhar e do pai morar no Japão, este banca a casa com a irmã. Próximo a casa do candidato existe uma biqueira.</t>
  </si>
  <si>
    <t>YONAMINE</t>
  </si>
  <si>
    <t>DEIVID SANTOS REBOUCAS</t>
  </si>
  <si>
    <t>SP594688139</t>
  </si>
  <si>
    <t>495506978-94</t>
  </si>
  <si>
    <t>NIVALDO OLIVEIRA REBOUCAS</t>
  </si>
  <si>
    <t>ELIENE SANTOS SELES</t>
  </si>
  <si>
    <t>RUA VISCONDE DE GUARATIBA, 42</t>
  </si>
  <si>
    <t>(11) 98490-3905</t>
  </si>
  <si>
    <t>deivid.santoss2018@icloud.com</t>
  </si>
  <si>
    <t>Boa desenvoltura na entrevista. O candidato se mostrou preparado. Unico ponto preocupante pe a questão do irmão que ja foi preso com entorpecentes.</t>
  </si>
  <si>
    <t>REBOUÇAS</t>
  </si>
  <si>
    <t>LUCAS SANTOS LIMA</t>
  </si>
  <si>
    <t>SP39488063-8</t>
  </si>
  <si>
    <t>413549228-24</t>
  </si>
  <si>
    <t>LUCIANO JOSE DE LIMA</t>
  </si>
  <si>
    <t>KARINA SANTOS SILVA</t>
  </si>
  <si>
    <t>RUA LUÍS AUGUSTO PASCHOAL, 123</t>
  </si>
  <si>
    <t>(11) 93205-6474</t>
  </si>
  <si>
    <t>lucasgaviaoc@hotmail.com</t>
  </si>
  <si>
    <t>Admira e acredita no sonho de servir à força, por mais que não seja a força de vontade da mãe, mas conta com o apoio do pai. Não aparentou possuir quaisquer problemas para servir.</t>
  </si>
  <si>
    <t>SANTOS LIMA</t>
  </si>
  <si>
    <t>ARTHUR HENRIQUE CORREIA DOS SANTOS</t>
  </si>
  <si>
    <t>SP558888513</t>
  </si>
  <si>
    <t>507382488-19</t>
  </si>
  <si>
    <t>JAILTON RENATO DOS SANTOS</t>
  </si>
  <si>
    <t>MARIA SOLANGE CORREIA DOS SANTOS</t>
  </si>
  <si>
    <t>RUA DOS DOURADOS, 3B</t>
  </si>
  <si>
    <t>(11) 94956-8798</t>
  </si>
  <si>
    <t>arthur_henrique25@outlook.com</t>
  </si>
  <si>
    <t>O entrevistado demonstrou vontade de servir, boa postura, e tem interesse em servir.</t>
  </si>
  <si>
    <t>CORREIA</t>
  </si>
  <si>
    <t>GABRIEL CASTRO DA SILVA</t>
  </si>
  <si>
    <t>SP507416417</t>
  </si>
  <si>
    <t>437219038-70</t>
  </si>
  <si>
    <t>MANOEL FRANCISCO DA SILVA FILHO</t>
  </si>
  <si>
    <t>IDALINA DE CASTRO DA SILVA</t>
  </si>
  <si>
    <t>RUA FRANCISCO HURTADO, 198</t>
  </si>
  <si>
    <t>(11) 98505-6772</t>
  </si>
  <si>
    <t>silva.castrogabriel2016@gmail.com</t>
  </si>
  <si>
    <t>Aparentemente sem vícios e de boa família, o pai é separado da mãe mas tem um bom relacionamento com a mãe do entrevistado, possui equilibrio financeiro na familia, é músico e possui interesse em prestar concurso para carreira de música militar.</t>
  </si>
  <si>
    <t>GABRIEL CASTRO</t>
  </si>
  <si>
    <t>GUSTAVO GUILHEN</t>
  </si>
  <si>
    <t>SP387212231</t>
  </si>
  <si>
    <t>516947088-61</t>
  </si>
  <si>
    <t>WILLY TRINDADE GUILHEN</t>
  </si>
  <si>
    <t>CRISTIANE MARIA DOS SANTOS GUILHEN</t>
  </si>
  <si>
    <t>RUA ALVARO AFONSO, 65</t>
  </si>
  <si>
    <t>(11) 99489-9828</t>
  </si>
  <si>
    <t>gustavoguilhen2@gmail.com</t>
  </si>
  <si>
    <t>Majorado. Embora aparente possuir uma boa estrutura familiar, não creio que vá se tornar um bom militar devido aos seus ideais.</t>
  </si>
  <si>
    <t>GUILHEN</t>
  </si>
  <si>
    <t>DEILSON MATOS ARAUJO</t>
  </si>
  <si>
    <t>SP508546606</t>
  </si>
  <si>
    <t>517534278-94</t>
  </si>
  <si>
    <t>EDVALDO RIBEIRO DE ARAUJO</t>
  </si>
  <si>
    <t>MARIA APARECIDA MATOS ARAUJO</t>
  </si>
  <si>
    <t>RUA JOSE OLIVEIRA ORLANDI, 4 B</t>
  </si>
  <si>
    <t>(11) 97459-7844</t>
  </si>
  <si>
    <t>deilson.araujo2002@gmail.com</t>
  </si>
  <si>
    <t>Conscrito aparenta ter boa indole, e aparentemente possui boa estrutura familiar. Frequenta a ingreja evangélica com frequência.</t>
  </si>
  <si>
    <t>MATOS ARAUJO</t>
  </si>
  <si>
    <t>GABRIEL HIDEKI BRAGA</t>
  </si>
  <si>
    <t>SP391326181</t>
  </si>
  <si>
    <t>504777238-10</t>
  </si>
  <si>
    <t>CARLOS ALBERTO TEIXEIRA BRAGA</t>
  </si>
  <si>
    <t>KATIA TOMINAGA</t>
  </si>
  <si>
    <t>RUA SENADOR FELICIO DOS SANTOS 269 AP 81</t>
  </si>
  <si>
    <t>(11) 99873-6886</t>
  </si>
  <si>
    <t>bielhideki12@gmail.com</t>
  </si>
  <si>
    <t>O candidato se comunica de maneira adequada para o perfil, aparentemente um equilíbrio familiar, uma boa estrutura financeira, tendo em vista que o pai é Subtenente aposentado da PMESP e a mãe possui emprego, não apresentou indícios de contato com drogas e possivelmente já possui uma orientação social coerente com o esperado pela Força.</t>
  </si>
  <si>
    <t>HIDEKI</t>
  </si>
  <si>
    <t>RAFAEL OLIVEIRA DE SOUZA</t>
  </si>
  <si>
    <t>SP539755503</t>
  </si>
  <si>
    <t>555237518-12</t>
  </si>
  <si>
    <t>IVALDO COSTA DE SOUZA</t>
  </si>
  <si>
    <t>CRISTIANE OLIVEIRA DA SILVA</t>
  </si>
  <si>
    <t>RUA TIBERIADES, NUMERO 16</t>
  </si>
  <si>
    <t>(11) 98225-7808</t>
  </si>
  <si>
    <t>rafaeloliveiradesouza324@gmail.com</t>
  </si>
  <si>
    <t>Apto. Boa desenvoltura na entrevista.</t>
  </si>
  <si>
    <t>RAFAEL OLIVEIRA</t>
  </si>
  <si>
    <t>CARLOS EDUARDO REZENDE DE BASTOS</t>
  </si>
  <si>
    <t>ESTEIO - RS</t>
  </si>
  <si>
    <t>RS558340805</t>
  </si>
  <si>
    <t>029572040-96</t>
  </si>
  <si>
    <t>MARCIOS DE BASTOS</t>
  </si>
  <si>
    <t>CLAUDIA MARIA CAZETTA REZENDE</t>
  </si>
  <si>
    <t>RUA CORONEL FAWCETT, 268</t>
  </si>
  <si>
    <t>carlos.eduardorezende2002@gmail.com</t>
  </si>
  <si>
    <t xml:space="preserve">É voluntário, tem interesse pela carreira militar e demonstrou boa aptidão para atividade militar. </t>
  </si>
  <si>
    <t>EDUARDO REZENDE</t>
  </si>
  <si>
    <t>FELIPE DIAS BERTONHA BORGES</t>
  </si>
  <si>
    <t>SP57528724</t>
  </si>
  <si>
    <t>497833418-71</t>
  </si>
  <si>
    <t>ELBER BERTONHA BORGES</t>
  </si>
  <si>
    <t>SIMONE FABIANA DIAS LIMA</t>
  </si>
  <si>
    <t>RUA DOMINGOS DA FONSECA, 98</t>
  </si>
  <si>
    <t>(11) 93246-9461</t>
  </si>
  <si>
    <t>felipedias932@hotmail.com</t>
  </si>
  <si>
    <t xml:space="preserve">boa postura , sabe se comunicar, porem estrutura familia um pouco defeituosa , pais separados e mora com a tia </t>
  </si>
  <si>
    <t>BORGES</t>
  </si>
  <si>
    <t>RAUL SILVA BRITO MATOS</t>
  </si>
  <si>
    <t>SP571624686</t>
  </si>
  <si>
    <t>559796468-25</t>
  </si>
  <si>
    <t>JOAO BRITO MATOS</t>
  </si>
  <si>
    <t>LUZIA AMARA DA SILVA</t>
  </si>
  <si>
    <t>RUA HONORINA MARIA DA CONCEICAO, 44</t>
  </si>
  <si>
    <t>(11) 98886-5027</t>
  </si>
  <si>
    <t>raulger456@gmail.com</t>
  </si>
  <si>
    <t>Tem potencial</t>
  </si>
  <si>
    <t>MATOS</t>
  </si>
  <si>
    <t>PEDRO AUGUSTO DOS ANJOS NASCIMENTO</t>
  </si>
  <si>
    <t>SP542936914</t>
  </si>
  <si>
    <t>511526088-35</t>
  </si>
  <si>
    <t>ERIC AUGUSTO DO NASCIMENTO</t>
  </si>
  <si>
    <t>ANA ANGELICA LIMA DOS ANJOS NASCIMENTO</t>
  </si>
  <si>
    <t>AVENIDA CONDESSA ELISABETH DE ROBIANO, 2000 AP BL 01 AP 32</t>
  </si>
  <si>
    <t>(11) 949242796</t>
  </si>
  <si>
    <t>pedro.anjos003@gmail.com</t>
  </si>
  <si>
    <t>Apto. Conscrito educado e com boa desenvoltura na entrevista.</t>
  </si>
  <si>
    <t>AUGUSTO</t>
  </si>
  <si>
    <t>THIAGO GUASCO DE SOUZA</t>
  </si>
  <si>
    <t>SP572412344</t>
  </si>
  <si>
    <t>525773658-61</t>
  </si>
  <si>
    <t>MICHEL DE SOUZA</t>
  </si>
  <si>
    <t>KATIA REGINA GUASCO</t>
  </si>
  <si>
    <t>RUA ISMAEL GOMES BRAGA, 34</t>
  </si>
  <si>
    <t>(11) 93145-5059</t>
  </si>
  <si>
    <t>thiago_guasco@outlook.com</t>
  </si>
  <si>
    <t>Apto. Preenche todos os requisitos e é voluntário. Família bem estruturada.</t>
  </si>
  <si>
    <t>GUASCO</t>
  </si>
  <si>
    <t>DIOGO RODRIGUES DOS SANTOS</t>
  </si>
  <si>
    <t>SP502556237</t>
  </si>
  <si>
    <t>383790268-45</t>
  </si>
  <si>
    <t>JOSE AGNALDO DOS SANTOS</t>
  </si>
  <si>
    <t>ELISSANDRA RODRIGUES DA SILVA</t>
  </si>
  <si>
    <t>RUA DOS TAXISTAS, CASA 79</t>
  </si>
  <si>
    <t>(11) 94849-4598</t>
  </si>
  <si>
    <t>diogo2002email.com@gmail.com</t>
  </si>
  <si>
    <t xml:space="preserve">Voluntário e </t>
  </si>
  <si>
    <t>RODRIGUES</t>
  </si>
  <si>
    <t>GUSTAVO PEREIRA DA CRUZ</t>
  </si>
  <si>
    <t>SP53597906</t>
  </si>
  <si>
    <t>417961468-54</t>
  </si>
  <si>
    <t>ROBERTO DA CRUZ</t>
  </si>
  <si>
    <t>ANDREIA PEREIRA DOS SANTOS</t>
  </si>
  <si>
    <t>RUA DOS PICHARROS NUMERO 30</t>
  </si>
  <si>
    <t>(11) 95889-5579</t>
  </si>
  <si>
    <t>p.gustavo57@yahoo.com.br</t>
  </si>
  <si>
    <t>Pais divorciados, reside com seu pai. É jovem aprendiz se matriculando no curso de Direito para ocupar vaga de estagiário onde trabalha. Não é voluntário para servir e não possui nenhuma habilidade, porém não há impeditivos.</t>
  </si>
  <si>
    <t>DA CRUZ</t>
  </si>
  <si>
    <t>LUCAS HENRIQUE DA SILVA PEREIRA</t>
  </si>
  <si>
    <t>SP505065988</t>
  </si>
  <si>
    <t>490270748-95</t>
  </si>
  <si>
    <t>VALDECIR PEREIRA</t>
  </si>
  <si>
    <t>IRANI DA SILVA</t>
  </si>
  <si>
    <t>RUA IGUACU, 142</t>
  </si>
  <si>
    <t>Diadema</t>
  </si>
  <si>
    <t>(11) 94734-3837</t>
  </si>
  <si>
    <t>lukashsp2002@gmail.com</t>
  </si>
  <si>
    <t>tem perfil , esta motivado , deseja servir.</t>
  </si>
  <si>
    <t>SILVA PEREIRA</t>
  </si>
  <si>
    <t>LUCAS MIGUEL MARQUES DE ANDRADE</t>
  </si>
  <si>
    <t>RECIFE - PE</t>
  </si>
  <si>
    <t>SP546060845</t>
  </si>
  <si>
    <t>517554418-78</t>
  </si>
  <si>
    <t>ANTONIO INOCENCIO DE ANDRADE</t>
  </si>
  <si>
    <t>JOSELMA PACHECO MARQUES</t>
  </si>
  <si>
    <t>AFRANIO PEIXOTO, 195</t>
  </si>
  <si>
    <t>(11) 97474-6648</t>
  </si>
  <si>
    <t>luxasluxas618@gmail.com</t>
  </si>
  <si>
    <t>boa postura, deseja servir .</t>
  </si>
  <si>
    <t>ANDRADE</t>
  </si>
  <si>
    <t>IVES LIMA DE ARAUJO</t>
  </si>
  <si>
    <t>SP560501468</t>
  </si>
  <si>
    <t>499263428-17</t>
  </si>
  <si>
    <t>IVO PEREIRA DE ARAUJO</t>
  </si>
  <si>
    <t>MARIA SIRLEIS DE SOUZA LIMA</t>
  </si>
  <si>
    <t>RUA CECÍLIA MEIRELES, 38</t>
  </si>
  <si>
    <t>(11) 97709-1644</t>
  </si>
  <si>
    <t>ives.lima01@gmail.com</t>
  </si>
  <si>
    <t>Conscrito apresentos padrões para ser militar, possui uma familia estruturada e tem diversas habilidades, porém não é voluntário.</t>
  </si>
  <si>
    <t>IVES LIMA</t>
  </si>
  <si>
    <t>JUAN HENRIQUE MATOS DOS SANTOS</t>
  </si>
  <si>
    <t>SP562457835</t>
  </si>
  <si>
    <t>521596148-40</t>
  </si>
  <si>
    <t>ANTONIO HENRIQUE DOS SANTOS</t>
  </si>
  <si>
    <t>ANA PAULA DE PAULA MATOS</t>
  </si>
  <si>
    <t>AVENIDA ITABERABA, 493</t>
  </si>
  <si>
    <t>(11) 98211-9478</t>
  </si>
  <si>
    <t xml:space="preserve"> juanhsmatos@gmail.com</t>
  </si>
  <si>
    <t>Candidato aparentemente sem restrições ao serviço obrigatório, de família estruturada. Mora com a mãe e o padastro, pouco contato com o pai. Apesar de não possuir nenhuma habilidade específica, não á nada que contraindique.</t>
  </si>
  <si>
    <t>HENRIQUE SANTOS</t>
  </si>
  <si>
    <t>JUAN CESAR SANTOS</t>
  </si>
  <si>
    <t>SP50712974</t>
  </si>
  <si>
    <t>508236318-26</t>
  </si>
  <si>
    <t>JULIO CESAR SILVA SANTOS</t>
  </si>
  <si>
    <t>VALDIRENE DOS SANTOS FLORENTINO</t>
  </si>
  <si>
    <t>RUA CORREIO PAULISTANO 131</t>
  </si>
  <si>
    <t>(11) 96582-2373</t>
  </si>
  <si>
    <t>juliocesarsete@globo.com</t>
  </si>
  <si>
    <t>Apto. Voluntário, família bem estruturada e preenche todos os requisitos.</t>
  </si>
  <si>
    <t>CESAR SANTOS</t>
  </si>
  <si>
    <t>VICTOR FERNANDO MENDES SOARES</t>
  </si>
  <si>
    <t>SP385459087</t>
  </si>
  <si>
    <t>499610428-75</t>
  </si>
  <si>
    <t>GILDEMAR DE ASSIS CHAVES SOARES</t>
  </si>
  <si>
    <t>IVANEIDE MENDES SOARES</t>
  </si>
  <si>
    <t>RUA RUI BOTO DE SOUZA, 615 B</t>
  </si>
  <si>
    <t>(11) 95025-7378</t>
  </si>
  <si>
    <t>victorenina.vf@gmail.com</t>
  </si>
  <si>
    <t>Excelente postura durante entrevista. Não apresentou problema em estrutura familiar, pratica esporte e possui estatura condizente ao PE (alto)</t>
  </si>
  <si>
    <t>MENDES</t>
  </si>
  <si>
    <t>ROGERIO MACIEL GUIMARAES</t>
  </si>
  <si>
    <t>SP501201117</t>
  </si>
  <si>
    <t>389290518-55</t>
  </si>
  <si>
    <t>ELIAS GUIMARAES</t>
  </si>
  <si>
    <t>ROSANGELA DOS PRAZERES MACIEL DA SILVA</t>
  </si>
  <si>
    <t>RUA DEBORA PASCOAL, 57</t>
  </si>
  <si>
    <t>(11) 95137-3975</t>
  </si>
  <si>
    <t>roguimaraes157@gmail.com</t>
  </si>
  <si>
    <t xml:space="preserve">Reunecondições </t>
  </si>
  <si>
    <t>GUIMARAES</t>
  </si>
  <si>
    <t>GUSTAVO DE SOUZA CAGNANI</t>
  </si>
  <si>
    <t>SP528125680</t>
  </si>
  <si>
    <t>507043328-84</t>
  </si>
  <si>
    <t>LAERCIO ANTONIO CAGNANI JUNIOR</t>
  </si>
  <si>
    <t>FABIA APARECIDA DE SOUZA CAGNANI</t>
  </si>
  <si>
    <t>RUA LOURENCO FRANCO, 338</t>
  </si>
  <si>
    <t>(11) 98282-0849</t>
  </si>
  <si>
    <t>gustavocagnani8@gmail.com</t>
  </si>
  <si>
    <t>Apto. aparenta possuir uma boa estrutura familiar.</t>
  </si>
  <si>
    <t>CAGNANI</t>
  </si>
  <si>
    <t>FERNANDO MOREIRA DA SILVA JUNIOR</t>
  </si>
  <si>
    <t>SP578018342</t>
  </si>
  <si>
    <t>240234708-21</t>
  </si>
  <si>
    <t>FERNANDO MOREIRA DA SILVA</t>
  </si>
  <si>
    <t>CAROLINA GONCALVES</t>
  </si>
  <si>
    <t>RUA JAGUARIAIVA, 179</t>
  </si>
  <si>
    <t>(11) 94950-7726</t>
  </si>
  <si>
    <t>fefeeh.17fe@gmail.com</t>
  </si>
  <si>
    <t>O condidato demonstrou uma enorme vontade de servir, uma vez que tentou ingressar no CPOR, portou-se de forma adequada durante toda a entrevista.</t>
  </si>
  <si>
    <t>SILVA JUNIOR</t>
  </si>
  <si>
    <t>JOAO VICTOR MIRANDA</t>
  </si>
  <si>
    <t>NR</t>
  </si>
  <si>
    <t xml:space="preserve"> OSASCO - SP</t>
  </si>
  <si>
    <t xml:space="preserve"> SP500157224</t>
  </si>
  <si>
    <t>JEAN PAULO MIRANDA</t>
  </si>
  <si>
    <t>WELITANIA WEDJA MIRANDA</t>
  </si>
  <si>
    <t>RUA DOUTOR LAERTE SETUBAL, 655</t>
  </si>
  <si>
    <t>grandiermiranda@gmail.com</t>
  </si>
  <si>
    <t>Não apresentou nenhum ponto negativo na esfera social, é voluntário, o pai foi militar no 4º BIL e por isso tem conhecimento do dia a dia militar, disse que tinha problema com insônia e toma remédio para controlar.</t>
  </si>
  <si>
    <t>MIRANDA</t>
  </si>
  <si>
    <t>PEDRO SANTOS DA SILVA</t>
  </si>
  <si>
    <t>RIO DE JANEIRO - RJ</t>
  </si>
  <si>
    <t>SP645922584</t>
  </si>
  <si>
    <t>130546457-54</t>
  </si>
  <si>
    <t>GILVAN ARAUJO DA SILVA</t>
  </si>
  <si>
    <t>ANDREA SANTOS DOS REIS</t>
  </si>
  <si>
    <t>RUA GINO MONALDI, 12 A</t>
  </si>
  <si>
    <t>(11) 98032-7965</t>
  </si>
  <si>
    <t>pedrosantos310181@gmail.com</t>
  </si>
  <si>
    <t>O concrito é voluntario, técnico em design gráfico e pratica atividade física constante.</t>
  </si>
  <si>
    <t>SANTOS SILVA</t>
  </si>
  <si>
    <t>ESDRAS KLEBER RAMOS DE SOUZA BRITO</t>
  </si>
  <si>
    <t>ITATIBA-SP</t>
  </si>
  <si>
    <t>SP533406225</t>
  </si>
  <si>
    <t>517325408-45</t>
  </si>
  <si>
    <t>SILVIO KLEBER OSSERIO BRITO</t>
  </si>
  <si>
    <t>SIRLEIDE RAMOS DE SOUZA BRITO</t>
  </si>
  <si>
    <t>RUA JULIÃO AFONSO SERRA, 92</t>
  </si>
  <si>
    <t>(11) 94582-4296</t>
  </si>
  <si>
    <t>esdraskleber2013@gmail.com</t>
  </si>
  <si>
    <t>Conscrito estruturado familiarmente, professor de inglês e com conhecimentos acima da média em informática. Parte da entrevista foi feita em inglês. Voluntário.</t>
  </si>
  <si>
    <t>KLEBER</t>
  </si>
  <si>
    <t>MATHEUS DOMINGUES DOS SANTOS</t>
  </si>
  <si>
    <t>SP522980405</t>
  </si>
  <si>
    <t>512660008-79</t>
  </si>
  <si>
    <t>AILTON ALVES DOS SANTOS</t>
  </si>
  <si>
    <t>CRISTINA APARECIDA DOMINGUES</t>
  </si>
  <si>
    <t>ESTRADA DA CUMBICA, 1997</t>
  </si>
  <si>
    <t>(11) 95796-1609</t>
  </si>
  <si>
    <t>matheussantos5895@gmail.com</t>
  </si>
  <si>
    <t>O candidato possuim um primo preso, porém alegou que nunca teve muito contato, mesmo morando no mesmo estado, alegou não saber porque o primo foi preso, não apresentou nenhum problema e deseja servir.</t>
  </si>
  <si>
    <t>MATHEUS SANTOS</t>
  </si>
  <si>
    <t>MATEUS DOS SANTOS MACIEL</t>
  </si>
  <si>
    <t>SP37950702</t>
  </si>
  <si>
    <t>495735558-40</t>
  </si>
  <si>
    <t>MARCIO SANTOS MACIEL</t>
  </si>
  <si>
    <t>MARIA CIRILO DOS SANTOS</t>
  </si>
  <si>
    <t>RUA GENERAL OLIVEIRA RAMOS, 68 AP 42</t>
  </si>
  <si>
    <t>(11) 98532-6967</t>
  </si>
  <si>
    <t>mateusmaciellll96@gmail.com</t>
  </si>
  <si>
    <t>Conscrito reúne condições para ser incorporado. sem ressalvas.</t>
  </si>
  <si>
    <t>MACIEL</t>
  </si>
  <si>
    <t>ADAM BRUNO KNOBL BRAZ</t>
  </si>
  <si>
    <t>SP394248053</t>
  </si>
  <si>
    <t>422446528-07</t>
  </si>
  <si>
    <t>PAULO SENHORINO BRAZ</t>
  </si>
  <si>
    <t>ERICA APARECIDA KNOBL</t>
  </si>
  <si>
    <t>RUA ALTO GARCAS</t>
  </si>
  <si>
    <t>(11) 95132-9661</t>
  </si>
  <si>
    <t>adam_knobl@hotmail.com</t>
  </si>
  <si>
    <t>Ambiente familiar favorável, demostrou tranquilidade durante a entrevista e possui muitas especialidades na área de informática e obras.</t>
  </si>
  <si>
    <t>KNOBL</t>
  </si>
  <si>
    <t>QUIKO FABIANO ANDRADE FRANCISCO</t>
  </si>
  <si>
    <t>SP383513133</t>
  </si>
  <si>
    <t>503405878-22</t>
  </si>
  <si>
    <t>RUBENS FRANCISCO FILHO</t>
  </si>
  <si>
    <t>MARIA MARGARIDA ANDRADE DA SILVA</t>
  </si>
  <si>
    <t>RUA GUAICURI, 176</t>
  </si>
  <si>
    <t>(11) 96541-7362</t>
  </si>
  <si>
    <t>quikofabiano8@gmail.com</t>
  </si>
  <si>
    <t>Apto. Majorado. Não aparenta possuir uma família estabilizada e estruturada</t>
  </si>
  <si>
    <t>QUIKO</t>
  </si>
  <si>
    <t>MICHEL CAMARGO FERNANDES</t>
  </si>
  <si>
    <t>SP537729422</t>
  </si>
  <si>
    <t>240152738-93</t>
  </si>
  <si>
    <t>MARCELO FERNANDES</t>
  </si>
  <si>
    <t>VANIA LUCIA CAMARGO</t>
  </si>
  <si>
    <t>RUA PARELHAS, 2</t>
  </si>
  <si>
    <t>(11) 95089-3920</t>
  </si>
  <si>
    <t>michelcamargopipi1@gmail.com</t>
  </si>
  <si>
    <t>O conscrito é voluntário pra servir, aparenta vim de uma boa família e tem aptidão para o serviço militar.</t>
  </si>
  <si>
    <t>CAMARGO</t>
  </si>
  <si>
    <t>GEORGE LUCAS DEL GRECCO CARDOSO</t>
  </si>
  <si>
    <t>SP58743272X</t>
  </si>
  <si>
    <t>518534038-06</t>
  </si>
  <si>
    <t>PEDRO FERREIRA CARDOSO</t>
  </si>
  <si>
    <t>LUCIANE DEL GRECCO</t>
  </si>
  <si>
    <t>RUA ALEXANDRE RAPIN, 245 AP 11 BL 1</t>
  </si>
  <si>
    <t>(11) 96829-4433</t>
  </si>
  <si>
    <t>greccocortes@gmail.com</t>
  </si>
  <si>
    <t>Candidato tem perfil introvertido e esboça vontade de seguir carreira, buscando referências para concursos militares. Aparenta ser um bom candidato para o grupo de Majorados.</t>
  </si>
  <si>
    <t>GRECCO</t>
  </si>
  <si>
    <t>EDUARDO WOCHNER</t>
  </si>
  <si>
    <t>CAMPO BOM - RS</t>
  </si>
  <si>
    <t>SP642658845</t>
  </si>
  <si>
    <t>506214058-76</t>
  </si>
  <si>
    <t>CARLOS ALBERTO WOCHNER</t>
  </si>
  <si>
    <t>TAIS RENATA DOS SANTOS PIRES</t>
  </si>
  <si>
    <t>CUSTODIO DA SILVA, 18</t>
  </si>
  <si>
    <t>(11) 99314-7557</t>
  </si>
  <si>
    <t>ewochner2002@gmail.com</t>
  </si>
  <si>
    <t>Quer servir, é voluntário, tem referência positiva do Tio que serviu o exército e pretende seguir carreira, já fez concurso para Espcex e vai fazer a ESA este ano.</t>
  </si>
  <si>
    <t>WOCHNER</t>
  </si>
  <si>
    <t>DANILO HENRIQUE GONCALVES</t>
  </si>
  <si>
    <t>SP551728024</t>
  </si>
  <si>
    <t>142957367-83</t>
  </si>
  <si>
    <t>ALMIRO BARBOSA GONCALVES</t>
  </si>
  <si>
    <t>REGINA CELIA HENRIQUE</t>
  </si>
  <si>
    <t>RUA DOS SINDICALISTAS, 63</t>
  </si>
  <si>
    <t>(11) 96898-6587</t>
  </si>
  <si>
    <t>daniloes0@hotmail.com</t>
  </si>
  <si>
    <t>DANILO GONÇALVES</t>
  </si>
  <si>
    <t>FELIPE OLIVEIRA SANTOS</t>
  </si>
  <si>
    <t>SP384960765</t>
  </si>
  <si>
    <t>449443358-65</t>
  </si>
  <si>
    <t>JOSE VALMIR DOS SANTOS</t>
  </si>
  <si>
    <t>LUCIANA PEREIRA DE OLIVEIRA SANTOS</t>
  </si>
  <si>
    <t>RUA FRANCISCO DE OLIVEIRA, 59</t>
  </si>
  <si>
    <t>(11) 98654-6989</t>
  </si>
  <si>
    <t>felipeoliveirasantos20199@gmail.com</t>
  </si>
  <si>
    <t>Familia aparenta boa estrutura, conscrito demonstra aptidão para a vida militar.</t>
  </si>
  <si>
    <t>OLIVEIRA</t>
  </si>
  <si>
    <t>ANDERSON BIASE FIGUEIREDO DE ARAUJO</t>
  </si>
  <si>
    <t>SP531494019</t>
  </si>
  <si>
    <t>240760258-73</t>
  </si>
  <si>
    <t>FRAN BIASE</t>
  </si>
  <si>
    <t>VANESSA DOS SANTOS FIGUEIREDO</t>
  </si>
  <si>
    <t>RUA OLGA FADEL ABARCA 430, BLOCO 3 APARTAMENTO 401</t>
  </si>
  <si>
    <t>(11) 96458-3014</t>
  </si>
  <si>
    <t>andersonbiase@gmail.com</t>
  </si>
  <si>
    <t>Apresentou ser de família estruturada. Cursando Direito. Voluntário pra servir.</t>
  </si>
  <si>
    <t>FIGUEIREDO</t>
  </si>
  <si>
    <t>WESLEY CORREIA DA SILVA</t>
  </si>
  <si>
    <t>LUZIANIA - GO</t>
  </si>
  <si>
    <t>SP541396675</t>
  </si>
  <si>
    <t>524470238-63</t>
  </si>
  <si>
    <t>EDMILSON DE SOUZA SILVA</t>
  </si>
  <si>
    <t>IOLANDA CORREIA FREITAS</t>
  </si>
  <si>
    <t>RUA TOLSTOI, 452</t>
  </si>
  <si>
    <t>(11) 96096-6383</t>
  </si>
  <si>
    <t>wesleyct06@gmail.com</t>
  </si>
  <si>
    <t>Voluntário, tem condições de servir.</t>
  </si>
  <si>
    <t>WESLEY CORREIA</t>
  </si>
  <si>
    <t>EMERSON VIEIRA ARAUJO</t>
  </si>
  <si>
    <t>SP394631353</t>
  </si>
  <si>
    <t>496316108-70</t>
  </si>
  <si>
    <t>LUIZ BALBINO DE ARAUJO</t>
  </si>
  <si>
    <t>QUITERIA VIEIRA DE ARAUJO</t>
  </si>
  <si>
    <t>RUA JOSE DAS NEVES SANTOS, 147</t>
  </si>
  <si>
    <t>(11) 93003-2381</t>
  </si>
  <si>
    <t>emerson09bbc@gmail.com</t>
  </si>
  <si>
    <t>Apto. O candidato demonstra interesse, tem perfil para a profissão, bom candidato.</t>
  </si>
  <si>
    <t>ARAUJO</t>
  </si>
  <si>
    <t>JONATHAN TEIXEIRA DOS SANTOS</t>
  </si>
  <si>
    <t>SP</t>
  </si>
  <si>
    <t>38293239-0</t>
  </si>
  <si>
    <t>396.459.728-76</t>
  </si>
  <si>
    <t>DENIVALDO ALVES TEIXEIRA</t>
  </si>
  <si>
    <t>MARIA ROSA DOS SANTOS</t>
  </si>
  <si>
    <t>RUA GENERAL OSORIO, 295</t>
  </si>
  <si>
    <t>11-979653172</t>
  </si>
  <si>
    <t>jonathanteixeira67@yahoo.com.br</t>
  </si>
  <si>
    <t xml:space="preserve">Conscrito com excelente postura, tratamento e desenvoltura durante entrevista. Estrutura familiar boa, não contribui com a renda familiar. É voluntário pra servir. </t>
  </si>
  <si>
    <t>JONATHAN</t>
  </si>
  <si>
    <t>FELIPE BATISTA DE SOUZA SANTOS</t>
  </si>
  <si>
    <t>SP389519662</t>
  </si>
  <si>
    <t>527305198-31</t>
  </si>
  <si>
    <t>GENIVALDO DE SOUZA SANTOS</t>
  </si>
  <si>
    <t>CRISTINA APARECIDA DA FRANCA BATISTA</t>
  </si>
  <si>
    <t>RUA ROMILDO FINOZZI, 269</t>
  </si>
  <si>
    <t>(11) 98421-8148</t>
  </si>
  <si>
    <t>felip3batistasant0s@gmail.com</t>
  </si>
  <si>
    <t>conscrito boa postura , trabalha , ja tem uma rotina disciplinada , bom candidato</t>
  </si>
  <si>
    <t>SOUZA</t>
  </si>
  <si>
    <t>LUCAS DOS SANTOS OLIVEIRA</t>
  </si>
  <si>
    <t>SP506266387</t>
  </si>
  <si>
    <t>465026388-30</t>
  </si>
  <si>
    <t>ALEX SANDRO DE JESUS OLIVEIRA</t>
  </si>
  <si>
    <t>MAIRIA SOUZA DOS SANTOS</t>
  </si>
  <si>
    <t>PRAÇA THOMAS COELHO DE ALMEIDA, 7</t>
  </si>
  <si>
    <t>(11) 95238-1045</t>
  </si>
  <si>
    <t>lucas_oliveira1379@outlook.com</t>
  </si>
  <si>
    <t>Demonstrou confiança e maturidade.</t>
  </si>
  <si>
    <t>LUCAS OLIVEIRA</t>
  </si>
  <si>
    <t>MATEUS DO NASCIMENTO LOPES</t>
  </si>
  <si>
    <t>SP591095555</t>
  </si>
  <si>
    <t>522080948-24</t>
  </si>
  <si>
    <t>SEVERINO VIEIRA LOPES</t>
  </si>
  <si>
    <t>MARIA JOSE DO NASCIMENTO</t>
  </si>
  <si>
    <t>RUA CONDE DE ITAGUAÍ, 321, BLOCO 3, APT.41</t>
  </si>
  <si>
    <t>(11) 97771-4329</t>
  </si>
  <si>
    <t>mateusmaus71@gmail.com</t>
  </si>
  <si>
    <t>Reune todas as condições para ser incorporado. Já frequentou estande de tiro acompanhado pelo pai, que é segurança de carro forte.</t>
  </si>
  <si>
    <t>LOPES</t>
  </si>
  <si>
    <t>LUCAS DA COSTA BERNARDO</t>
  </si>
  <si>
    <t>SP524742625</t>
  </si>
  <si>
    <t>402449908-40</t>
  </si>
  <si>
    <t>JOSE RONALDO BERNARDO</t>
  </si>
  <si>
    <t>VERA LUCIA DA COSTA BERNARDO</t>
  </si>
  <si>
    <t>R THOMAS MORLEY, 17</t>
  </si>
  <si>
    <t>(11) 97239-7213</t>
  </si>
  <si>
    <t>lucascostatrabalho2046@gmail.com</t>
  </si>
  <si>
    <t>Apto. Boa desenvoltura na entrevista. Atetar na visita social com o local onde mora.</t>
  </si>
  <si>
    <t>BERNARDO</t>
  </si>
  <si>
    <t>YAN DOS SANTOS ANDRADE</t>
  </si>
  <si>
    <t>SP523709833</t>
  </si>
  <si>
    <t>524597978-00</t>
  </si>
  <si>
    <t>DOUGLAS DE ANDRADE BARBOZA</t>
  </si>
  <si>
    <t>SANDRA DOS SANTOS ANDRADE</t>
  </si>
  <si>
    <t>RUA EPIACABA, 465</t>
  </si>
  <si>
    <t>(11) 94870-7221</t>
  </si>
  <si>
    <t>yan20022011@hotmail.com</t>
  </si>
  <si>
    <t>Boa desenvoltura tem condições de servir.</t>
  </si>
  <si>
    <t>YAN</t>
  </si>
  <si>
    <t>MATHEUS DA SILVA PRADO</t>
  </si>
  <si>
    <t>SP520015290</t>
  </si>
  <si>
    <t>479613738-61</t>
  </si>
  <si>
    <t>SILVIO ANDRE DA SILVA PRADO</t>
  </si>
  <si>
    <t>ANDREA CRISTINA LOPES DO PRADO</t>
  </si>
  <si>
    <t>AV LAGO XARAIS, 006</t>
  </si>
  <si>
    <t>(11) 94979-4530</t>
  </si>
  <si>
    <t>matheusprado822@gmail.com</t>
  </si>
  <si>
    <t>O conscrito é voluntário pra servi, aparenta ter boa estrutura familiar e tem aptidão para o serviço militar.</t>
  </si>
  <si>
    <t>SILVA PRADO</t>
  </si>
  <si>
    <t>NATHAN MORAES DA SILVA</t>
  </si>
  <si>
    <t>SP542226467</t>
  </si>
  <si>
    <t>486340408-52</t>
  </si>
  <si>
    <t>JAILSON DA SILVA</t>
  </si>
  <si>
    <t>CRISTIANE MORAES DA COSTA</t>
  </si>
  <si>
    <t>RUA CARLOS FACCHINA, 1025</t>
  </si>
  <si>
    <t>(11) 99228-3885</t>
  </si>
  <si>
    <t>nathanmoraes7531@gmail.com</t>
  </si>
  <si>
    <t>Família estruturada, estudande universitário e de inglês, conhecimento em informática, pratica esportes. Recomendo.</t>
  </si>
  <si>
    <t>NATHAN</t>
  </si>
  <si>
    <t>ISAAC MORAES SOUZA</t>
  </si>
  <si>
    <t>SP388475055</t>
  </si>
  <si>
    <t>435801558-14</t>
  </si>
  <si>
    <t>RICARDO PEREIRA DE OLIVEIRA</t>
  </si>
  <si>
    <t>KARINA ALENSKI COUTO</t>
  </si>
  <si>
    <t>RUA ENGENHEIRO JOAO LANG, 149</t>
  </si>
  <si>
    <t>(11) 97727-9414</t>
  </si>
  <si>
    <t>alenski.ighor@gmail.com</t>
  </si>
  <si>
    <t>O conscristo tem boa aptidão pra servir, é vonluntário e vem de uma família estruturada.</t>
  </si>
  <si>
    <t>ISAAC SOUZA</t>
  </si>
  <si>
    <t>AUGUSTO PEREIRA PRAGELAS</t>
  </si>
  <si>
    <t>SP382327986</t>
  </si>
  <si>
    <t>525080918-98</t>
  </si>
  <si>
    <t>MARCELO VIEIRA PRAGELAS</t>
  </si>
  <si>
    <t>LUCIANA PEREIRA PRAGELAS</t>
  </si>
  <si>
    <t>RUA DOS MARAPES, 142</t>
  </si>
  <si>
    <t>(11) 95973-1688</t>
  </si>
  <si>
    <t>augustopragelas@hotmail.com</t>
  </si>
  <si>
    <t xml:space="preserve">o candidato deseja servir, possui ambiente familiar estavel, trabalha porem o salario é somente para si , não possui habilidades especificas </t>
  </si>
  <si>
    <t>PRAGELAS</t>
  </si>
  <si>
    <t>INACIO JOSE DOS SANTOS NETO</t>
  </si>
  <si>
    <t>SP571259121</t>
  </si>
  <si>
    <t>471779618-79</t>
  </si>
  <si>
    <t>NAO DECLARADO</t>
  </si>
  <si>
    <t>MARIA EUGENIA OLIVEIRA DOS SANTOS</t>
  </si>
  <si>
    <t>RUA ASMARA, 110</t>
  </si>
  <si>
    <t>(11) 95921-9179</t>
  </si>
  <si>
    <t>nana.neto.santos@gmail.com</t>
  </si>
  <si>
    <t>Conscrito motivado a servir objetivando a ajuda financeira que poderá dar em casa.Família aparentemente bem estruturada e com condições de dar um minimo de suporte.</t>
  </si>
  <si>
    <t>SANTOS NETO</t>
  </si>
  <si>
    <t>TAYLOR ANTHONY DE ARAUJO FRANCA</t>
  </si>
  <si>
    <t>SAO JOSE DO EGITO - PE</t>
  </si>
  <si>
    <t>SP588001260</t>
  </si>
  <si>
    <t>486364228-84</t>
  </si>
  <si>
    <t>ANTONIO AMADOR DA FRANCA</t>
  </si>
  <si>
    <t>DANIELA JUSSARA PEREIRA DE ARAUJO</t>
  </si>
  <si>
    <t>RUA BOM PASTOR, 955</t>
  </si>
  <si>
    <t>(11) 98304-0010</t>
  </si>
  <si>
    <t>eve.felix@hotmail.com</t>
  </si>
  <si>
    <t>Tem perfil, ponto a ser observado Cond. Físico.</t>
  </si>
  <si>
    <t>TAYLOR</t>
  </si>
  <si>
    <t>THOMAS VELOSO DA SILVA</t>
  </si>
  <si>
    <t>SP392342765</t>
  </si>
  <si>
    <t>521412548-84</t>
  </si>
  <si>
    <t>MATEUS VELOSO DA SILVA</t>
  </si>
  <si>
    <t>ALESSANDRA VELOSO DA SILVA</t>
  </si>
  <si>
    <t>RUA ANGELO HERRERO, 25 APTO 33</t>
  </si>
  <si>
    <t>(11) 95759-4921</t>
  </si>
  <si>
    <t>thomasveloso07@gmail.com</t>
  </si>
  <si>
    <t>Apto. Preenche todos os requisitos</t>
  </si>
  <si>
    <t>VELOSO</t>
  </si>
  <si>
    <t>WASHINGTON VICTOR PRADO DA SILVA</t>
  </si>
  <si>
    <t>SP583210375</t>
  </si>
  <si>
    <t>523974588-96</t>
  </si>
  <si>
    <t>WILLIAM FERREIRA DA SILVA</t>
  </si>
  <si>
    <t>SANDRA DE OLIVEIRA PRADO</t>
  </si>
  <si>
    <t>RUA DAS MANGUEIRAS 209</t>
  </si>
  <si>
    <t>(11) 968583555</t>
  </si>
  <si>
    <t>washington321nego@gmail.com</t>
  </si>
  <si>
    <t>Apto. Boa desenvoltura na entrevista. Demonstrou ter se preparado para a entrevista.</t>
  </si>
  <si>
    <t>WHASHINGTON</t>
  </si>
  <si>
    <t>GABRIEL ANDRE BATISTA GUTIERREZ DO CARMO</t>
  </si>
  <si>
    <t>SP551204035</t>
  </si>
  <si>
    <t>445137688-27</t>
  </si>
  <si>
    <t>RAIMUNDO OLIVEIRA DO CARMO FILHO</t>
  </si>
  <si>
    <t>ANDREA LANUZA BATISTA GUTIERREZ</t>
  </si>
  <si>
    <t>RUA MACIEIRA DO SUL, 601-A</t>
  </si>
  <si>
    <t>(11) 97477-8361</t>
  </si>
  <si>
    <t>gb889310@gmail.com</t>
  </si>
  <si>
    <t xml:space="preserve">Excelente desenvoltura durante entrevista. Irmão por parte de pai já foi preso quando menor de idade, não reside junto com o conscrito e não há contra indicação para servir. </t>
  </si>
  <si>
    <t>ANDRE</t>
  </si>
  <si>
    <t>RENAN RAMOS RODRIGUES</t>
  </si>
  <si>
    <t>SP533211876</t>
  </si>
  <si>
    <t>412940828-33</t>
  </si>
  <si>
    <t>JOSE ROBERTO RODRIGUES</t>
  </si>
  <si>
    <t>RENATA NAVARRETE RAMOS RODRIGUES</t>
  </si>
  <si>
    <t>RUA FRUTAS DE SANTO AMARO</t>
  </si>
  <si>
    <t>(11) 99363-4429</t>
  </si>
  <si>
    <t>renatanavarrete@hotmail.com, ou renanramos rodriges06@gmail.com</t>
  </si>
  <si>
    <t xml:space="preserve">Não aparenta que irá trazer problemas, diz que não se envolve com </t>
  </si>
  <si>
    <t>RAMOS</t>
  </si>
  <si>
    <t>RICARDO SANTOS MARCELINO</t>
  </si>
  <si>
    <t>410585558-12</t>
  </si>
  <si>
    <t>EDENILSON MARCELINO</t>
  </si>
  <si>
    <t>PATRICIA APARECIDA CARDOSO DOS SANTOS</t>
  </si>
  <si>
    <t>RUA AGNES ROSELIN 39, CASA 2</t>
  </si>
  <si>
    <t>(11) 94883-1739</t>
  </si>
  <si>
    <t>ricardo.marcelino455@gmail.com</t>
  </si>
  <si>
    <t>APTO. MAJORADO.</t>
  </si>
  <si>
    <t>RICARDO MARCELINO</t>
  </si>
  <si>
    <t>MICAIAS ESTEVAM DE SOUSA NASCIMENTO</t>
  </si>
  <si>
    <t>SP520134011</t>
  </si>
  <si>
    <t>478512418-04</t>
  </si>
  <si>
    <t>ZACARIAS DE SOUSA DO NASCIMENTO</t>
  </si>
  <si>
    <t>ALEXANDRA ESTEVAM MATEUS DO NASCIMENTO</t>
  </si>
  <si>
    <t>RUA 10 G</t>
  </si>
  <si>
    <t>(11) 98043-4460</t>
  </si>
  <si>
    <t>micaias880@gmail.com</t>
  </si>
  <si>
    <t xml:space="preserve">Aparentemente uma boa pessoa, não apresentou problemas com drogas, gosta de corre e jogar futebol. Informou que o motivo dos pais não trabalharem no momento, foi a pândemia. </t>
  </si>
  <si>
    <t>ESTEVAM</t>
  </si>
  <si>
    <t>CARLOS CESAR DE LIRA JUNIOR</t>
  </si>
  <si>
    <t>SP586926719</t>
  </si>
  <si>
    <t>491725398-52</t>
  </si>
  <si>
    <t>CARLOS CESAR DE LIRA</t>
  </si>
  <si>
    <t>SIMONE SANTOS PAIVA DE LIRA</t>
  </si>
  <si>
    <t>RUA LEON BURBURE, 100</t>
  </si>
  <si>
    <t>(11) 97365-9821</t>
  </si>
  <si>
    <t>lira.carlosjr@gmail.com</t>
  </si>
  <si>
    <t>CESAR</t>
  </si>
  <si>
    <t>ARTHUR ROCHA AMARO</t>
  </si>
  <si>
    <t>SP539691938</t>
  </si>
  <si>
    <t>518595978-90</t>
  </si>
  <si>
    <t>ALEXANDRE PIRES AMARO</t>
  </si>
  <si>
    <t>NADIA APARECIDA ROCHA SILVA</t>
  </si>
  <si>
    <t>AVENIDA MIGUEL ESTEFANO, 2254 CASA 05</t>
  </si>
  <si>
    <t>(11) 98700-7654</t>
  </si>
  <si>
    <t>rocha.amari@gmail.com</t>
  </si>
  <si>
    <t>Apto.Conscrito tem facilidade para se comunicar, sem indícios de problemas psicossiciais</t>
  </si>
  <si>
    <t>ROCHA</t>
  </si>
  <si>
    <t>FELIPE DE ARRUDA BOTELHO</t>
  </si>
  <si>
    <t>GUARULHOS - SP</t>
  </si>
  <si>
    <t>509256302</t>
  </si>
  <si>
    <t>503499048-20</t>
  </si>
  <si>
    <t>RUY CARLOS DE ARRUDA BOTELHO JUNIOR</t>
  </si>
  <si>
    <t>MARTA SOARES BALDOINO</t>
  </si>
  <si>
    <t>RUA PIMENTA BUENO,344</t>
  </si>
  <si>
    <t>(11) 99698-2686</t>
  </si>
  <si>
    <t>fbotelho94@gmail.com</t>
  </si>
  <si>
    <t>Conscrito não voluntário. Estruturado familiarmente, no entanto, extremamente aéreo quanto às perguntas da entrevista. "Delay" muito alto. Nada de desabonador foi verificado, além desse alto tempo de pensamento para as respostas.</t>
  </si>
  <si>
    <t>ARRUDA</t>
  </si>
  <si>
    <t>IGOR PEIGO COSTA VEIGA</t>
  </si>
  <si>
    <t>SAO BERNARDO DO CAMPO - SP</t>
  </si>
  <si>
    <t>SP527541370</t>
  </si>
  <si>
    <t>528272548-75</t>
  </si>
  <si>
    <t>CLEDSON COSTA VEIGA</t>
  </si>
  <si>
    <t>JOICE REGINA PEIGO VEIGA</t>
  </si>
  <si>
    <t>RUA PROFESSOR ARNALDO JOÃO SEMERARO, 789, BLOCO 2, APTO. 62</t>
  </si>
  <si>
    <t>São Bernardo</t>
  </si>
  <si>
    <t>(11) 99832-9123</t>
  </si>
  <si>
    <t>joiceveiga@travelcom.tur.br</t>
  </si>
  <si>
    <t>concrito não mora em área de risco e demonstrou uma boa postura, não há nada que o impeça de servir</t>
  </si>
  <si>
    <t>VEIGA</t>
  </si>
  <si>
    <t>BRUNO FREITAS PIRES</t>
  </si>
  <si>
    <t>541476178</t>
  </si>
  <si>
    <t>464665938-78</t>
  </si>
  <si>
    <t>ELIECIO DO AMARAL PIRES</t>
  </si>
  <si>
    <t>FRANCISCA ALVES DE FREITAS</t>
  </si>
  <si>
    <t>RUA OTTO DE BARROS, 141</t>
  </si>
  <si>
    <t>(11) 99630-2546</t>
  </si>
  <si>
    <t>fran_bruno21@hotmail.com</t>
  </si>
  <si>
    <t>o caandidato deseja servir , bom convivio familiar ajuda no estabelecimento da familia , estuda,trabalha, não aparenta aspectos negativos</t>
  </si>
  <si>
    <t>FREITAS</t>
  </si>
  <si>
    <t>GABRIEL SANTOS DE SOUSA</t>
  </si>
  <si>
    <t>SP564007274</t>
  </si>
  <si>
    <t>523451588-59</t>
  </si>
  <si>
    <t>EUFRASIO SANTOS DE SOUSA</t>
  </si>
  <si>
    <t>SEBASTIANA DE SOUSA SANTOS</t>
  </si>
  <si>
    <t>AVENIDA DOUTOR LUIS ROCHA MIRANDA, 338</t>
  </si>
  <si>
    <t>(11) 95801-6654</t>
  </si>
  <si>
    <t>bielsantos660@gmail.com</t>
  </si>
  <si>
    <t>Apto, o candidato demonstrou boa postura, educação, família é estruturada e um ótimo relacionamento famíliar, porém não é voluntário a servir.</t>
  </si>
  <si>
    <t>GABRIEL SANTOS</t>
  </si>
  <si>
    <t>LUCCA MIKSIAN MARQUES</t>
  </si>
  <si>
    <t>SP530692193</t>
  </si>
  <si>
    <t>477086178-80</t>
  </si>
  <si>
    <t>ALEXANDRE MARQUES</t>
  </si>
  <si>
    <t>ANDREA MIKSIAN MARQUES</t>
  </si>
  <si>
    <t>RUA HERMINIO LEMOS,196 AP 63</t>
  </si>
  <si>
    <t>(11) 96307-9997</t>
  </si>
  <si>
    <t>lucmikmarques@bol.com.br</t>
  </si>
  <si>
    <t>boa familia, boa postura , possui conhecimentos na area tecnica , pratica esportes , é voluntario a servir.</t>
  </si>
  <si>
    <t>MIKSIAN</t>
  </si>
  <si>
    <t>LUCAS HENRIQUE DOS SANTOS</t>
  </si>
  <si>
    <t>SP521925277</t>
  </si>
  <si>
    <t>483663998-00</t>
  </si>
  <si>
    <t>WENDEL SILVA DOS SANTOS</t>
  </si>
  <si>
    <t>MIRNA BATISTA DA SILVA</t>
  </si>
  <si>
    <t>RUA TIJUCAS DO SUL, 42</t>
  </si>
  <si>
    <t>(11) 95609-2696</t>
  </si>
  <si>
    <t>lucashenriquedossantos36@gmail.com</t>
  </si>
  <si>
    <t xml:space="preserve">boa postura , deseja servir , relacionamento familiar mediano possui problemas com o pai </t>
  </si>
  <si>
    <t>HENRIQUE</t>
  </si>
  <si>
    <t>PAULO FERNANDO DE LIMA BATISTA</t>
  </si>
  <si>
    <t>BELEM - PA</t>
  </si>
  <si>
    <t>SP500157479</t>
  </si>
  <si>
    <t>392169318-76</t>
  </si>
  <si>
    <t>PAULO SERGIO BATISTA</t>
  </si>
  <si>
    <t>ADRILENE MOREIRA DE LIMA</t>
  </si>
  <si>
    <t>RUA PEREIRA DA SILVA, 74</t>
  </si>
  <si>
    <t>(11) 97177-3458</t>
  </si>
  <si>
    <t>paulooflb50@gmail.com</t>
  </si>
  <si>
    <t>Mora sozinho, estuda, tem boa postura, educado. Recomendo.</t>
  </si>
  <si>
    <t>FERNANDO</t>
  </si>
  <si>
    <t>ALEX NIRIELTON SILVA SOUSA</t>
  </si>
  <si>
    <t>SP388379388</t>
  </si>
  <si>
    <t>082815845-21</t>
  </si>
  <si>
    <t>JOSE NILDO DE SOUSA</t>
  </si>
  <si>
    <t>GINA DE CASSIA SILVA LEITE</t>
  </si>
  <si>
    <t>RUA QUINZE, 88</t>
  </si>
  <si>
    <t>(11) 96020-8679</t>
  </si>
  <si>
    <t>alex.nirielton21@gmail.com</t>
  </si>
  <si>
    <t>Tem uma vida estável, está estudando para concursos militares e possui boa educação. Aparentemente possui perfil.</t>
  </si>
  <si>
    <t>ALEX SILVA</t>
  </si>
  <si>
    <t>MATEUS REZENDE BEZERRA</t>
  </si>
  <si>
    <t>TABOAO DA SERRA - SP</t>
  </si>
  <si>
    <t>SP390760584</t>
  </si>
  <si>
    <t>361545018-38</t>
  </si>
  <si>
    <t>FERNANDO JOSE BEZERRA</t>
  </si>
  <si>
    <t>GISELE SERRATE REZENDE</t>
  </si>
  <si>
    <t>ALAMEDA DOS JURITIS, 148</t>
  </si>
  <si>
    <t>(11) 97542-9185</t>
  </si>
  <si>
    <t>teu.rezende2@gmail.com</t>
  </si>
  <si>
    <t>Apto. Majorado. O conscrito ajuda a famlía com a maior parte que recebe de pensão do falecido pai. o conscrito alega que essa pensão acaba quando fizer 21 anos. Porém, não sabe se irá perder essa pensão ao entrar no EB.</t>
  </si>
  <si>
    <t>REZENDE</t>
  </si>
  <si>
    <t>GABRIELCASTILHO DE AGUIAR</t>
  </si>
  <si>
    <t xml:space="preserve"> SAO PAULO - SP</t>
  </si>
  <si>
    <t xml:space="preserve"> SP550432000</t>
  </si>
  <si>
    <t>CELSO JORDAO DE AGUIAR JUNIOR</t>
  </si>
  <si>
    <t>DENISE CASTILHO DE AGUIAR</t>
  </si>
  <si>
    <t>RUA TENENTE-CORONEL ANTONIO BRAGA, 610</t>
  </si>
  <si>
    <t xml:space="preserve"> gabrielcastilho11@hotmail.com</t>
  </si>
  <si>
    <t>Apto para servir, é voluntário, tem interesse desde criança em servir à Patria, família bem estruturada.</t>
  </si>
  <si>
    <t>AGUIAR</t>
  </si>
  <si>
    <t>ANDRE PAIVA GONCALVES</t>
  </si>
  <si>
    <t>SP572005210</t>
  </si>
  <si>
    <t>520241448-02</t>
  </si>
  <si>
    <t>MARCOS NOYA GONCALVES</t>
  </si>
  <si>
    <t>PEDRONILIA MARIA DA CONCEICAO PAIVA NETA</t>
  </si>
  <si>
    <t>AVENIDA CRISTÓVÃO CARESANA, 260</t>
  </si>
  <si>
    <t>(11) 93015-2748</t>
  </si>
  <si>
    <t>alfraniode@gmail.com</t>
  </si>
  <si>
    <t xml:space="preserve">O entrevistado, mostrou busca por conhecimento e crescimento pessoal e profissional, mora em localidade um pouco próxima a lais onde são comercializado drogas ilícitas </t>
  </si>
  <si>
    <t>PAIVA</t>
  </si>
  <si>
    <t>JOAO FELIPE MONTEIRO CASTORINO</t>
  </si>
  <si>
    <t>SP553158831</t>
  </si>
  <si>
    <t>537338678-23</t>
  </si>
  <si>
    <t>ADILSON CASTORINO</t>
  </si>
  <si>
    <t>LUCIANA REGINA MONTEIRO CASTORINO</t>
  </si>
  <si>
    <t>TRAVESSA MONTE SANTO DE MINAS, 59</t>
  </si>
  <si>
    <t>(11) 98614-2223</t>
  </si>
  <si>
    <t>fm027552@gmail.com</t>
  </si>
  <si>
    <t>É vonluntário e tem boa aptidão pra servir.</t>
  </si>
  <si>
    <t>MONTEIRO</t>
  </si>
  <si>
    <t>GABRIEL MARCELINO NOBRE</t>
  </si>
  <si>
    <t>SP525158303</t>
  </si>
  <si>
    <t>519117268-03</t>
  </si>
  <si>
    <t>LINDOMAR HEBERT NOBRE</t>
  </si>
  <si>
    <t>GENILDA MARIA MARCELINO NOBRE</t>
  </si>
  <si>
    <t>RUA JOSE PEDRO DA SILVEIRA, 217</t>
  </si>
  <si>
    <t>(11) 96996-8777</t>
  </si>
  <si>
    <t>gmn.nobre@gmail.com</t>
  </si>
  <si>
    <t xml:space="preserve">Demonstrou durante toda a entrevista excelente desenvoltura e postura. Tem conhecimento de programação, e de pacote office. Não há quaisquer contra indicações para servir. </t>
  </si>
  <si>
    <t>NOBRE</t>
  </si>
  <si>
    <t>RICARDO FREIRE CARDOSO</t>
  </si>
  <si>
    <t>ITAPECERICA DA SERRA - SP</t>
  </si>
  <si>
    <t>SP390088699</t>
  </si>
  <si>
    <t>230037938-45</t>
  </si>
  <si>
    <t>DAILTON OLIVEIRA CARDOSO</t>
  </si>
  <si>
    <t>RENATA FREIRE CARDOSO</t>
  </si>
  <si>
    <t>AVENIDA DOUTOR TORRES NETO, 15</t>
  </si>
  <si>
    <t>(11) 93027-6230</t>
  </si>
  <si>
    <t>ricardo10.freire@gmail.com</t>
  </si>
  <si>
    <t>FREIRE</t>
  </si>
  <si>
    <t>RODRIGO SANT ANNA RINALDI</t>
  </si>
  <si>
    <t>SP504484047</t>
  </si>
  <si>
    <t>479899838-93</t>
  </si>
  <si>
    <t>FERNANDO RINALDI</t>
  </si>
  <si>
    <t>LILIAN CRISTINA SANT'ANNA RINALDI</t>
  </si>
  <si>
    <t>RUA FIRMINO ALVES, 67</t>
  </si>
  <si>
    <t>(11) 98301-8141</t>
  </si>
  <si>
    <t>rodrigorinaldi053@gmail.com</t>
  </si>
  <si>
    <t>Conscrito reune condições para ser incorporado. faz faculdade de TI - analise de sistemas, família estruturada.</t>
  </si>
  <si>
    <t>RINALDI</t>
  </si>
  <si>
    <t>GUSTAVO DANIEL DE SOUZA SEVERINO</t>
  </si>
  <si>
    <t>SP504141703</t>
  </si>
  <si>
    <t>516014458-73</t>
  </si>
  <si>
    <t>DANIEL SEVERINO</t>
  </si>
  <si>
    <t>SILVANA RITA DE SOUZA</t>
  </si>
  <si>
    <t>TRAVESSA DAS ONDINAS 131</t>
  </si>
  <si>
    <t>(11) 95335-7683</t>
  </si>
  <si>
    <t>gutinhoseverino321@gmail.com</t>
  </si>
  <si>
    <t>Demonstrou ser de família estruturada com infância sem problemas de disciplina, aparentemente de boa índole, porém não possui nenhuma habilidade.</t>
  </si>
  <si>
    <t>DANIEL SOUZA</t>
  </si>
  <si>
    <t>JOAO VITOR DE PAULA MARTINS</t>
  </si>
  <si>
    <t xml:space="preserve"> SP385475822</t>
  </si>
  <si>
    <t>510041508-81</t>
  </si>
  <si>
    <t xml:space="preserve"> JOSE MIGUEL MARTINS</t>
  </si>
  <si>
    <t xml:space="preserve"> MARIA APARECIDA DE PAULA</t>
  </si>
  <si>
    <t>RUA ENGENHEIRO JOAO LANG, 50</t>
  </si>
  <si>
    <t>(11) 99923-9836</t>
  </si>
  <si>
    <t xml:space="preserve"> jv468695@gmail.com</t>
  </si>
  <si>
    <t>É voluntário quer servir muito e pretende seguir carreira.</t>
  </si>
  <si>
    <t>JOÃO MARTINS</t>
  </si>
  <si>
    <t>MATHEUS VIEIRA GARCIA</t>
  </si>
  <si>
    <t>SP522291430</t>
  </si>
  <si>
    <t>520132818-03</t>
  </si>
  <si>
    <t>MARCOS GARCIA</t>
  </si>
  <si>
    <t>ELISANGELA DE JESUS VIEIRA</t>
  </si>
  <si>
    <t>RUA JUSTINO NIGRO, 80</t>
  </si>
  <si>
    <t>(11) 98624-6012</t>
  </si>
  <si>
    <t>matheusvgarcia8@gmail.com</t>
  </si>
  <si>
    <t>Possui uma extrutura familiar muito consolidada, trabalha ter sua própria independência, e está na faculdade buscando sempre o conhecimento. Possui diversas habilidades na área automotiva.</t>
  </si>
  <si>
    <t>VIEIRA GARCIA</t>
  </si>
  <si>
    <t>VICTOR CESAR PINHEIRO DE AZEVEDO</t>
  </si>
  <si>
    <t>SP569925319</t>
  </si>
  <si>
    <t>483135378-76</t>
  </si>
  <si>
    <t>CESAR DE SOUZA AZEVEDO</t>
  </si>
  <si>
    <t>VANESSA PINHEIRO DE AZEVEDO</t>
  </si>
  <si>
    <t>RUA CHAGU 105</t>
  </si>
  <si>
    <t>(11) 99230-6501</t>
  </si>
  <si>
    <t>azevedovct@gmail.com</t>
  </si>
  <si>
    <t>Apto. Apresenta os atributos requeridos e é voluntário.</t>
  </si>
  <si>
    <t>CESAR PINHEIRO</t>
  </si>
  <si>
    <t>VINICIUS JOSE CARREGAL BARROS</t>
  </si>
  <si>
    <t>22582849</t>
  </si>
  <si>
    <t>404924558-21</t>
  </si>
  <si>
    <t>JORGE DE BARROS</t>
  </si>
  <si>
    <t>RANAUK CARREGAL ROCHA</t>
  </si>
  <si>
    <t>RUA TEJUPÁ, 22</t>
  </si>
  <si>
    <t>(11) 96043-5000</t>
  </si>
  <si>
    <t>vinyjcb@gmail.com</t>
  </si>
  <si>
    <t>Aparentemente sem problemas familiares e sociais, não possue envolvimento com drogas e demonstrou interesse na atividade militar.</t>
  </si>
  <si>
    <t>CARREGAL</t>
  </si>
  <si>
    <t>DERICK BOSCO MIRANDA DOS ANJOS</t>
  </si>
  <si>
    <t>SP382503272</t>
  </si>
  <si>
    <t>383327518-96</t>
  </si>
  <si>
    <t>JOAO BOSCO DOS ANJOS</t>
  </si>
  <si>
    <t>ROQUELINA MIRANDA DOS ANJOS</t>
  </si>
  <si>
    <t>RUA POTOMAC, 66</t>
  </si>
  <si>
    <t>(11) 98309-3249</t>
  </si>
  <si>
    <t>derick.bosco@hotmail.com</t>
  </si>
  <si>
    <t>Voluntário e preenche os requisitos.</t>
  </si>
  <si>
    <t>BOSCO</t>
  </si>
  <si>
    <t>DIEGO ALVES LEANDRO SANTANA</t>
  </si>
  <si>
    <t>SP570109462</t>
  </si>
  <si>
    <t>462888198-75</t>
  </si>
  <si>
    <t>MACIEL LEANDRO SANT ANA</t>
  </si>
  <si>
    <t>CASSIA ALVES SANT ANA</t>
  </si>
  <si>
    <t>RUA CASIMIRO DE ABREU, 363</t>
  </si>
  <si>
    <t>(11) 95951-5509</t>
  </si>
  <si>
    <t>diegoalves1.027@gmail.com</t>
  </si>
  <si>
    <t>Conscrito estava frequentando faculdade, possui bons antecedentes pessoais, e boas referências em sua residência, tendo em vista que seu pai é da polícia militar há mais de 20 anos.</t>
  </si>
  <si>
    <t>SANTANA</t>
  </si>
  <si>
    <t>Carimbo de data/hora</t>
  </si>
  <si>
    <t>Logradouro</t>
  </si>
  <si>
    <t>Número</t>
  </si>
  <si>
    <t>Complemento</t>
  </si>
  <si>
    <t>Bairro</t>
  </si>
  <si>
    <t>Pontos de referência</t>
  </si>
  <si>
    <t>Zona SP</t>
  </si>
  <si>
    <t>Tel Recados</t>
  </si>
  <si>
    <t>Facebook</t>
  </si>
  <si>
    <t>Instagram</t>
  </si>
  <si>
    <t>Twitter</t>
  </si>
  <si>
    <t>Tipo Sanguíneo e Fator Rh</t>
  </si>
  <si>
    <t>Título Eleitoral</t>
  </si>
  <si>
    <t>Zona</t>
  </si>
  <si>
    <t>Seção</t>
  </si>
  <si>
    <t>Categoria da CNH</t>
  </si>
  <si>
    <t>Escolaridade</t>
  </si>
  <si>
    <t>Habilidades profissionais</t>
  </si>
  <si>
    <t>Firma que trabalha</t>
  </si>
  <si>
    <t>Função</t>
  </si>
  <si>
    <t>Estabelecimento de ensino que estuda</t>
  </si>
  <si>
    <t>Esportes que pratica</t>
  </si>
  <si>
    <t>Clubes que frequenta</t>
  </si>
  <si>
    <t>Instrumentos musicais que toca</t>
  </si>
  <si>
    <t>Drogas que experimentou</t>
  </si>
  <si>
    <t>Drogas que consome</t>
  </si>
  <si>
    <t>Jogos de azar</t>
  </si>
  <si>
    <t>Movimentos sociais</t>
  </si>
  <si>
    <t>Movimentos políticos</t>
  </si>
  <si>
    <t>Movimentos religiosos</t>
  </si>
  <si>
    <t>Já se envolveu com algum Órgãos de Segurança Pública, mesmo como testemunha?</t>
  </si>
  <si>
    <t>OSP - Justificativa</t>
  </si>
  <si>
    <t>Ações na justiça</t>
  </si>
  <si>
    <t>Ações na justiça - Justificativa</t>
  </si>
  <si>
    <t>Tipo de residência</t>
  </si>
  <si>
    <t>Com quem reside</t>
  </si>
  <si>
    <t>Justificativa em caso de não residir com os pais</t>
  </si>
  <si>
    <t>Parentesco 1</t>
  </si>
  <si>
    <t>Parentesco 1 - Nome</t>
  </si>
  <si>
    <t>Parentesco 1 - idade</t>
  </si>
  <si>
    <t>Parentesco 1 - Estuda</t>
  </si>
  <si>
    <t>Parentesco 1 - Trabalha</t>
  </si>
  <si>
    <t>Parentesco 2</t>
  </si>
  <si>
    <t>Parentesco 2 - Nome</t>
  </si>
  <si>
    <t>Parentesco 2 - idade</t>
  </si>
  <si>
    <t>Parentesco 2 - Estuda</t>
  </si>
  <si>
    <t>Parentesco 2 - Trabalha</t>
  </si>
  <si>
    <t>Parentesco 3</t>
  </si>
  <si>
    <t>Parentesco 3 - Nome</t>
  </si>
  <si>
    <t>Parentesco 3 - idade</t>
  </si>
  <si>
    <t>Parentesco 3 - Estuda</t>
  </si>
  <si>
    <t>Parentesco 3 - Trabalha</t>
  </si>
  <si>
    <t>Parentesco 4</t>
  </si>
  <si>
    <t>Parentesco 4 - Nome</t>
  </si>
  <si>
    <t>Parentesco 4 - idade</t>
  </si>
  <si>
    <t>Parentesco 4 - Estuda</t>
  </si>
  <si>
    <t>Parentesco 4 - Trabalha</t>
  </si>
  <si>
    <t>Parentesco 5</t>
  </si>
  <si>
    <t>Parentesco 5 - Nome</t>
  </si>
  <si>
    <t>Parentesco 5 - idade</t>
  </si>
  <si>
    <t>Parentesco 5 - Estuda</t>
  </si>
  <si>
    <t>Parentesco 5 - Trabalha</t>
  </si>
  <si>
    <t>Parentesco 6</t>
  </si>
  <si>
    <t>Parentesco 6 - Profissão</t>
  </si>
  <si>
    <t>Parentesco 6 - Salario</t>
  </si>
  <si>
    <t>Parentesco 7</t>
  </si>
  <si>
    <t>Parentesco 7 - Profissão</t>
  </si>
  <si>
    <t>Parentesco 7 - Salario</t>
  </si>
  <si>
    <t>Parentesco 8</t>
  </si>
  <si>
    <t>Parentesco 8 - Profissão</t>
  </si>
  <si>
    <t>Parentesco 8 - Salario</t>
  </si>
  <si>
    <t>Parentesco 9</t>
  </si>
  <si>
    <t>Parentesco 9 - Profissão</t>
  </si>
  <si>
    <t>Parentesco 9 - Salario</t>
  </si>
  <si>
    <t>Valor da contribuição do conscrito</t>
  </si>
  <si>
    <t>É arrimo de família?</t>
  </si>
  <si>
    <t>É arrimo de família - Justificativa</t>
  </si>
  <si>
    <t>Ajuda no sustento de alguma pessoa?</t>
  </si>
  <si>
    <t>Ajuda no sustento - Justificativa</t>
  </si>
  <si>
    <t>Relacionamento familiar</t>
  </si>
  <si>
    <t>Relacionamento familiar - Justificativa</t>
  </si>
  <si>
    <t>Relacionamento social</t>
  </si>
  <si>
    <t>Relacionamento social - Justificativa</t>
  </si>
  <si>
    <t>Alguém da família já serviu ou trabalhou em Órgão de Segurança Pública? (Exército, Marinha, Força Aérea, Polícia Militar, Polícia Civil, GCM)</t>
  </si>
  <si>
    <t>Sv Mil Familia - Justificativa</t>
  </si>
  <si>
    <t>Já utilizou algum tipo de armamento?</t>
  </si>
  <si>
    <t>Armamento - Justificativa</t>
  </si>
  <si>
    <t>Nas proximidades do local onde reside, existem problemas relacionados à tráfico ou consumo de drogas?</t>
  </si>
  <si>
    <t>Tráfico, uso de drogas - Justificativa</t>
  </si>
  <si>
    <t>Alguém da família tem ou já teve problemas com Órgão de Segurança Pública, mesmo na condição de testemunha?</t>
  </si>
  <si>
    <t>OSP Familia - Justificativa</t>
  </si>
  <si>
    <t>Deseja servir voluntariamente?</t>
  </si>
  <si>
    <t>Justifique sua resposta da pergunta anterior</t>
  </si>
  <si>
    <t>Data da entrevista</t>
  </si>
  <si>
    <t>Entrevistador</t>
  </si>
  <si>
    <t>Linha</t>
  </si>
  <si>
    <t>Av.Barro Branco</t>
  </si>
  <si>
    <t>casa</t>
  </si>
  <si>
    <t>Vila do encontro</t>
  </si>
  <si>
    <t>Batalhão do Bombeiro e metrô Jabaquara</t>
  </si>
  <si>
    <t>Sul</t>
  </si>
  <si>
    <t>04324-090</t>
  </si>
  <si>
    <t>(11) 949334698 pai</t>
  </si>
  <si>
    <t>Natan Pires</t>
  </si>
  <si>
    <t>@natanalencar</t>
  </si>
  <si>
    <t>Tenho dúvida</t>
  </si>
  <si>
    <t>Não possuo</t>
  </si>
  <si>
    <t>Superior incompleto</t>
  </si>
  <si>
    <t>pacote office, radiologia</t>
  </si>
  <si>
    <t>Acrilon luvas e artefatos de segurança</t>
  </si>
  <si>
    <t xml:space="preserve">Controle de qualidade </t>
  </si>
  <si>
    <t>Ftebol e musculação</t>
  </si>
  <si>
    <t>Bebida alcoólica</t>
  </si>
  <si>
    <t xml:space="preserve">Nenhum </t>
  </si>
  <si>
    <t>Casa alugada</t>
  </si>
  <si>
    <t>Pai, Mãe, Irmãos</t>
  </si>
  <si>
    <t>pai</t>
  </si>
  <si>
    <t>Adriano Alencar Pires</t>
  </si>
  <si>
    <t>mãe</t>
  </si>
  <si>
    <t>Eleni Cassiano dos Santos</t>
  </si>
  <si>
    <t>irmã</t>
  </si>
  <si>
    <t>Adriane Alencar Pires</t>
  </si>
  <si>
    <t>Receba Cassiano de Alencar Piris</t>
  </si>
  <si>
    <t>Pai</t>
  </si>
  <si>
    <t>porteiro</t>
  </si>
  <si>
    <t>professora</t>
  </si>
  <si>
    <t>administradora</t>
  </si>
  <si>
    <t>Irma</t>
  </si>
  <si>
    <t>rh</t>
  </si>
  <si>
    <t>não</t>
  </si>
  <si>
    <t>Primos ja foram PM e Cb Eb. Tio da Rota (falecido).</t>
  </si>
  <si>
    <t xml:space="preserve">Em busca de novos aprendizados </t>
  </si>
  <si>
    <t>São Paulo-SP, 14 de julho de 2021.</t>
  </si>
  <si>
    <t>3º Sgt EDIMILSON ANTÔNIO DA SILVA JUNIOR</t>
  </si>
  <si>
    <t>Tibúrcio de Assis Ribeiro</t>
  </si>
  <si>
    <t>Jardim Sao Jorge</t>
  </si>
  <si>
    <t>Casa</t>
  </si>
  <si>
    <t>05568-070</t>
  </si>
  <si>
    <t>Matheus Castro</t>
  </si>
  <si>
    <t>Médio completo</t>
  </si>
  <si>
    <t>Técnico em Eletrônica</t>
  </si>
  <si>
    <t>Leimar Musical</t>
  </si>
  <si>
    <t>Ajudante Geral</t>
  </si>
  <si>
    <t>Violino</t>
  </si>
  <si>
    <t>Mãe, Irmãos</t>
  </si>
  <si>
    <t>Acredito que será uma experiência para vida, aprendendo a servir nosso país com dedicação, e aprendendo a lidar com situações extremas</t>
  </si>
  <si>
    <t>3º Sgt SALMOM GOMES SILVA DE MELO</t>
  </si>
  <si>
    <t xml:space="preserve">Rua José mielle </t>
  </si>
  <si>
    <t xml:space="preserve">Jardim Trianon </t>
  </si>
  <si>
    <t>Hospital Antena</t>
  </si>
  <si>
    <t>Região Metropolitana</t>
  </si>
  <si>
    <t>06783-240</t>
  </si>
  <si>
    <t>(11) 98319-6025</t>
  </si>
  <si>
    <t>Guilherme Lima</t>
  </si>
  <si>
    <t>@Gui.lima09</t>
  </si>
  <si>
    <t>A+</t>
  </si>
  <si>
    <t>0146</t>
  </si>
  <si>
    <t>Futebol</t>
  </si>
  <si>
    <t>Favela Unitd</t>
  </si>
  <si>
    <t>Casa própria</t>
  </si>
  <si>
    <t>Mãe</t>
  </si>
  <si>
    <t>Auricely Santos de Azevedo</t>
  </si>
  <si>
    <t>Aleksandro Santos de Lima</t>
  </si>
  <si>
    <t>Elisa Maria de Santos Lima</t>
  </si>
  <si>
    <t>Diarista</t>
  </si>
  <si>
    <t>Chefe de manutenção em escola</t>
  </si>
  <si>
    <t>Primo é sargento temporário do 2º BPE</t>
  </si>
  <si>
    <t>Sempre quis servir o Exército brasileiro, e futuramente seguir como carreira.</t>
  </si>
  <si>
    <t>São Paulo-SP, 06 de julho de 2021.</t>
  </si>
  <si>
    <t>2º Sgt WILLIAN PEREIRA BRAGANÇA MELLO</t>
  </si>
  <si>
    <t>RUA CAIÇARA DO RIO DO VENTO</t>
  </si>
  <si>
    <t>AP10</t>
  </si>
  <si>
    <t>VILA SISPER</t>
  </si>
  <si>
    <t>PRÓXIMO A ROTATÓRIA E MINE SHOPPING</t>
  </si>
  <si>
    <t>Leste</t>
  </si>
  <si>
    <t>Matheus Mastria</t>
  </si>
  <si>
    <t>@matheusmastria</t>
  </si>
  <si>
    <t>B+</t>
  </si>
  <si>
    <t>cursando superior</t>
  </si>
  <si>
    <t>pacote office, adm, já trabalhou com funilaria e lava rápido</t>
  </si>
  <si>
    <t xml:space="preserve">Lojas americanas </t>
  </si>
  <si>
    <t xml:space="preserve">Supervisor de vendas </t>
  </si>
  <si>
    <t xml:space="preserve">UNINOVE </t>
  </si>
  <si>
    <t>Futebol, Atletismo, Handebol</t>
  </si>
  <si>
    <t>MAE</t>
  </si>
  <si>
    <t>PAI</t>
  </si>
  <si>
    <t>LARCIO MENEZES</t>
  </si>
  <si>
    <t>IRMAO</t>
  </si>
  <si>
    <t>LAERCIO MASTRIA DE MENEZES</t>
  </si>
  <si>
    <t>IRMÃ</t>
  </si>
  <si>
    <t>ALINE MASTRIA DE MENEZES</t>
  </si>
  <si>
    <t>AMANDA MASTRIA DE MENEZES</t>
  </si>
  <si>
    <t>FUNILEIRO</t>
  </si>
  <si>
    <t>IRMÃO</t>
  </si>
  <si>
    <t>UBER</t>
  </si>
  <si>
    <t>CUIDADORA</t>
  </si>
  <si>
    <t>NÃO</t>
  </si>
  <si>
    <t xml:space="preserve">Sempre quis servir, um sonho desde pequeno, admiro muito a profissão e tenho muita vontade de entrar e poder ter a oportunidade de crescer.  </t>
  </si>
  <si>
    <t>São Paulo-SP, 13 de julho de 2021.</t>
  </si>
  <si>
    <t>1° Ten GABRIEL BRASIL FRAXE</t>
  </si>
  <si>
    <t xml:space="preserve">Rua ascenso ribeiro </t>
  </si>
  <si>
    <t>Casa 2</t>
  </si>
  <si>
    <t>Vila morse</t>
  </si>
  <si>
    <t>34 DP</t>
  </si>
  <si>
    <t>05624-020</t>
  </si>
  <si>
    <t>(11) 98087-5771</t>
  </si>
  <si>
    <t>Samuel sousa</t>
  </si>
  <si>
    <t>@Skk_sousa</t>
  </si>
  <si>
    <t>Mecânico Automotivo, Mecânico de Motocicletas, Pintor Automotivo, Lanterneiro</t>
  </si>
  <si>
    <t xml:space="preserve">Super máquina </t>
  </si>
  <si>
    <t>Pintor automotivo</t>
  </si>
  <si>
    <t>Vôlei, Capoeira, Ciclismo</t>
  </si>
  <si>
    <t>PAI, MADRASTA, AVÓ E IRMÃOS</t>
  </si>
  <si>
    <t>JOÃO SILVA SANTANA</t>
  </si>
  <si>
    <t>MADRASTA</t>
  </si>
  <si>
    <t>ROSEMEIRE RODRIGUES HONÓRIO</t>
  </si>
  <si>
    <t>AVÓ</t>
  </si>
  <si>
    <t>MARIA RODRIGUES</t>
  </si>
  <si>
    <t xml:space="preserve">IRMÃ </t>
  </si>
  <si>
    <t>LAYNA DE SOUZA SANTANA</t>
  </si>
  <si>
    <t>IRMÃOS</t>
  </si>
  <si>
    <t>KAREN RODRIGUES HONÓRIO / KAYKE RODRIGUES HONÓRIO</t>
  </si>
  <si>
    <t>PEDREIRO</t>
  </si>
  <si>
    <t>COZINHEIRA</t>
  </si>
  <si>
    <t>.38 E .40</t>
  </si>
  <si>
    <t>Pra mudar meu futuro</t>
  </si>
  <si>
    <t>São Paulo-SP, 15 de julho de 2021.</t>
  </si>
  <si>
    <t>3º Sgt JOÃO GUILHERME PAVAN DE ALMEIDA</t>
  </si>
  <si>
    <t>R. Tibiriça</t>
  </si>
  <si>
    <t>Sobrado, casa de cima</t>
  </si>
  <si>
    <t>Brooklin</t>
  </si>
  <si>
    <t>Proximo o Extra Aeroporto</t>
  </si>
  <si>
    <t>04622-011</t>
  </si>
  <si>
    <t>@ruann_lemos</t>
  </si>
  <si>
    <t>0291</t>
  </si>
  <si>
    <t>FMU SANTO AMARO</t>
  </si>
  <si>
    <t>JOSE GILVADO DE LEMOS</t>
  </si>
  <si>
    <t>Irmão</t>
  </si>
  <si>
    <t>DANIEL BATISTA LEMOS</t>
  </si>
  <si>
    <t>Aposentado</t>
  </si>
  <si>
    <t>Irmao</t>
  </si>
  <si>
    <t>Estagiário</t>
  </si>
  <si>
    <t>É um sonho meu e do meu pai, servi a pátria.</t>
  </si>
  <si>
    <t>Rua Eduardo sanches</t>
  </si>
  <si>
    <t>Ap11b</t>
  </si>
  <si>
    <t xml:space="preserve">Cidade tiradentes </t>
  </si>
  <si>
    <t xml:space="preserve">Hospital tiradentes </t>
  </si>
  <si>
    <t>08475-180</t>
  </si>
  <si>
    <t>(11) 2558-7556</t>
  </si>
  <si>
    <t>Lucas araujo</t>
  </si>
  <si>
    <t>@lukas.lk011</t>
  </si>
  <si>
    <t xml:space="preserve">Ajudante de vidraceiro </t>
  </si>
  <si>
    <t xml:space="preserve">Vidraçaria </t>
  </si>
  <si>
    <t xml:space="preserve">Ajudante </t>
  </si>
  <si>
    <t>LUIS ANTONIO DA SILVA</t>
  </si>
  <si>
    <t>HOSALI DE ARAUJO PEREIRA DA SILVA</t>
  </si>
  <si>
    <t>Irmã</t>
  </si>
  <si>
    <t>LETICIA DE ARAUJO E SILVA</t>
  </si>
  <si>
    <t>MARIA VITORIA ARAUJO E SILVA</t>
  </si>
  <si>
    <t>VIDRACEIRO</t>
  </si>
  <si>
    <t>Irmã Leticia, possui paralesia cerebral.</t>
  </si>
  <si>
    <t>Muito bom</t>
  </si>
  <si>
    <t>final da rua.</t>
  </si>
  <si>
    <t xml:space="preserve">Eu quero servir pra dar orgulho pra minha mãe ,mas tenho uma irma especial que precisa de minha ajuda </t>
  </si>
  <si>
    <t>São Paulo-SP, 12 de julho de 2021.</t>
  </si>
  <si>
    <t>2º Sgt DANILO DE FARIA REIS</t>
  </si>
  <si>
    <t>Rua dos Dourados</t>
  </si>
  <si>
    <t>Santa Terezinha</t>
  </si>
  <si>
    <t>prox. diadema. prox. escola Dr Aires Neto</t>
  </si>
  <si>
    <t>04474-160</t>
  </si>
  <si>
    <t>11967033541 (namorada - Sara)</t>
  </si>
  <si>
    <t>Brian Ferreira Dias</t>
  </si>
  <si>
    <t>Vendedor</t>
  </si>
  <si>
    <t>Escola Estadual Doutor Ayres Neto</t>
  </si>
  <si>
    <t>denise gomes dias</t>
  </si>
  <si>
    <t>irmão</t>
  </si>
  <si>
    <t>cristóvão dias filho</t>
  </si>
  <si>
    <t>uber + aposentadoria do pai falecido</t>
  </si>
  <si>
    <t>Eu gosto da PE.</t>
  </si>
  <si>
    <t>São Paulo-SP, 30 de junho de 2021.</t>
  </si>
  <si>
    <t>3º Sgt LEANDRO AUGUSTO DO NASCIMENTO</t>
  </si>
  <si>
    <t xml:space="preserve">Vigário albernaz </t>
  </si>
  <si>
    <t xml:space="preserve">Igreja </t>
  </si>
  <si>
    <t xml:space="preserve">Vila gumercindo </t>
  </si>
  <si>
    <t xml:space="preserve">Próximo ao mercado hirota </t>
  </si>
  <si>
    <t>Gustavo Fagundes</t>
  </si>
  <si>
    <t xml:space="preserve">@fagundes.barber </t>
  </si>
  <si>
    <t xml:space="preserve">Barbeiro </t>
  </si>
  <si>
    <t xml:space="preserve"> Barbearia Seth </t>
  </si>
  <si>
    <t>Sim. Frequenta a Assembléia de Deus</t>
  </si>
  <si>
    <t>MÃE</t>
  </si>
  <si>
    <t>ROBERTA SANTOS FAGUNDES</t>
  </si>
  <si>
    <t>GUILHERME DOS SANOS FAGUNDES VIEIRA</t>
  </si>
  <si>
    <t>REBECA DOS SANTOS FAGUNDES VIEIRA</t>
  </si>
  <si>
    <t>Porteiro</t>
  </si>
  <si>
    <t>CONSCRITO</t>
  </si>
  <si>
    <t>Barbeiro</t>
  </si>
  <si>
    <t>Família</t>
  </si>
  <si>
    <t xml:space="preserve">Possuo um trabalho e ajudo no sustento da minha família </t>
  </si>
  <si>
    <t>3º Sgt THIAGO FREIRE DA SILVA DAUDT</t>
  </si>
  <si>
    <t>Avenida Nossa Senhora do Sabará</t>
  </si>
  <si>
    <t>Bloco 11 apartamento 54</t>
  </si>
  <si>
    <t>Vila Emir</t>
  </si>
  <si>
    <t>Ricoy</t>
  </si>
  <si>
    <t>04447-011</t>
  </si>
  <si>
    <t>Gabriel Peixoto</t>
  </si>
  <si>
    <t>@biel.peixoto</t>
  </si>
  <si>
    <t>O+</t>
  </si>
  <si>
    <t>Mecânico Automotivo, Pacote Office, Ferramentas Google</t>
  </si>
  <si>
    <t>JÁ TRABALHOU EM MECÂNICA DIESEL</t>
  </si>
  <si>
    <t>AUX MEC</t>
  </si>
  <si>
    <t>Futebol, Natação, Tênis de mesa, Boxe, Capoeira, Artes marciais mistas</t>
  </si>
  <si>
    <t>Maconha</t>
  </si>
  <si>
    <t>PAIS SEPARADOS</t>
  </si>
  <si>
    <t>JAQUELINE</t>
  </si>
  <si>
    <t>PEDAGOGA</t>
  </si>
  <si>
    <t>GLOCK - ESTANDE DE TIRO</t>
  </si>
  <si>
    <t>FAVELA JARDIM UBIRAJARA</t>
  </si>
  <si>
    <t>TIO PRESO POR CAÇA NÍQUEL</t>
  </si>
  <si>
    <t>Sempre sonhei em servir e ser militar, concluir os cursos mais complexos e seguir carreira.</t>
  </si>
  <si>
    <t/>
  </si>
  <si>
    <t>Rua Marina Crespi</t>
  </si>
  <si>
    <t>Mooca</t>
  </si>
  <si>
    <t>A</t>
  </si>
  <si>
    <t>Cozinheiro</t>
  </si>
  <si>
    <t>Doutor resolve - Reparos e Reformas</t>
  </si>
  <si>
    <t>Auxiliar administrativo</t>
  </si>
  <si>
    <t>Universidade FMU - Liberdade</t>
  </si>
  <si>
    <t>Academia, aeróbicos</t>
  </si>
  <si>
    <t>Pai, irmãos</t>
  </si>
  <si>
    <t>Tenho dúvida se precisa largar a faculdade para isso.</t>
  </si>
  <si>
    <t>Rua Bofete</t>
  </si>
  <si>
    <t>Grajaú</t>
  </si>
  <si>
    <t>próximo ao posto de saúde</t>
  </si>
  <si>
    <t>04840-070</t>
  </si>
  <si>
    <t>Pacote Office</t>
  </si>
  <si>
    <t>Pai, Mãe</t>
  </si>
  <si>
    <t>Fábio Henrique</t>
  </si>
  <si>
    <t xml:space="preserve">Elizama Pena </t>
  </si>
  <si>
    <t xml:space="preserve">Pai </t>
  </si>
  <si>
    <t>Vendedor de Piscina</t>
  </si>
  <si>
    <t>Precisa da renda, tem interesse em conhecer o serviço militar</t>
  </si>
  <si>
    <t>São Paulo-SP, 05 de julho de 2021.</t>
  </si>
  <si>
    <t>3º Sgt EDSON DA SILVA CARDOSO</t>
  </si>
  <si>
    <t>Avenida João Batista Di Vitoriano</t>
  </si>
  <si>
    <t xml:space="preserve">Jardim consórcio </t>
  </si>
  <si>
    <t xml:space="preserve">Próximo ao shopping Interlagos </t>
  </si>
  <si>
    <t>04436-000</t>
  </si>
  <si>
    <t>(11)5612-2475</t>
  </si>
  <si>
    <t xml:space="preserve">Guilherme Marcondes </t>
  </si>
  <si>
    <t>@Gui_ms21</t>
  </si>
  <si>
    <t>0118</t>
  </si>
  <si>
    <t xml:space="preserve">Não trabalho </t>
  </si>
  <si>
    <t xml:space="preserve">Sem função </t>
  </si>
  <si>
    <t xml:space="preserve">Universidade Ibirapuera </t>
  </si>
  <si>
    <t>Futebol, Vôlei, Basquete, Handebol</t>
  </si>
  <si>
    <t xml:space="preserve">Não frequento clubes </t>
  </si>
  <si>
    <t>Não toco instrumentos</t>
  </si>
  <si>
    <t>Bebida alcoólica, Narguile e cigarro</t>
  </si>
  <si>
    <t>SIDNEY CARLOS DOS SANTOS</t>
  </si>
  <si>
    <t>BRUNA MARCONDES SANTOS</t>
  </si>
  <si>
    <t>GIULIA MARCONDES SANTOS</t>
  </si>
  <si>
    <t xml:space="preserve">MÃE </t>
  </si>
  <si>
    <t>PROFESSORA</t>
  </si>
  <si>
    <t>CB BOMBEIRO MILITAR</t>
  </si>
  <si>
    <t>Pai, CB BOMBEIRO MILITAR</t>
  </si>
  <si>
    <t>AV. IErvante</t>
  </si>
  <si>
    <t xml:space="preserve">Tenho imensa vontade de servir o exército brasileiro, desde criança tenho este sonho, fui criado em uma família Militar, e espero servir o meu país </t>
  </si>
  <si>
    <t>3° Sgt DEYVID DENER ISMAEL DA CRUZ</t>
  </si>
  <si>
    <t>R. Festa Chinesa</t>
  </si>
  <si>
    <t>Bloco C apt 44</t>
  </si>
  <si>
    <t>Coabe Jucelino</t>
  </si>
  <si>
    <t>Guarda Civil</t>
  </si>
  <si>
    <t>08465-140</t>
  </si>
  <si>
    <t>(11) 2555-7943</t>
  </si>
  <si>
    <t>Curso Básico de Informática (Office Completo, photoshop)</t>
  </si>
  <si>
    <t>Prado Chaves</t>
  </si>
  <si>
    <t>Aux Administrativo</t>
  </si>
  <si>
    <t>José Verner da Cruz Santos</t>
  </si>
  <si>
    <t>Não sabe</t>
  </si>
  <si>
    <t>Raimunda Pereira Costa</t>
  </si>
  <si>
    <t>Lívian Costa Santos</t>
  </si>
  <si>
    <t>Ajudante de Pedreiro</t>
  </si>
  <si>
    <t>Aposentada</t>
  </si>
  <si>
    <t>Conscrito</t>
  </si>
  <si>
    <t>Auxiliar Administrativo</t>
  </si>
  <si>
    <t>Expereiência</t>
  </si>
  <si>
    <t>3º Sgt LEONARDO MEDEIROS FOLETTO</t>
  </si>
  <si>
    <t>Rua cruz do espírito santo</t>
  </si>
  <si>
    <t>Bloco 7 apartamento 4</t>
  </si>
  <si>
    <t>Guaianases</t>
  </si>
  <si>
    <t>Perto dos Correios</t>
  </si>
  <si>
    <t>08440-470</t>
  </si>
  <si>
    <t>11-956915303</t>
  </si>
  <si>
    <t>Rayan santos</t>
  </si>
  <si>
    <t>@slimray_ofc</t>
  </si>
  <si>
    <t>Musculação</t>
  </si>
  <si>
    <t>JOSE CARLOSSANTOS DA SILVA</t>
  </si>
  <si>
    <t>MARIA ALDENI FERNANDES DA SILVA</t>
  </si>
  <si>
    <t>SEGURANÇA</t>
  </si>
  <si>
    <t>AUX ENFERMAGEM</t>
  </si>
  <si>
    <t>PAI, Soldado EB. O  pai saiu da PM não sabe dizer o motivo</t>
  </si>
  <si>
    <t>Sou voluntário porque dês de pequeno tenhobo sonho de ser militar</t>
  </si>
  <si>
    <t>Antônio Martins nabarrete</t>
  </si>
  <si>
    <t>Vila ema</t>
  </si>
  <si>
    <t xml:space="preserve">Proximo ao supermercado joanim </t>
  </si>
  <si>
    <t>03279-175</t>
  </si>
  <si>
    <t>(110 2213-7504</t>
  </si>
  <si>
    <t xml:space="preserve">Otavio romu </t>
  </si>
  <si>
    <t>@Otavio_romu</t>
  </si>
  <si>
    <t>Não possui</t>
  </si>
  <si>
    <t>Superior Incompleto</t>
  </si>
  <si>
    <t xml:space="preserve">Cozinheiro, Garçon, Auxiliar de produção </t>
  </si>
  <si>
    <t>Vigor</t>
  </si>
  <si>
    <t>Auxiliar de produção</t>
  </si>
  <si>
    <t>Uninove vergueiro</t>
  </si>
  <si>
    <t>Skate</t>
  </si>
  <si>
    <t>violão, ukelele</t>
  </si>
  <si>
    <t>Pai, Mãe, Irmãos, Avó</t>
  </si>
  <si>
    <t>Avó</t>
  </si>
  <si>
    <t>ISABEL GONÇALVES DE ARAÚJO</t>
  </si>
  <si>
    <t>ARTHUR ROMUALDO DE ARAÚJO</t>
  </si>
  <si>
    <t>ISADORA ROMUALDO DOS SANTOS</t>
  </si>
  <si>
    <t>Motoboy</t>
  </si>
  <si>
    <t>Nao acho interessante a carreira militar e já estou cursando faculdade.</t>
  </si>
  <si>
    <t xml:space="preserve">Rua serra dos pirineus </t>
  </si>
  <si>
    <t>Parque reid</t>
  </si>
  <si>
    <t>Dolly</t>
  </si>
  <si>
    <t>09930-640</t>
  </si>
  <si>
    <t>(11) 95870-8622 pai</t>
  </si>
  <si>
    <t>@brenochausse</t>
  </si>
  <si>
    <t>0262</t>
  </si>
  <si>
    <t>B</t>
  </si>
  <si>
    <t xml:space="preserve">Preparador de peças automotiva </t>
  </si>
  <si>
    <t xml:space="preserve">Fastplas </t>
  </si>
  <si>
    <t>preparador de pecas plásticas</t>
  </si>
  <si>
    <t>jiu-jitsu faixa azul</t>
  </si>
  <si>
    <t xml:space="preserve">Team nakahama </t>
  </si>
  <si>
    <t>evangélico - Igreja Videira no centro de Diadema</t>
  </si>
  <si>
    <t>MARIA ANTÔNICA CARDODO CHAUSSE</t>
  </si>
  <si>
    <t>EDUARDO CHAUSSE ALVES</t>
  </si>
  <si>
    <t>PORTEIRO</t>
  </si>
  <si>
    <t>DIARISTA</t>
  </si>
  <si>
    <t xml:space="preserve">Adquirir responsabilidade e disciplina </t>
  </si>
  <si>
    <t>Rua Giuseppe Arcimboldo</t>
  </si>
  <si>
    <t>Fundos</t>
  </si>
  <si>
    <t>Vila livieiro</t>
  </si>
  <si>
    <t>04185-000</t>
  </si>
  <si>
    <t>AB-</t>
  </si>
  <si>
    <t>Desenhista</t>
  </si>
  <si>
    <t>Atletismo, Musculação</t>
  </si>
  <si>
    <t>Cristão</t>
  </si>
  <si>
    <t>Mãe, Irmãos, Padrasto</t>
  </si>
  <si>
    <t>PADRASTO</t>
  </si>
  <si>
    <t>SERGIO DE AQUINO</t>
  </si>
  <si>
    <t>IGOR AGRADANO</t>
  </si>
  <si>
    <t>HUGO AGRADANO</t>
  </si>
  <si>
    <t>HENRIQUE AGRADANO</t>
  </si>
  <si>
    <t>ELETRECISTA</t>
  </si>
  <si>
    <t>TRÁFICO E USO DE DROGAS</t>
  </si>
  <si>
    <t>Pai biológico. Uso de Drogas</t>
  </si>
  <si>
    <t>Preciso amadurecer e aprender a a ter responsabilidades, quero servir para crescer, pois tenho vontade disso.</t>
  </si>
  <si>
    <t xml:space="preserve">R. Belmiro Braga </t>
  </si>
  <si>
    <t>Casa 2º andar</t>
  </si>
  <si>
    <t xml:space="preserve">Pinheiros </t>
  </si>
  <si>
    <t xml:space="preserve">Loja Em Baixo </t>
  </si>
  <si>
    <t>05432-020</t>
  </si>
  <si>
    <t>UNIP</t>
  </si>
  <si>
    <t>Pai, Mãe, Irmãos, Avô, Avó</t>
  </si>
  <si>
    <t>SUELLY DECURSSI SOAREZ</t>
  </si>
  <si>
    <t>HENRIQUE SOARES MARQUEZ</t>
  </si>
  <si>
    <t>AVÔ</t>
  </si>
  <si>
    <t>FERNANDO MARQUES</t>
  </si>
  <si>
    <t>EDNA BASSÓRIA</t>
  </si>
  <si>
    <t>LOJISTA</t>
  </si>
  <si>
    <t>Pai. EB</t>
  </si>
  <si>
    <t xml:space="preserve">Prioridade aos Estudos </t>
  </si>
  <si>
    <t>Rua thomas mazzoni</t>
  </si>
  <si>
    <t xml:space="preserve">Casa amarela </t>
  </si>
  <si>
    <t>Jardim samara</t>
  </si>
  <si>
    <t xml:space="preserve">Perto do Martinica </t>
  </si>
  <si>
    <t>05759-000</t>
  </si>
  <si>
    <t>Femprego29@gmail.com</t>
  </si>
  <si>
    <t>@f3lp1s</t>
  </si>
  <si>
    <t xml:space="preserve">Bateria, saxophone e violão </t>
  </si>
  <si>
    <t>Evangelico</t>
  </si>
  <si>
    <t xml:space="preserve">Renato Donizete da Silva </t>
  </si>
  <si>
    <t>Geilma Alves de Almeida Silva</t>
  </si>
  <si>
    <t>Nathã Leonardo Almeida da Silva</t>
  </si>
  <si>
    <t>Pedro Henrique Almeida da Silva</t>
  </si>
  <si>
    <t>Transportadora</t>
  </si>
  <si>
    <t>Contadora</t>
  </si>
  <si>
    <t>Não Informado</t>
  </si>
  <si>
    <t xml:space="preserve">Polícia Militar do Rio Grande do Norte </t>
  </si>
  <si>
    <t>Distância média de 500m</t>
  </si>
  <si>
    <t xml:space="preserve">Para ter um aprendizado à mais </t>
  </si>
  <si>
    <t>rua pilbarra</t>
  </si>
  <si>
    <t xml:space="preserve">Parque japão </t>
  </si>
  <si>
    <t>antena da record</t>
  </si>
  <si>
    <t>04917-180</t>
  </si>
  <si>
    <t>11 966587563</t>
  </si>
  <si>
    <t>Marcos Gomes</t>
  </si>
  <si>
    <t>@gomes.sz</t>
  </si>
  <si>
    <t xml:space="preserve">Syrius Assistência Técnica </t>
  </si>
  <si>
    <t xml:space="preserve">expedição </t>
  </si>
  <si>
    <t xml:space="preserve">Martinho Alves </t>
  </si>
  <si>
    <t>Domingas Gomes</t>
  </si>
  <si>
    <t>Expedição</t>
  </si>
  <si>
    <t>Montador de produtos hospitalares</t>
  </si>
  <si>
    <t>Copeira</t>
  </si>
  <si>
    <t>existe venda de drogas de forma não ostensiva</t>
  </si>
  <si>
    <t>Estou terminado a faculdade e subindo de cargo no meu trabalho.</t>
  </si>
  <si>
    <t>Avenida dos funcionários públicos</t>
  </si>
  <si>
    <t>Casa 08</t>
  </si>
  <si>
    <t>Jardim Vera Cruz</t>
  </si>
  <si>
    <t>E E prof Amélia Kerr Nogueira</t>
  </si>
  <si>
    <t>04962-000</t>
  </si>
  <si>
    <t>11 5896-9392</t>
  </si>
  <si>
    <t>Lucas Freitas</t>
  </si>
  <si>
    <t>@lucas.freitss</t>
  </si>
  <si>
    <t>MÉDIO COPLETO</t>
  </si>
  <si>
    <t>Doação de alimentos (trabalho escolar)</t>
  </si>
  <si>
    <t>catolica</t>
  </si>
  <si>
    <t>alugada</t>
  </si>
  <si>
    <t>irmãos</t>
  </si>
  <si>
    <t>mãe faleceu , pai trabalha no pernambuco</t>
  </si>
  <si>
    <t>diogo francisco nascimento da silva</t>
  </si>
  <si>
    <t>padeiro</t>
  </si>
  <si>
    <t>conscrito</t>
  </si>
  <si>
    <t>recebe beneficio</t>
  </si>
  <si>
    <t>Constribui para manutenção do lar com o irmão.</t>
  </si>
  <si>
    <t>ÓTIMO</t>
  </si>
  <si>
    <t>BOM</t>
  </si>
  <si>
    <t>oportunidade de trabalho</t>
  </si>
  <si>
    <t>Rua Americo Lopes</t>
  </si>
  <si>
    <t xml:space="preserve">casa </t>
  </si>
  <si>
    <t>Vila Carmosina</t>
  </si>
  <si>
    <t>Mecânico de Motos</t>
  </si>
  <si>
    <t>08290-480</t>
  </si>
  <si>
    <t>Felipe Martins</t>
  </si>
  <si>
    <t>@feliipe_martiins_</t>
  </si>
  <si>
    <t>0165</t>
  </si>
  <si>
    <t>Pacote Office, Ferramentas Google, Cursando Tecnologo Getão de TI</t>
  </si>
  <si>
    <t>Universidade Cruzeiro do Sul</t>
  </si>
  <si>
    <t>Futebol, Vôlei, Basquete</t>
  </si>
  <si>
    <t>Teclado</t>
  </si>
  <si>
    <t>Evangélico</t>
  </si>
  <si>
    <t>Amaildo dos Santos Martins</t>
  </si>
  <si>
    <t>Carolina dos Reis Santana Martins</t>
  </si>
  <si>
    <t>Bruno Santana Martins</t>
  </si>
  <si>
    <t xml:space="preserve">Irmã </t>
  </si>
  <si>
    <t>Nicole Santana Martins</t>
  </si>
  <si>
    <t>Atendente de farmácia</t>
  </si>
  <si>
    <t>Jovem Aprendiz em empresa</t>
  </si>
  <si>
    <t>Distância média de 400m</t>
  </si>
  <si>
    <t>Por motivos financeiros e para pagar sua faculdade.</t>
  </si>
  <si>
    <t>3º Sgt JEFFERSON DOS SANTOS LEANDRO</t>
  </si>
  <si>
    <t>Avenida Vila Ema</t>
  </si>
  <si>
    <t>Casa b</t>
  </si>
  <si>
    <t>Vila Ema</t>
  </si>
  <si>
    <t>Estação oratório</t>
  </si>
  <si>
    <t>03282-000</t>
  </si>
  <si>
    <t>Lucas Costa</t>
  </si>
  <si>
    <t>@lucas_costamp</t>
  </si>
  <si>
    <t>UOL</t>
  </si>
  <si>
    <t>Escola estadual Mario marques de oliveira</t>
  </si>
  <si>
    <t>Tenho interesse.</t>
  </si>
  <si>
    <t>STen ANTONIO RICARDO CAVALCANTE</t>
  </si>
  <si>
    <t xml:space="preserve">Rua José freire da silva </t>
  </si>
  <si>
    <t xml:space="preserve">Jardim colorado </t>
  </si>
  <si>
    <t xml:space="preserve">Avenida Sapopemba </t>
  </si>
  <si>
    <t>Gustavoteixeiradepaula@hotamil.com</t>
  </si>
  <si>
    <t>@gustavo.teixeira1</t>
  </si>
  <si>
    <t>Médio incompleto</t>
  </si>
  <si>
    <t xml:space="preserve">Pintura, pedreiro </t>
  </si>
  <si>
    <t>JR PESCA</t>
  </si>
  <si>
    <t>AJUDANTE GERAL</t>
  </si>
  <si>
    <t>VICOTR MIGUEL ROMANO</t>
  </si>
  <si>
    <t xml:space="preserve">MUSCULAÇÃO E FUTEBOL </t>
  </si>
  <si>
    <t>FABIANA TEIXEIRA</t>
  </si>
  <si>
    <t>ADRIANO AUGUSTO</t>
  </si>
  <si>
    <t>MARIA EDUARDA</t>
  </si>
  <si>
    <t xml:space="preserve">ESTAFANE VITORIA </t>
  </si>
  <si>
    <t>ENFERMEIRA</t>
  </si>
  <si>
    <t>FABRICA DE TINTA</t>
  </si>
  <si>
    <t xml:space="preserve">Não </t>
  </si>
  <si>
    <t>Na rua não, próximo sim (10min apé)</t>
  </si>
  <si>
    <t>Desde pequeno sempre quis ser militar, queria ser bombeiro, e agora com o alistamento quer ser militar do exército.</t>
  </si>
  <si>
    <t>Rua Nova</t>
  </si>
  <si>
    <t>Tremembé</t>
  </si>
  <si>
    <t>Clube de futebol, Rua 7</t>
  </si>
  <si>
    <t>Norte</t>
  </si>
  <si>
    <t>02365-054</t>
  </si>
  <si>
    <t>11-962627342</t>
  </si>
  <si>
    <t>@</t>
  </si>
  <si>
    <t>Mecânico de Motocicletas</t>
  </si>
  <si>
    <t>ANA LUCIA DE FRANÇA FRANCISCO</t>
  </si>
  <si>
    <t>CAROLINE DE FRANÇA FRANCISCO</t>
  </si>
  <si>
    <t>GARÇOM</t>
  </si>
  <si>
    <t>COSTUREIRA</t>
  </si>
  <si>
    <t>ATENDENTE</t>
  </si>
  <si>
    <t>Rua de acesso ao bairro</t>
  </si>
  <si>
    <t>Tio, foi preso não sabe o motivo, afirma não conhecer esse  familiar</t>
  </si>
  <si>
    <t>Sonho de criança</t>
  </si>
  <si>
    <t xml:space="preserve">Rua José Antônio Coelho </t>
  </si>
  <si>
    <t>Apto 10</t>
  </si>
  <si>
    <t xml:space="preserve">Vila Mariana </t>
  </si>
  <si>
    <t>Em frente a lavanderia fenix</t>
  </si>
  <si>
    <t>04011-060</t>
  </si>
  <si>
    <t>(11) 989219670</t>
  </si>
  <si>
    <t>https://www.facebook.com/daniel.bezerra.399826</t>
  </si>
  <si>
    <t>@mano_denii</t>
  </si>
  <si>
    <t>Office, ferramentas google e pintura</t>
  </si>
  <si>
    <t>Não trabalha</t>
  </si>
  <si>
    <t>Não estuda</t>
  </si>
  <si>
    <t>Futebol, Vôlei, Natação, Handebol</t>
  </si>
  <si>
    <t>Sesc</t>
  </si>
  <si>
    <t>Não toca instrumentos</t>
  </si>
  <si>
    <t>DANIELA JOSINEIDE DA SILVA</t>
  </si>
  <si>
    <t>Zelador</t>
  </si>
  <si>
    <t>Doméstica</t>
  </si>
  <si>
    <t>Desejo servir por amar meu país, quero experiência e futuramente seguir carreira</t>
  </si>
  <si>
    <t xml:space="preserve">Rua Nova Brasilia </t>
  </si>
  <si>
    <t>Bloco 4 apto. 401</t>
  </si>
  <si>
    <t xml:space="preserve">Jardim Dona Sinhá </t>
  </si>
  <si>
    <t>Posto BR</t>
  </si>
  <si>
    <t>03924-040</t>
  </si>
  <si>
    <t>@douglas_cazassa</t>
  </si>
  <si>
    <t>Autônomo</t>
  </si>
  <si>
    <t>entregar albúns de formatura</t>
  </si>
  <si>
    <t>Faculdade UNIP</t>
  </si>
  <si>
    <t xml:space="preserve">Violino, Viola de arco </t>
  </si>
  <si>
    <t>Osvaldo Garcia Junior</t>
  </si>
  <si>
    <t>Keli Cristina Cazassa Garcia</t>
  </si>
  <si>
    <t>João Victor Cazassa Garcia</t>
  </si>
  <si>
    <t>Albúns de Formatura</t>
  </si>
  <si>
    <t>Auxiliar em Escola</t>
  </si>
  <si>
    <t xml:space="preserve">Acredito que o serviço militar irá agregar diversos fatores na minha vida, como melhor disciplina e dedicação. </t>
  </si>
  <si>
    <t>São Paulo-SP, 02 de julho de 2021.</t>
  </si>
  <si>
    <t>Rua. Léo de Morais</t>
  </si>
  <si>
    <t>Apto 1961</t>
  </si>
  <si>
    <t>Vila das Mercês</t>
  </si>
  <si>
    <t>29 Delegacia de Polícia Civil</t>
  </si>
  <si>
    <t>04165-150</t>
  </si>
  <si>
    <t>(11) 976135913</t>
  </si>
  <si>
    <t>Henrique Yonamine</t>
  </si>
  <si>
    <t>@k3_henrique</t>
  </si>
  <si>
    <t>Cozinheiro, Programador, Pacote Office, Desenhista</t>
  </si>
  <si>
    <t>Descomplica</t>
  </si>
  <si>
    <t>Musculação e Ryukyu koku Matsuri daiko</t>
  </si>
  <si>
    <t>Tambor japonês</t>
  </si>
  <si>
    <t>Grupo de dança Ryukyu Koku Matsuri Daiko</t>
  </si>
  <si>
    <t>Mãe e irmã</t>
  </si>
  <si>
    <t>Silvana Omena da Silva</t>
  </si>
  <si>
    <t>Beatriz Akemi Yonamine</t>
  </si>
  <si>
    <t>Osvaldo Shinhiti Yonamine</t>
  </si>
  <si>
    <t>Torneiro em uma fábrica no Japão</t>
  </si>
  <si>
    <t>Enfermeira</t>
  </si>
  <si>
    <t>O pai trabalha no Japão e não vem com frequência. O pai banca a casa com a irmã.</t>
  </si>
  <si>
    <t>Perto da casa possui uma biqueira</t>
  </si>
  <si>
    <t>Gostaria de proteger os mais próximos e os que amo, seja família, namorada e amigos</t>
  </si>
  <si>
    <t>São Paulo-SP, 07 de julho de 2021.</t>
  </si>
  <si>
    <t xml:space="preserve">Rua José Mário Mendonça </t>
  </si>
  <si>
    <t>Apto 03</t>
  </si>
  <si>
    <t>Parque Dorotéia (Vila Firmino Pinto)</t>
  </si>
  <si>
    <t xml:space="preserve">Próximo ao Mercado Manbis </t>
  </si>
  <si>
    <t>04475-492</t>
  </si>
  <si>
    <t>(11) 948472839 Pai</t>
  </si>
  <si>
    <t>@deivid_reboucas</t>
  </si>
  <si>
    <t>35</t>
  </si>
  <si>
    <t>Pedreiro, Pintor, Digital Marketing - Copyright</t>
  </si>
  <si>
    <t xml:space="preserve">Não Trabalho </t>
  </si>
  <si>
    <t>Não é o caso</t>
  </si>
  <si>
    <t xml:space="preserve">Futebol, Muay Thai - Musculação </t>
  </si>
  <si>
    <t>Violão</t>
  </si>
  <si>
    <t>Igreja evangélica</t>
  </si>
  <si>
    <t>NIVALDO OLIVEIRA REBOUÇAS</t>
  </si>
  <si>
    <t>Pintor</t>
  </si>
  <si>
    <t>Clube de tiro</t>
  </si>
  <si>
    <t>Preso com drogas.</t>
  </si>
  <si>
    <t>Eu quero servi porque é o meu sonho é dos meus familiares, E tenho perspectiva de que vou crescer.</t>
  </si>
  <si>
    <t>São Paulo-SP, 01 de julho de 2021.</t>
  </si>
  <si>
    <t>Rua Luís Augusto Paschoal</t>
  </si>
  <si>
    <t>Casa 01</t>
  </si>
  <si>
    <t>Jardim Lourdes</t>
  </si>
  <si>
    <t>Mercado João Eudes</t>
  </si>
  <si>
    <t>04328-050</t>
  </si>
  <si>
    <t>(11) 98029-9811</t>
  </si>
  <si>
    <t>Lucas lima</t>
  </si>
  <si>
    <t>-</t>
  </si>
  <si>
    <t>Luciano José de Lima</t>
  </si>
  <si>
    <t>Karina Santos Silva</t>
  </si>
  <si>
    <t>Luan Santos Lima</t>
  </si>
  <si>
    <t>Caixa de mercado</t>
  </si>
  <si>
    <t>Diretora de estabelecimento de ensino</t>
  </si>
  <si>
    <t xml:space="preserve">Queira servi exército sonho de criança </t>
  </si>
  <si>
    <t xml:space="preserve">Rua dos dourados </t>
  </si>
  <si>
    <t xml:space="preserve">Casa </t>
  </si>
  <si>
    <t xml:space="preserve">Santa Terezinha </t>
  </si>
  <si>
    <t xml:space="preserve">Rua sem saída ( segunda travessa) </t>
  </si>
  <si>
    <t>(11)960454532 - pai</t>
  </si>
  <si>
    <t>Arthur Henriquee</t>
  </si>
  <si>
    <t xml:space="preserve">@_a.Henrique </t>
  </si>
  <si>
    <t>Gestao empresarial, informática básica, logística.</t>
  </si>
  <si>
    <t xml:space="preserve">Tubarão delivery </t>
  </si>
  <si>
    <t xml:space="preserve">Ajudante geral </t>
  </si>
  <si>
    <t>Futebol, Vôlei, Atletismo</t>
  </si>
  <si>
    <t>Bateria,chocalho.</t>
  </si>
  <si>
    <t>sim - assembléia de Deus - rua dos dourados, prox. residencia</t>
  </si>
  <si>
    <t xml:space="preserve">pai </t>
  </si>
  <si>
    <t>jailton renato dos santos</t>
  </si>
  <si>
    <t>mae</t>
  </si>
  <si>
    <t>maria solange correia dos santos</t>
  </si>
  <si>
    <t>distribuição de remédios para farmácias</t>
  </si>
  <si>
    <t>cozinheira na CEI maria de lurdes</t>
  </si>
  <si>
    <t>Primos servem em recife</t>
  </si>
  <si>
    <t>Sempre foi uma realização pessoal e uma vontade desde pequeno. E poder obter muito mais conhecimento. Honrando minha família com uma vida digna.</t>
  </si>
  <si>
    <t>Rua Francisco Hurtado</t>
  </si>
  <si>
    <t>casa 1</t>
  </si>
  <si>
    <t>Água funda</t>
  </si>
  <si>
    <t>Escola Estadual Valentim Gentil</t>
  </si>
  <si>
    <t>04156-040</t>
  </si>
  <si>
    <t>Gabriel Castro</t>
  </si>
  <si>
    <t>@gabriel_castrox</t>
  </si>
  <si>
    <t>musico</t>
  </si>
  <si>
    <t>UNIP - INDIANÓPOLIS</t>
  </si>
  <si>
    <t>Handebol</t>
  </si>
  <si>
    <t>saxofone</t>
  </si>
  <si>
    <t>Pai, Irmãos</t>
  </si>
  <si>
    <t>Idalina de Castro da Silva</t>
  </si>
  <si>
    <t>Emanuelly Castro da Silva</t>
  </si>
  <si>
    <t>Corretora de Imovéis</t>
  </si>
  <si>
    <t>Recepcionista de Imobiliária</t>
  </si>
  <si>
    <t>Polícia Militar de São Paulo e Exército Brasileiro.</t>
  </si>
  <si>
    <t>Um sonho.</t>
  </si>
  <si>
    <t>Rua. Álvaro Afonso</t>
  </si>
  <si>
    <t>Vila Gea</t>
  </si>
  <si>
    <t>Perto do Banco do Brasil</t>
  </si>
  <si>
    <t>Bellair Ar Condicionados</t>
  </si>
  <si>
    <t>Auxiliar</t>
  </si>
  <si>
    <t>Faculdades Metropolitanas Unidas</t>
  </si>
  <si>
    <t>Natação, Judô, Capoeira</t>
  </si>
  <si>
    <t>Violão, Guitarra, Baixo, Contrabaixo, Piano, Flauta</t>
  </si>
  <si>
    <t>LARA GUILHEN</t>
  </si>
  <si>
    <t>MECÂNICO</t>
  </si>
  <si>
    <t>Auxiliar do pai na empresa</t>
  </si>
  <si>
    <t>Irmão realizou CPOR</t>
  </si>
  <si>
    <t xml:space="preserve">Além de ter a certa vontade de ajudar minha família, meu curso facultativo me aconsilia trabalhar no exterior, cujo obteria mais mercado de trabalho. </t>
  </si>
  <si>
    <t xml:space="preserve">José Oliveira Orlandi </t>
  </si>
  <si>
    <t>3B</t>
  </si>
  <si>
    <t>Jardim bela vista</t>
  </si>
  <si>
    <t xml:space="preserve">Próximo ao bar do peixe </t>
  </si>
  <si>
    <t>04952-010</t>
  </si>
  <si>
    <t>(11) 4264-3706</t>
  </si>
  <si>
    <t>Deilson drums</t>
  </si>
  <si>
    <t>@deh_drums</t>
  </si>
  <si>
    <t>Pacote Office, Ferramentas Google</t>
  </si>
  <si>
    <t>Morumbi consultoria</t>
  </si>
  <si>
    <t xml:space="preserve">Operador de telemarketing </t>
  </si>
  <si>
    <t>Bateria</t>
  </si>
  <si>
    <t>Evangélico praticante</t>
  </si>
  <si>
    <t>Pai, Mãe, Tia</t>
  </si>
  <si>
    <t>Edvaldo Ribeiro de Araújo</t>
  </si>
  <si>
    <t>Maria Aparecida Matos Araújo</t>
  </si>
  <si>
    <t>Tia</t>
  </si>
  <si>
    <t>Maria Creuza Rosa de Araújo</t>
  </si>
  <si>
    <t>Motorista de ônibus</t>
  </si>
  <si>
    <t>Operador de Telemarketing</t>
  </si>
  <si>
    <t>Tenho o sonho de me tornar um militar</t>
  </si>
  <si>
    <t>2º Sgt PAULO DÓREA MACHADO</t>
  </si>
  <si>
    <t>Rua Senador Felício dos Santos</t>
  </si>
  <si>
    <t>apartamento 81</t>
  </si>
  <si>
    <t>Liberdade</t>
  </si>
  <si>
    <t>Padaria Orquidea Palace</t>
  </si>
  <si>
    <t>Centro</t>
  </si>
  <si>
    <t>01511-010</t>
  </si>
  <si>
    <t>Gabriel Hideki Braga</t>
  </si>
  <si>
    <t>@bielhideki12</t>
  </si>
  <si>
    <t>Inforçmou ser federado no Clube Nacional (Goleiro)</t>
  </si>
  <si>
    <t>Espirita Cardecista</t>
  </si>
  <si>
    <t>Realizou B.O como vítima de furto</t>
  </si>
  <si>
    <t>Carlos Alberto Teixeira Braga</t>
  </si>
  <si>
    <t>Kátia Tominaga Braga</t>
  </si>
  <si>
    <t>Policial Militar</t>
  </si>
  <si>
    <t>Comerciante</t>
  </si>
  <si>
    <t>Polícia Militar de São Paulo</t>
  </si>
  <si>
    <t>O pai possui armamento em casa,  o entrevistado já teve contato mas nunca efetuou nenhum deparo.</t>
  </si>
  <si>
    <t>em torno de 400m do condomínio do entrevistado possui uma casa que há venda de drogas.</t>
  </si>
  <si>
    <t>O primo já foi preso, mora em Goiania e não tem proximidade com o entrevistado.</t>
  </si>
  <si>
    <t>Gostaria de servir por sempre admirar as Forças armadas,o estilo de vida e o cotidiano e gostaria de seguir carreira na mesma.</t>
  </si>
  <si>
    <t>Rua Tiberiades</t>
  </si>
  <si>
    <t>Americanopolis</t>
  </si>
  <si>
    <t>Posto Ama Vila Clara</t>
  </si>
  <si>
    <t>04413-050</t>
  </si>
  <si>
    <t>(11) 987108374</t>
  </si>
  <si>
    <t>Clima soft</t>
  </si>
  <si>
    <t>nao</t>
  </si>
  <si>
    <t>Ivaldo Costa de Souza</t>
  </si>
  <si>
    <t>Cristiane Oliveira da Silva</t>
  </si>
  <si>
    <t>irmao</t>
  </si>
  <si>
    <t>Paulo Ricardo Oliveira de Souza</t>
  </si>
  <si>
    <t>Bruno Oliveira de Souza</t>
  </si>
  <si>
    <t>Ketlin Oliveira de Souza</t>
  </si>
  <si>
    <t>autonomo</t>
  </si>
  <si>
    <t>ajudante de limpeza</t>
  </si>
  <si>
    <t>irmao Paulo</t>
  </si>
  <si>
    <t>Segurança</t>
  </si>
  <si>
    <t>auxiar geral</t>
  </si>
  <si>
    <t>Um desejo de servir a minha pátria</t>
  </si>
  <si>
    <t>RUA CORONEL FAWCETT</t>
  </si>
  <si>
    <t>Sobrado</t>
  </si>
  <si>
    <t xml:space="preserve">Vila Moraes </t>
  </si>
  <si>
    <t>Sobrado amarelo</t>
  </si>
  <si>
    <t>04167-030</t>
  </si>
  <si>
    <t>Carlos Eduardo Rezende</t>
  </si>
  <si>
    <t>@caarlosrezende</t>
  </si>
  <si>
    <t>Pacote Office, Curso de logística</t>
  </si>
  <si>
    <t>Padastro</t>
  </si>
  <si>
    <t>GLEISER LOMAS DOS SANTOS</t>
  </si>
  <si>
    <t>MARIA LUIZA REZENDE MARNIAKA</t>
  </si>
  <si>
    <t>Primo</t>
  </si>
  <si>
    <t>CARLOS HENRIQUE REZENDE DE BASTOS</t>
  </si>
  <si>
    <t>Tenho o sonho de ser militar e servir a pátria.</t>
  </si>
  <si>
    <t>R. Domingos da Fonseca</t>
  </si>
  <si>
    <t>Parque da Mooca</t>
  </si>
  <si>
    <t>clube juventus</t>
  </si>
  <si>
    <t>03125-040</t>
  </si>
  <si>
    <t>(11)99365448</t>
  </si>
  <si>
    <t>tia e primos.</t>
  </si>
  <si>
    <t>tia</t>
  </si>
  <si>
    <t>silvia tania rodrigues dos santos</t>
  </si>
  <si>
    <t>sim</t>
  </si>
  <si>
    <t>irma</t>
  </si>
  <si>
    <t>gabriela dias bertonha borges</t>
  </si>
  <si>
    <t>estoque</t>
  </si>
  <si>
    <t>estou disposto a servir voluntariamente.</t>
  </si>
  <si>
    <t>3º Sgt ARLESSON CELSO DA SILVA VALADARAS</t>
  </si>
  <si>
    <t>Rua Honorina Maria da Conceição n44</t>
  </si>
  <si>
    <t>Casa 1</t>
  </si>
  <si>
    <t>Jardim Edilene</t>
  </si>
  <si>
    <t>Campo do democrata e bar do silvo</t>
  </si>
  <si>
    <t>04812-370</t>
  </si>
  <si>
    <t>(11) 97732-4586</t>
  </si>
  <si>
    <t>Raul Silva b</t>
  </si>
  <si>
    <t>@Raulsilva_b</t>
  </si>
  <si>
    <t>Técnico em Redes, Programador, Pacote Office</t>
  </si>
  <si>
    <t>Futebol, Capoeira</t>
  </si>
  <si>
    <t>Programa Operação Trabalho, recolhe alimentos na UBS perto de casa</t>
  </si>
  <si>
    <t>Autônoma</t>
  </si>
  <si>
    <t>Sim.</t>
  </si>
  <si>
    <t>Pelo gosto à profissão, acredita no desenvolvimento do caráter pessoal e no potencial amadurecimento psicológico</t>
  </si>
  <si>
    <t>Avenida Condessa Elisabeth de Robiano</t>
  </si>
  <si>
    <t>Residencial Fascino bloco 1 apt 32</t>
  </si>
  <si>
    <t xml:space="preserve">Jardim América da Penha </t>
  </si>
  <si>
    <t xml:space="preserve">Após o posto shell </t>
  </si>
  <si>
    <t>03704-000</t>
  </si>
  <si>
    <t>(11) 998798116 mãe</t>
  </si>
  <si>
    <t>Pedro Anjos</t>
  </si>
  <si>
    <t>@pedroanjo.s</t>
  </si>
  <si>
    <t>AB</t>
  </si>
  <si>
    <t>Programador, Pacote Office</t>
  </si>
  <si>
    <t xml:space="preserve">Unicid Tatuapé </t>
  </si>
  <si>
    <t>Ana Angelica Lima dos Anjos Nascimento</t>
  </si>
  <si>
    <t>Paloma dos Anjos Nascimento</t>
  </si>
  <si>
    <t>enfermeira</t>
  </si>
  <si>
    <t>Admiro a responsabilidade e disciplina militar , pretendo prestar concurso da ESa, me inspiro nos militares , e tenho certeza que vai me ajudar na minha formação como homem.</t>
  </si>
  <si>
    <t>Rua Ismael Gomes Braga</t>
  </si>
  <si>
    <t xml:space="preserve">Indianópolis </t>
  </si>
  <si>
    <t>aeroporto de Congonhas</t>
  </si>
  <si>
    <t>04084-070</t>
  </si>
  <si>
    <t>(11) 96737-4225</t>
  </si>
  <si>
    <t xml:space="preserve">Thago Guasco de Souza </t>
  </si>
  <si>
    <t xml:space="preserve">@guasquito_t </t>
  </si>
  <si>
    <t>@tabo</t>
  </si>
  <si>
    <t>Pintor, Carpinteiro, Cozinheiro, Garçon, Pacote Office, Ferramentas Google, Estoquista</t>
  </si>
  <si>
    <t>Baroes bar</t>
  </si>
  <si>
    <t>Garçom/ Aux. De cozinha</t>
  </si>
  <si>
    <t xml:space="preserve">FMU   </t>
  </si>
  <si>
    <t>Violão/ Ukulele</t>
  </si>
  <si>
    <t>Quero ter essa experiência</t>
  </si>
  <si>
    <t xml:space="preserve">RUA dos taxistas </t>
  </si>
  <si>
    <t>Jardim noronha</t>
  </si>
  <si>
    <t xml:space="preserve">Ultimo ponto das peruas. </t>
  </si>
  <si>
    <t>04853-184</t>
  </si>
  <si>
    <t>(11) 96366-3215</t>
  </si>
  <si>
    <t>Diogo Rodrigues</t>
  </si>
  <si>
    <t>Diogo_rodrigueszx</t>
  </si>
  <si>
    <t>Mecânico Automotivo, Elétrica Automotiva, Pedreiro, Pacote Office</t>
  </si>
  <si>
    <t>Futebol e Basquete</t>
  </si>
  <si>
    <t>Pai, mãe, irmãos</t>
  </si>
  <si>
    <t>DON RODRIGUES DOS SANTOS</t>
  </si>
  <si>
    <t>EMPREGADA DOMÉSTICA</t>
  </si>
  <si>
    <t>Sim, aproximandamente 700m de distância, porém não faz parte da sua rota.</t>
  </si>
  <si>
    <t>Sim sempre tive uma vontade como se fosse um sonho de entrar no exército mais também pra ajudar minha família em questão financeira.</t>
  </si>
  <si>
    <t xml:space="preserve">Rua dos picharros </t>
  </si>
  <si>
    <t xml:space="preserve">Jardim ideal </t>
  </si>
  <si>
    <t>Algumas ruas após o Atacadão Akky</t>
  </si>
  <si>
    <t>04846-665</t>
  </si>
  <si>
    <t>(11)5528-4039</t>
  </si>
  <si>
    <t>Jovem aprendiz</t>
  </si>
  <si>
    <t>99 tecnologia Ltda</t>
  </si>
  <si>
    <t>Jovem aprendiz - área legal</t>
  </si>
  <si>
    <t>Vôlei, Basquete</t>
  </si>
  <si>
    <t>Roberto da Cruz</t>
  </si>
  <si>
    <t>Almoxarife</t>
  </si>
  <si>
    <t xml:space="preserve">Tenho outros objetivos profissionais </t>
  </si>
  <si>
    <t xml:space="preserve">Rua Iguaçu </t>
  </si>
  <si>
    <t>casa 3</t>
  </si>
  <si>
    <t xml:space="preserve">Campanário </t>
  </si>
  <si>
    <t>pizzaria parnaiba, Centro cultural Ogun</t>
  </si>
  <si>
    <t>09930-550</t>
  </si>
  <si>
    <t>11-947343837</t>
  </si>
  <si>
    <t xml:space="preserve">Lucas Henrique </t>
  </si>
  <si>
    <t>@_luc4s12</t>
  </si>
  <si>
    <t>26</t>
  </si>
  <si>
    <t xml:space="preserve">Mecânico de Usinagem </t>
  </si>
  <si>
    <t xml:space="preserve">Mãe, Padastro </t>
  </si>
  <si>
    <t>REGINALDO GOÇALVES DE ALMEIDA</t>
  </si>
  <si>
    <t>MOTOBOY</t>
  </si>
  <si>
    <t>Rua debaixo</t>
  </si>
  <si>
    <t xml:space="preserve">  </t>
  </si>
  <si>
    <t>Av. Afranio peixoto</t>
  </si>
  <si>
    <t>Eldorado</t>
  </si>
  <si>
    <t>Cemiterio vale da paz</t>
  </si>
  <si>
    <t>09971-360</t>
  </si>
  <si>
    <t>(11)996614893</t>
  </si>
  <si>
    <t>Lucas Andrade</t>
  </si>
  <si>
    <t>@Lm_luc2</t>
  </si>
  <si>
    <t xml:space="preserve">sempre foi um sonho ser militar </t>
  </si>
  <si>
    <t xml:space="preserve">Rua Cecília Meireles </t>
  </si>
  <si>
    <t>Casa bege</t>
  </si>
  <si>
    <t>Jardim rosinha</t>
  </si>
  <si>
    <t xml:space="preserve">Praça da moça </t>
  </si>
  <si>
    <t>091014-040</t>
  </si>
  <si>
    <t>0305</t>
  </si>
  <si>
    <t>Pintor Automotivo, Pedreiro, Pintor, Marceneiro, Eletricista, Pacote Office, Desenhista</t>
  </si>
  <si>
    <t>Ivorestauramoveis</t>
  </si>
  <si>
    <t>Pior de móveis/marceneiro</t>
  </si>
  <si>
    <t>Senai</t>
  </si>
  <si>
    <t>Vôlei, Basquete, Tênis de mesa</t>
  </si>
  <si>
    <t>Ivo Pereira</t>
  </si>
  <si>
    <t>Maria Sirleis</t>
  </si>
  <si>
    <t>Felipe Lima</t>
  </si>
  <si>
    <t>Lara Lima</t>
  </si>
  <si>
    <t>Empreendedor</t>
  </si>
  <si>
    <t>pintor</t>
  </si>
  <si>
    <t>Capitão do exercito, esposo da prima</t>
  </si>
  <si>
    <t>Porque trabalho e preciso começar a minha faculdade!</t>
  </si>
  <si>
    <t xml:space="preserve">Av Itaberaba </t>
  </si>
  <si>
    <t>Casa 4</t>
  </si>
  <si>
    <t>Freguesia do Ó</t>
  </si>
  <si>
    <t>Proximo a Matriz</t>
  </si>
  <si>
    <t>02734-000</t>
  </si>
  <si>
    <t>(11) 98434-4572</t>
  </si>
  <si>
    <t>Programador, Inglês Intermediario</t>
  </si>
  <si>
    <t>Emprega (empresa de recrutamento)</t>
  </si>
  <si>
    <t>Assistente de recrutamento e seleção</t>
  </si>
  <si>
    <t>Antonio Henrique dos Santos</t>
  </si>
  <si>
    <t>Ana Paula de Paula Matos</t>
  </si>
  <si>
    <t>kailani Cristini Matos dos Santos</t>
  </si>
  <si>
    <t>Recrutadora</t>
  </si>
  <si>
    <t>Experiência</t>
  </si>
  <si>
    <t>São Paulo-SP, 08 de julho de 2021.</t>
  </si>
  <si>
    <t>Correio paulistano</t>
  </si>
  <si>
    <t>Vila Joaniza</t>
  </si>
  <si>
    <t>Do lado da rua da padaria de esquina</t>
  </si>
  <si>
    <t>04429-150</t>
  </si>
  <si>
    <t>(11) 97679-9859</t>
  </si>
  <si>
    <t>Juan César</t>
  </si>
  <si>
    <t>@_juan.c12</t>
  </si>
  <si>
    <t>TECNOLOGIA DA INFORMAÇÃO</t>
  </si>
  <si>
    <t>Luze Assessoria</t>
  </si>
  <si>
    <t>Recuperador de crédito</t>
  </si>
  <si>
    <t xml:space="preserve"> </t>
  </si>
  <si>
    <t>Futebol, Basquete, Tênis de mesa</t>
  </si>
  <si>
    <t>Nenhum</t>
  </si>
  <si>
    <t>JÚLIO CÉSAR SILVA SANTOS</t>
  </si>
  <si>
    <t>CONFERENTE</t>
  </si>
  <si>
    <t xml:space="preserve">Acredito que a forma do exercito é feita, é uma preparação para o futuro, acredito que é assim que vamos fazer um Pais melhor </t>
  </si>
  <si>
    <t>Rua Rui boto de souza</t>
  </si>
  <si>
    <t>Jardim aracati</t>
  </si>
  <si>
    <t>próximo ao mercado ali raio do sol</t>
  </si>
  <si>
    <t>04949-020</t>
  </si>
  <si>
    <t>Victor Fernando</t>
  </si>
  <si>
    <t>@victorfernando933</t>
  </si>
  <si>
    <t>ensino médio completo</t>
  </si>
  <si>
    <t>trabalhava na loja de construção nikom como repositor</t>
  </si>
  <si>
    <t>Jiu jitsu, musculaçao</t>
  </si>
  <si>
    <t>Ryan Gracie Capão</t>
  </si>
  <si>
    <t>bateria quando era menor</t>
  </si>
  <si>
    <t xml:space="preserve">evangelico </t>
  </si>
  <si>
    <t>casa própria</t>
  </si>
  <si>
    <t>mãe, pais e irmãs</t>
  </si>
  <si>
    <t xml:space="preserve">GIUDEMAR DE ASSIS CHAVES </t>
  </si>
  <si>
    <t>IRMA</t>
  </si>
  <si>
    <t>ANA BEATRIZ MENDES SOARES</t>
  </si>
  <si>
    <t>RAFAELLA MENDES SOARES</t>
  </si>
  <si>
    <t>SUPERVISOR DA NIKOM</t>
  </si>
  <si>
    <t>Sim, primo na PM da bahia</t>
  </si>
  <si>
    <t xml:space="preserve">Sim, espingarda em sitio </t>
  </si>
  <si>
    <t>Sempre teve vontade e pretende seguir carreira militar</t>
  </si>
  <si>
    <t xml:space="preserve">Rua Débora Pascoal </t>
  </si>
  <si>
    <t>Jardim Lurdes</t>
  </si>
  <si>
    <t>Atrás do portal Jabaquara</t>
  </si>
  <si>
    <t>04328-030</t>
  </si>
  <si>
    <t>(11) 55880689 (fixo avó)</t>
  </si>
  <si>
    <t>Rogério Maciel Guimarães</t>
  </si>
  <si>
    <t>@rogeriomaciel18</t>
  </si>
  <si>
    <t>Marceneiro</t>
  </si>
  <si>
    <t>Mg marcenaria</t>
  </si>
  <si>
    <t>Ajudante de marceneiro</t>
  </si>
  <si>
    <t>Futebol, Vôlei, Natação, Capoeira</t>
  </si>
  <si>
    <t>Clube escola guarani</t>
  </si>
  <si>
    <t>ELIAS GUIMARÃES</t>
  </si>
  <si>
    <t>SIM</t>
  </si>
  <si>
    <t>RENAM MACIEL GUIMARÃES</t>
  </si>
  <si>
    <t>MARCENEIRO</t>
  </si>
  <si>
    <t>AUTONOMA - MINI MERCADO</t>
  </si>
  <si>
    <t>AJUDA O PAI NA MARCENARIA</t>
  </si>
  <si>
    <t xml:space="preserve">Gostaria de servir , por ser uma profissão que eu admiro muito e quero emagrecar  nela para seguir carreira </t>
  </si>
  <si>
    <t>Rua Lorenço franco</t>
  </si>
  <si>
    <t>Vila Nova Utinga</t>
  </si>
  <si>
    <t>Supermercado Dia</t>
  </si>
  <si>
    <t>03258-000</t>
  </si>
  <si>
    <t>Gustavo Cagnani</t>
  </si>
  <si>
    <t>@gustavo_cagnani</t>
  </si>
  <si>
    <t>Escola Estadual José Chediak</t>
  </si>
  <si>
    <t>Corrida</t>
  </si>
  <si>
    <t>Católico não praticante</t>
  </si>
  <si>
    <t>GILDÁCIO LOIOLA</t>
  </si>
  <si>
    <t>FÁBIA APARECIDA DE SOUZA CAGNANI</t>
  </si>
  <si>
    <t>GUILHERME DE SOUZA CAGNANI</t>
  </si>
  <si>
    <t>PEDRO GIL DE SOUZA LOIOLA</t>
  </si>
  <si>
    <t>LEONARDO DE SOUZA LOIOLA</t>
  </si>
  <si>
    <t>AUTÔNOMO</t>
  </si>
  <si>
    <t>Quero adquirir conhecimento</t>
  </si>
  <si>
    <t>Rua jaguariaiva</t>
  </si>
  <si>
    <t>Vila Guilhermina</t>
  </si>
  <si>
    <t>03545-070</t>
  </si>
  <si>
    <t>@fms.juniior</t>
  </si>
  <si>
    <t>Eletricista, Técnico em Redes, Pacote Office, Ferramentas Google</t>
  </si>
  <si>
    <t>Rcy paineis</t>
  </si>
  <si>
    <t>Ajudante geral</t>
  </si>
  <si>
    <t>Unicid</t>
  </si>
  <si>
    <t>Futebol, Vôlei, Natação, Tênis de mesa, Artes marciais mistas</t>
  </si>
  <si>
    <t>Fecap, la salle</t>
  </si>
  <si>
    <t>Mãe, Irmãos, Avô, Avó</t>
  </si>
  <si>
    <t>Carolina Gonçalves</t>
  </si>
  <si>
    <t>Manoella Gonçalves</t>
  </si>
  <si>
    <t>Avô</t>
  </si>
  <si>
    <t>Paulo Gonçalves</t>
  </si>
  <si>
    <t>Maria Inês</t>
  </si>
  <si>
    <t>Contribui com o sustento da casa</t>
  </si>
  <si>
    <t>Sim, no estande de tiro</t>
  </si>
  <si>
    <t>A mãe pos o pai na justiça por pensão</t>
  </si>
  <si>
    <t>Des de pequeno quis entrar no ramo do órgão público, como policial, exército entre outros, tive uma experiência dentro do cpor e ainda sinto vontade de servir uma carreira.</t>
  </si>
  <si>
    <t>R. Doutor Laerte Setubal</t>
  </si>
  <si>
    <t>136B</t>
  </si>
  <si>
    <t xml:space="preserve">Vila Suzana
</t>
  </si>
  <si>
    <t>Habibbs</t>
  </si>
  <si>
    <t>05665-010</t>
  </si>
  <si>
    <t>Wedja Miranda</t>
  </si>
  <si>
    <t>Informática</t>
  </si>
  <si>
    <t>Vontade de Servir</t>
  </si>
  <si>
    <t>rua gino monaldi</t>
  </si>
  <si>
    <t>Jardim Varginha</t>
  </si>
  <si>
    <t>Final do ponto jardim Varginha</t>
  </si>
  <si>
    <t>04857-055</t>
  </si>
  <si>
    <t>(11) 944883355</t>
  </si>
  <si>
    <t>Pedro Santos</t>
  </si>
  <si>
    <t>@rookplt</t>
  </si>
  <si>
    <t>TÉCNICO EM DESIGN GRÁFICO</t>
  </si>
  <si>
    <t>E.E. Prof. Sergio Murillo Raduan</t>
  </si>
  <si>
    <t>MUSCULAÇÃO</t>
  </si>
  <si>
    <t>Flauta</t>
  </si>
  <si>
    <t>Cigarro</t>
  </si>
  <si>
    <t>Pai, Mãe e Irmãos</t>
  </si>
  <si>
    <t>Padrastro</t>
  </si>
  <si>
    <t>Domingos José</t>
  </si>
  <si>
    <t>Adrea Santos</t>
  </si>
  <si>
    <t>Eliab</t>
  </si>
  <si>
    <t>Giovana</t>
  </si>
  <si>
    <t>Bombeiro Civil</t>
  </si>
  <si>
    <t>Empregada domestica</t>
  </si>
  <si>
    <t>Babá</t>
  </si>
  <si>
    <t>Um primo distante</t>
  </si>
  <si>
    <t>existe tráfico de drogas de forma não ostensiva e não próximo a sua residência</t>
  </si>
  <si>
    <t>Boa oportunidade</t>
  </si>
  <si>
    <t>Rua Julião Afonso Serra</t>
  </si>
  <si>
    <t>PARQUE FIGUEIRA GRANDE. SANTO AMARO</t>
  </si>
  <si>
    <t xml:space="preserve">E.E. Elyo Ferreira de Castro </t>
  </si>
  <si>
    <t>04914-020</t>
  </si>
  <si>
    <t>(11)97609-3405 (PAI)</t>
  </si>
  <si>
    <t xml:space="preserve">Kleber Esdras </t>
  </si>
  <si>
    <t>@Kleber_656</t>
  </si>
  <si>
    <t>0154</t>
  </si>
  <si>
    <t>Pintor, Pacote Office, Ferramentas Google, Inglês, hardware, redes, cabeamento e infraestrutura</t>
  </si>
  <si>
    <t>Microlins</t>
  </si>
  <si>
    <t>Professor de inglês</t>
  </si>
  <si>
    <t>Basquete</t>
  </si>
  <si>
    <t>IGREJA BATISTA, FREQUENTA AOS DOMINGOS</t>
  </si>
  <si>
    <t>SILVIO KLEBER OSSERIO BITO</t>
  </si>
  <si>
    <t>ERIKA KARINE RAMOS DE SOUZA BRITO</t>
  </si>
  <si>
    <t>VINICIUS RAMOS DE SOUZA BRITO</t>
  </si>
  <si>
    <t>SEGURANÇA (BRISTOL-MYERS SQUIBB)</t>
  </si>
  <si>
    <t>EM MÉDIA 30000</t>
  </si>
  <si>
    <t>2000 EM MÉDIA</t>
  </si>
  <si>
    <t>O PROPRIO</t>
  </si>
  <si>
    <t>PROFESSOR DE INGLÊS</t>
  </si>
  <si>
    <t>300 REIAS</t>
  </si>
  <si>
    <t xml:space="preserve">Quero muito servir o exército, desde a infância tenho uma admiração muito grande pelas forças armadas e tenho esse sonho de servir e trabalhar no exército!!! </t>
  </si>
  <si>
    <t xml:space="preserve">Estrada da Cumbica </t>
  </si>
  <si>
    <t xml:space="preserve">Cidade Ipava </t>
  </si>
  <si>
    <t>Estrada da Cumbica</t>
  </si>
  <si>
    <t>04947-000</t>
  </si>
  <si>
    <t xml:space="preserve">@_theus_10 </t>
  </si>
  <si>
    <t>Vôlei, Handebol</t>
  </si>
  <si>
    <t xml:space="preserve">Violão </t>
  </si>
  <si>
    <t xml:space="preserve">Ailton Alves dos Santos </t>
  </si>
  <si>
    <t>Cristina Aparecida Domingues</t>
  </si>
  <si>
    <t>Gustavo Domingues dos Santos</t>
  </si>
  <si>
    <t>Davi Domingues dos Santos</t>
  </si>
  <si>
    <t>Engenheiro</t>
  </si>
  <si>
    <t>Atendente</t>
  </si>
  <si>
    <t>Distância média de 1km</t>
  </si>
  <si>
    <t>O candidato possue um primo preso no Estado de São Paulo, mas não sabe o motivo.</t>
  </si>
  <si>
    <t xml:space="preserve">Desde pequeno sempre tive vontade </t>
  </si>
  <si>
    <t>Rua general oliveira ramos</t>
  </si>
  <si>
    <t>Apto 42</t>
  </si>
  <si>
    <t>Jd pedreira</t>
  </si>
  <si>
    <t>Av alvarenga</t>
  </si>
  <si>
    <t>04469-125</t>
  </si>
  <si>
    <t>(11) 5547-9397 (trabalho)</t>
  </si>
  <si>
    <t>Mateus Maciel</t>
  </si>
  <si>
    <t>@Theus4356</t>
  </si>
  <si>
    <t>O-</t>
  </si>
  <si>
    <t>Desejo servir para poder ajudar no sustento da casa e dar orgulho para os meus pais</t>
  </si>
  <si>
    <t>Rua Alto Garças</t>
  </si>
  <si>
    <t>Casa A</t>
  </si>
  <si>
    <t>Cidade Patriarca</t>
  </si>
  <si>
    <t>Ao lado da pizzaria Delícia portao de garagem branco</t>
  </si>
  <si>
    <t>03546-000</t>
  </si>
  <si>
    <t>Adam Bruno</t>
  </si>
  <si>
    <t>@adam_knobl</t>
  </si>
  <si>
    <t>0197</t>
  </si>
  <si>
    <t>Eletricista, Encanador, Padeiro, Técnico em Eletrônica</t>
  </si>
  <si>
    <t>Futebol, Vôlei, Basquete, Atletismo, Handebol</t>
  </si>
  <si>
    <t>Erica</t>
  </si>
  <si>
    <t>Anny</t>
  </si>
  <si>
    <t>avô serviu em osasco</t>
  </si>
  <si>
    <t>Gostaria de servir pois gosto do meio militar, estudo para concursos do exército</t>
  </si>
  <si>
    <t>3º Sgt ROMULO REIS REGO</t>
  </si>
  <si>
    <t>Rua Guaicuri</t>
  </si>
  <si>
    <t>Cidade Julia</t>
  </si>
  <si>
    <t>Ao lado da adega</t>
  </si>
  <si>
    <t>04425-000</t>
  </si>
  <si>
    <t>Quiko Fabiano</t>
  </si>
  <si>
    <t>Pizzaria</t>
  </si>
  <si>
    <t>QUITO IGOR ANDRADE DE SOUZA MORAIS</t>
  </si>
  <si>
    <t>QUILMA ANGELA ANDRADE RANGEL DOS SANTOS</t>
  </si>
  <si>
    <t>NÃO SABE</t>
  </si>
  <si>
    <t>AJUDANTE EM LOJA</t>
  </si>
  <si>
    <t>Tráfico e uso de drogas</t>
  </si>
  <si>
    <t>Sonho de infância</t>
  </si>
  <si>
    <t>Rua Parelhas</t>
  </si>
  <si>
    <t>Jardim Danfer</t>
  </si>
  <si>
    <t>Igreja Santa Rita de Cássia</t>
  </si>
  <si>
    <t>03729-180</t>
  </si>
  <si>
    <t>Michel Fernandes</t>
  </si>
  <si>
    <t>@michel_cfernandes</t>
  </si>
  <si>
    <t>Universidade Cruzeiro Do Sul</t>
  </si>
  <si>
    <t>Gostaria de ter a experiência de servir pois vejo como uma oportunidade única para crescer como pessoa e aprender mais sobre o ramo militar.</t>
  </si>
  <si>
    <t xml:space="preserve">Rua alexandre rapin </t>
  </si>
  <si>
    <t>Bloco 1 apt 11</t>
  </si>
  <si>
    <t xml:space="preserve">Jd celeste </t>
  </si>
  <si>
    <t>Delegacia da policia civil</t>
  </si>
  <si>
    <t>04195-110</t>
  </si>
  <si>
    <t>(11)96829-4433</t>
  </si>
  <si>
    <t xml:space="preserve">George lucas del grecco cortês </t>
  </si>
  <si>
    <t>@George_lucas222</t>
  </si>
  <si>
    <t>CARLOS</t>
  </si>
  <si>
    <t>MIGUEL DEL GRECCO CORTEZ</t>
  </si>
  <si>
    <t>Padrasto</t>
  </si>
  <si>
    <t>Primo e avô serviram ao Exercito</t>
  </si>
  <si>
    <t>Tios envolvimento em estelionato.</t>
  </si>
  <si>
    <t>Quero ter treinamento e disciplina militar pra depois seguir carreira</t>
  </si>
  <si>
    <t>Avenida Quinze de Novembro</t>
  </si>
  <si>
    <t>C</t>
  </si>
  <si>
    <t>Centro, cidade Tapecerica da Serra - SP</t>
  </si>
  <si>
    <t xml:space="preserve">Oficina da linguiça </t>
  </si>
  <si>
    <t>06850-100</t>
  </si>
  <si>
    <t>(11) 99531-6858</t>
  </si>
  <si>
    <t>Eduardo wochner</t>
  </si>
  <si>
    <t>@eduwochner</t>
  </si>
  <si>
    <t>Mecânico Automotivo, Garçon</t>
  </si>
  <si>
    <t xml:space="preserve">Garçom </t>
  </si>
  <si>
    <t xml:space="preserve">estuda só, pretende ser concursado </t>
  </si>
  <si>
    <t>corrida, anda de bicicleta</t>
  </si>
  <si>
    <t>Carlos Alberto Wochner</t>
  </si>
  <si>
    <t>Tais Renata dos Santos Pires</t>
  </si>
  <si>
    <t>Julia Wochner</t>
  </si>
  <si>
    <t>Engenheiro mecanico</t>
  </si>
  <si>
    <t>R$ 5.000,00</t>
  </si>
  <si>
    <t>Cozinheira</t>
  </si>
  <si>
    <t>R$ 1.200,00</t>
  </si>
  <si>
    <t>Tio serviu o exército</t>
  </si>
  <si>
    <t>Espingarda, 22, pois morava em um sítio e chegou a manusear</t>
  </si>
  <si>
    <t>Tenho vontade de seguir carreira.</t>
  </si>
  <si>
    <t>1° Sgt SÉRGIO JOSÉ DE PAULA</t>
  </si>
  <si>
    <t xml:space="preserve">Rua dos Sindicalistas </t>
  </si>
  <si>
    <t xml:space="preserve">Conceição </t>
  </si>
  <si>
    <t xml:space="preserve">E.E Vila Socialista </t>
  </si>
  <si>
    <t>09993-170</t>
  </si>
  <si>
    <t>@daniloh_goncalves</t>
  </si>
  <si>
    <t>Pedreiro, Pintor, Cozinheiro, Garçon, Pacote Office</t>
  </si>
  <si>
    <t>Futebol, Vôlei, Basquete, Natação, Tênis de mesa, Jiu-jitsu, Judô, Artes marciais mistas, Handebol</t>
  </si>
  <si>
    <t xml:space="preserve">Pai, mãe e irmãs </t>
  </si>
  <si>
    <t>ALMIRO BARBOSA GONÇALVES</t>
  </si>
  <si>
    <t>JOANA DOMETILA HENRIQUE</t>
  </si>
  <si>
    <t>DANIELLI HENRRIQUE</t>
  </si>
  <si>
    <t xml:space="preserve">ATENDENTE </t>
  </si>
  <si>
    <t>Tio. No Exército em 1981</t>
  </si>
  <si>
    <t>Venda de Drogas</t>
  </si>
  <si>
    <t>Servir a pátria é o meu sonho. E também, poderei adquirir conhecimento.</t>
  </si>
  <si>
    <t xml:space="preserve">Rua Francisco de Oliveira </t>
  </si>
  <si>
    <t>Jardim Lajeado</t>
  </si>
  <si>
    <t>Em frente a prédios abandonados</t>
  </si>
  <si>
    <t>08441-110</t>
  </si>
  <si>
    <t>@Felipe Oliveira</t>
  </si>
  <si>
    <t>@Felipemarinhu_</t>
  </si>
  <si>
    <t>Enfestador de tecidos</t>
  </si>
  <si>
    <t>J.A.X modas</t>
  </si>
  <si>
    <t>Enfestando</t>
  </si>
  <si>
    <t>Professor Clóvis Rene calabrez</t>
  </si>
  <si>
    <t>LUCIANA FERREIRA DE OLIVEIRA DOS SANTOS</t>
  </si>
  <si>
    <t>JULIA OLIVEIRA SANTOS</t>
  </si>
  <si>
    <t>MARIA EMILIA PEREIRA</t>
  </si>
  <si>
    <t>ENFESTADOR</t>
  </si>
  <si>
    <t>REPOSITORA DE MERCADO</t>
  </si>
  <si>
    <t>EMPREGADA DOMESTICA</t>
  </si>
  <si>
    <t>Um sonho meu e do meu pai que não conseguiu.</t>
  </si>
  <si>
    <t>Avenida Olga Fadel Abarca</t>
  </si>
  <si>
    <t>Apto 401 bloco 03</t>
  </si>
  <si>
    <t>Jardim Santa Terezinha</t>
  </si>
  <si>
    <t>Ao lado do Mercado Car Aricanduva</t>
  </si>
  <si>
    <t>03572-020</t>
  </si>
  <si>
    <t xml:space="preserve">Anderson Biase </t>
  </si>
  <si>
    <t>@Figueiredo.ipi</t>
  </si>
  <si>
    <t>Universidade Uninove</t>
  </si>
  <si>
    <t>Futebol, Natação, Judô</t>
  </si>
  <si>
    <t>Sempre quis servir ao meu país</t>
  </si>
  <si>
    <t>RUA TOLSTÓI</t>
  </si>
  <si>
    <t>CASA PORTÃO AZUL</t>
  </si>
  <si>
    <t xml:space="preserve">Vila brasiliana </t>
  </si>
  <si>
    <t>Perto da Padaria adriana.</t>
  </si>
  <si>
    <t>04161-070</t>
  </si>
  <si>
    <t>11-965008877</t>
  </si>
  <si>
    <t>Pedreiro, Pacote Office</t>
  </si>
  <si>
    <t>Desejo servir ao exército pois é um sonho que eu tenho desde criança e acredito que possa aprender muitas habilidades que não aprenderia em outro lugar, e que posso ajudar a minha família.</t>
  </si>
  <si>
    <t>R. José das Neves Santos</t>
  </si>
  <si>
    <t>Casa B</t>
  </si>
  <si>
    <t>Vila Liviero</t>
  </si>
  <si>
    <t>Mercado Dia, 2km terminal Sacomã</t>
  </si>
  <si>
    <t>04186-025</t>
  </si>
  <si>
    <t>(11)97783-5312 mãe</t>
  </si>
  <si>
    <t>Emerson Araujo</t>
  </si>
  <si>
    <t>@eumesmo.emeraon</t>
  </si>
  <si>
    <t>Pacote Office, Ferramentas Google, Gestão de finanças</t>
  </si>
  <si>
    <t>Zé Delivery</t>
  </si>
  <si>
    <t>Auxiliar geral</t>
  </si>
  <si>
    <t>Unifacvest</t>
  </si>
  <si>
    <t>EMP. DOMÉSTICA</t>
  </si>
  <si>
    <t xml:space="preserve">Primo foi soldado PE no 2 BPE </t>
  </si>
  <si>
    <t>Desejo servir ao exército brasileiro por admiração as forças armadas e principalmente pela vontade de seguir carreira e honrar minha pátria.</t>
  </si>
  <si>
    <t>Rua general Osório</t>
  </si>
  <si>
    <t>51</t>
  </si>
  <si>
    <t>Santa Efigênia</t>
  </si>
  <si>
    <t>Ao lado de um estacionamento</t>
  </si>
  <si>
    <t>01213-001</t>
  </si>
  <si>
    <t>Jonathan Teixeira</t>
  </si>
  <si>
    <t>@jonathan_teixeiraf7</t>
  </si>
  <si>
    <t>Pintor, Pacote Office</t>
  </si>
  <si>
    <t>trabalhava em banca de jornal</t>
  </si>
  <si>
    <t>responsável pela banca de jornal</t>
  </si>
  <si>
    <t>Natação, Judô</t>
  </si>
  <si>
    <t xml:space="preserve">Cigarro e bebida alcoólica </t>
  </si>
  <si>
    <t>DERNIVALDO ALVES TEIXEIRA</t>
  </si>
  <si>
    <t>comerciante</t>
  </si>
  <si>
    <t>Espingarda em propriedade privada pra caça</t>
  </si>
  <si>
    <t>Sempre desejei servir, inclusive deixei meu emprego anterior para entrar no exército</t>
  </si>
  <si>
    <t xml:space="preserve">Rua Romildo finozzi </t>
  </si>
  <si>
    <t>Jardim Catarina</t>
  </si>
  <si>
    <t>Padaria cardal barreira grande</t>
  </si>
  <si>
    <t>03910-040</t>
  </si>
  <si>
    <t>(11)946987273</t>
  </si>
  <si>
    <t>Perciglass</t>
  </si>
  <si>
    <t>Ajudante de motorista</t>
  </si>
  <si>
    <t>cristina aparecida da frança batista</t>
  </si>
  <si>
    <t>andrea batista de souza santos</t>
  </si>
  <si>
    <t>diarista</t>
  </si>
  <si>
    <t>eletricista</t>
  </si>
  <si>
    <t xml:space="preserve">Quero me tornar um militar </t>
  </si>
  <si>
    <t>Praça Thomas Coelho De Almeida</t>
  </si>
  <si>
    <t xml:space="preserve">Jardim D'ábril </t>
  </si>
  <si>
    <t>Rua sem saída, em frente ao bar.</t>
  </si>
  <si>
    <t>05398-140</t>
  </si>
  <si>
    <t>11 9 6250-3701</t>
  </si>
  <si>
    <t xml:space="preserve">Lucas dos Santos Oliveira </t>
  </si>
  <si>
    <t>@Lusca1379</t>
  </si>
  <si>
    <t>Pacote Office, Ferramentas Google, Desenhista, Pacotes Adobe</t>
  </si>
  <si>
    <t>Universidade Anhembi Morumbi</t>
  </si>
  <si>
    <t>Maíria Souza dos Santos</t>
  </si>
  <si>
    <t>Ana Laura dos Santos Oliveira</t>
  </si>
  <si>
    <t>Operadora de máquina</t>
  </si>
  <si>
    <t xml:space="preserve">Desejo servir voluntariamente pois acredito que isso é de grande importância para a formação do homem. Creio fortemente que isso ajuda no desenvolvimento intra e interpessoal. </t>
  </si>
  <si>
    <t xml:space="preserve">Rua conde de Itaguaí </t>
  </si>
  <si>
    <t>Bloco 3 pro 41</t>
  </si>
  <si>
    <t xml:space="preserve">Real parque Morumbi </t>
  </si>
  <si>
    <t xml:space="preserve">Perto do colégio objetivo </t>
  </si>
  <si>
    <t>056860-30</t>
  </si>
  <si>
    <t>(11) 977714329 (PAI)</t>
  </si>
  <si>
    <t>@mateus_lopes1</t>
  </si>
  <si>
    <t>Mecânico Automotivo, Mecânico de Motocicletas, Eletricista, Técnico em Redes</t>
  </si>
  <si>
    <t>Futebol, Vôlei, Natação, Tênis, Karate, Capoeira, Handebol</t>
  </si>
  <si>
    <t>Peraltafit</t>
  </si>
  <si>
    <t xml:space="preserve">Sim uma carreira quero seguir e meu sonho desde pequeno </t>
  </si>
  <si>
    <t>rua Thomás Morley</t>
  </si>
  <si>
    <t>apto 1</t>
  </si>
  <si>
    <t>americanopolis</t>
  </si>
  <si>
    <t>perto da escola habib</t>
  </si>
  <si>
    <t>(11) 56233076</t>
  </si>
  <si>
    <t>Vera Lucia da Costa Bernardo</t>
  </si>
  <si>
    <t>Stephany da Costa Bernardo</t>
  </si>
  <si>
    <t>cozinheira e pensionista</t>
  </si>
  <si>
    <t>Quero evoluir e sair do zero.</t>
  </si>
  <si>
    <t>Rua Epiacaba</t>
  </si>
  <si>
    <t>parque fongaro</t>
  </si>
  <si>
    <t>Goodyear</t>
  </si>
  <si>
    <t>04257-145</t>
  </si>
  <si>
    <t>11-28932652</t>
  </si>
  <si>
    <t>@Yan.andr</t>
  </si>
  <si>
    <t>0325</t>
  </si>
  <si>
    <t>MÉDIO COMPLETO</t>
  </si>
  <si>
    <t>CASA</t>
  </si>
  <si>
    <t>MÃE PAI E IRMÃO</t>
  </si>
  <si>
    <t xml:space="preserve">IRMÃO </t>
  </si>
  <si>
    <t>HEITOR DOS SANTOS ANDRADE</t>
  </si>
  <si>
    <t>DOUGLAS DE ANDRADE BARBOSA</t>
  </si>
  <si>
    <t>METROVIÁRIO</t>
  </si>
  <si>
    <t>DESEJA FOCAR NO ESTUDO PARA CONCURSO ESA.</t>
  </si>
  <si>
    <t>São Paulo-SP, 16 de julho de 2021.</t>
  </si>
  <si>
    <t>Avenida lago xarais</t>
  </si>
  <si>
    <t>Casa 6</t>
  </si>
  <si>
    <t>ITAIM PAULISTA</t>
  </si>
  <si>
    <t>Colégio Victorino</t>
  </si>
  <si>
    <t>08120-260</t>
  </si>
  <si>
    <t>matheus prado</t>
  </si>
  <si>
    <t>@maths_prado</t>
  </si>
  <si>
    <t>Conhecimento de Hardware e Software</t>
  </si>
  <si>
    <t>FAM</t>
  </si>
  <si>
    <t>JIU JTUSU</t>
  </si>
  <si>
    <t>Pai, Mãe e Irmã.</t>
  </si>
  <si>
    <t>ANDREA CRISTINA LOPES PRADO</t>
  </si>
  <si>
    <t>BIANCA DA SILVA PRADO</t>
  </si>
  <si>
    <t>Professora</t>
  </si>
  <si>
    <t>Organização Eventos</t>
  </si>
  <si>
    <t>TENHO DESEJO DE SERVI A PÁTRIA.</t>
  </si>
  <si>
    <t>Rua Carlos Facchina</t>
  </si>
  <si>
    <t>Ao lado do mercado dias</t>
  </si>
  <si>
    <t>04427-020</t>
  </si>
  <si>
    <t>(11) 5625-9625</t>
  </si>
  <si>
    <t>Nathan Moraes</t>
  </si>
  <si>
    <t>@_Nathan.moraes</t>
  </si>
  <si>
    <t>0069</t>
  </si>
  <si>
    <t>Pacote Office, Ferramentas Google, Administrador</t>
  </si>
  <si>
    <t>Connect infraestrutura</t>
  </si>
  <si>
    <t>Universidade Ibirapuera</t>
  </si>
  <si>
    <t>Futebol, Natação, Jiu-jitsu</t>
  </si>
  <si>
    <t>Falcões C.P.</t>
  </si>
  <si>
    <t>Sim, para aperfeiçoamento profissional e pessoal, pretendo adquirir experiência e conhecimento sobre o militarismo.</t>
  </si>
  <si>
    <t>Rua Engenheiro João Lang</t>
  </si>
  <si>
    <t>Jd Martini</t>
  </si>
  <si>
    <t>Prédios CDHU</t>
  </si>
  <si>
    <t>04439-070</t>
  </si>
  <si>
    <t>Isaac Moraes</t>
  </si>
  <si>
    <t>@isaacmoraesm</t>
  </si>
  <si>
    <t>Futebol, Basquete, Judô</t>
  </si>
  <si>
    <t>Violino, trompete iniciante</t>
  </si>
  <si>
    <t>Acredito que não agrega no ramo em que eu desejo servir. Mas caso seja necessário, estarei disposto a servir a amada pátria brasileira.</t>
  </si>
  <si>
    <t>Rua dos marapes</t>
  </si>
  <si>
    <t>Vila parque Jabaquara</t>
  </si>
  <si>
    <t>do lado de uma borracharia(dono rogerio conhecido da familia)</t>
  </si>
  <si>
    <t>04330-070</t>
  </si>
  <si>
    <t>(1)23625052</t>
  </si>
  <si>
    <t>Augusto Pragelas</t>
  </si>
  <si>
    <t>augusto_2k02</t>
  </si>
  <si>
    <t>0248</t>
  </si>
  <si>
    <t>nenhuma</t>
  </si>
  <si>
    <t>Reciclagem</t>
  </si>
  <si>
    <t>doutor carlos augusto de freitas villava</t>
  </si>
  <si>
    <t>Vila Guarani</t>
  </si>
  <si>
    <t>marcelo vieira pragelas</t>
  </si>
  <si>
    <t>luciana pereira pragelas</t>
  </si>
  <si>
    <t>gabriel pereira pragelas</t>
  </si>
  <si>
    <t>marcelo vieira pragelas junior</t>
  </si>
  <si>
    <t>pedro henrique pereira pragelas</t>
  </si>
  <si>
    <t>taxista</t>
  </si>
  <si>
    <t>aux. administrativo</t>
  </si>
  <si>
    <t>salario 1500</t>
  </si>
  <si>
    <t>bisavo(exercito)</t>
  </si>
  <si>
    <t>Eu quero servir</t>
  </si>
  <si>
    <t>Rua Asmara</t>
  </si>
  <si>
    <t>Jardim Melo</t>
  </si>
  <si>
    <t>Carrefour</t>
  </si>
  <si>
    <t>(11) 94816-2753</t>
  </si>
  <si>
    <t>Inácio Santos</t>
  </si>
  <si>
    <t>@darth_nwa</t>
  </si>
  <si>
    <t>WELLINGTON FLÁVIO DA ROCHA</t>
  </si>
  <si>
    <t>MARIA EUGÊNCIA OLIVEIRA DOS SANTOS</t>
  </si>
  <si>
    <t>SARA ASHLEY OLIVEIRA ROCHA</t>
  </si>
  <si>
    <t>TRABALHA COM ELÉTRICA (EH)</t>
  </si>
  <si>
    <t>TIO JÁ SERVIU, NO MARANHÃO</t>
  </si>
  <si>
    <t>NÃO VÊ OS USUÁRIOS MAS POR VEZES SENTE O CHEIO DE MACONHA</t>
  </si>
  <si>
    <t>Pelo salário e experiência que posso adquirir</t>
  </si>
  <si>
    <t>Rua João Carrasco</t>
  </si>
  <si>
    <t>LAJEADO</t>
  </si>
  <si>
    <t>PRaça</t>
  </si>
  <si>
    <t>04203-051</t>
  </si>
  <si>
    <t>11-20631606</t>
  </si>
  <si>
    <t xml:space="preserve">Anthony França </t>
  </si>
  <si>
    <t>@Boy.ofi</t>
  </si>
  <si>
    <t xml:space="preserve">@Não tenho </t>
  </si>
  <si>
    <t>Cozinheiro, Aux Farmácia</t>
  </si>
  <si>
    <t xml:space="preserve">New world </t>
  </si>
  <si>
    <t xml:space="preserve">Vendedor </t>
  </si>
  <si>
    <t xml:space="preserve">Terminei </t>
  </si>
  <si>
    <t>Futebol, Vôlei, Natação</t>
  </si>
  <si>
    <t>Juventos mocca</t>
  </si>
  <si>
    <t>RAYNER TAILAN PEREIRA DE ARUJO</t>
  </si>
  <si>
    <t>RAICA TAISA PEREIRA DE ARAUJO</t>
  </si>
  <si>
    <t>ENC FABRICA CHOCOLATE</t>
  </si>
  <si>
    <t>AUTONOMO APP</t>
  </si>
  <si>
    <t>TIO SD EB, Primo SD EB</t>
  </si>
  <si>
    <t xml:space="preserve">Quero servir pois gosto da profissão militar e tenho um tio meu que já serviu , pretendo seguir carreira </t>
  </si>
  <si>
    <t xml:space="preserve">Rua Angelo herrero </t>
  </si>
  <si>
    <t>AP 33</t>
  </si>
  <si>
    <t xml:space="preserve">Santo amaro </t>
  </si>
  <si>
    <t xml:space="preserve">Base policial </t>
  </si>
  <si>
    <t>04746-070</t>
  </si>
  <si>
    <t>(11) 97990-8458</t>
  </si>
  <si>
    <t>0246</t>
  </si>
  <si>
    <t>0012</t>
  </si>
  <si>
    <t xml:space="preserve">Desenhista, Atendente e trabalho em estoque </t>
  </si>
  <si>
    <t xml:space="preserve">Empório lírio </t>
  </si>
  <si>
    <t>Atendente, caixa, estoqueiro</t>
  </si>
  <si>
    <t xml:space="preserve">Criar mais disciplina e comportamento social </t>
  </si>
  <si>
    <t>Rua das mangueiras</t>
  </si>
  <si>
    <t>Vila Santo Estefano</t>
  </si>
  <si>
    <t>Shopping Plaza Sul</t>
  </si>
  <si>
    <t>04152-080</t>
  </si>
  <si>
    <t>(11) 966539993</t>
  </si>
  <si>
    <t>Washington Victor</t>
  </si>
  <si>
    <t>@washington_vtr</t>
  </si>
  <si>
    <t>O +</t>
  </si>
  <si>
    <t>Futebol, Vôlei, Academia</t>
  </si>
  <si>
    <t>Pai, Mãe, Avó, Primo</t>
  </si>
  <si>
    <t>avó</t>
  </si>
  <si>
    <t>THEODORA DO ROSARIO</t>
  </si>
  <si>
    <t>MARCELO PRADO DA COSTA</t>
  </si>
  <si>
    <t>primo</t>
  </si>
  <si>
    <t>RICARDO SANTOS DA COSTA</t>
  </si>
  <si>
    <t>motorista de ônibuns</t>
  </si>
  <si>
    <t>costureira</t>
  </si>
  <si>
    <t>farmaceutica</t>
  </si>
  <si>
    <t>limpeza de peça de carros</t>
  </si>
  <si>
    <t>O tio foi soldado do exército</t>
  </si>
  <si>
    <t>Porque é meu sonho e muitos duvidavam de mim</t>
  </si>
  <si>
    <t>Rua Macieiro do Sul</t>
  </si>
  <si>
    <t>Jardim São Lorenzo</t>
  </si>
  <si>
    <t>Próximo ao terminal de onibus</t>
  </si>
  <si>
    <t>04943-100</t>
  </si>
  <si>
    <t>Gabriel Andre</t>
  </si>
  <si>
    <t>@gabrielandre</t>
  </si>
  <si>
    <t>0651</t>
  </si>
  <si>
    <t xml:space="preserve">Foi jovem aprendiz em um clube de tênis. </t>
  </si>
  <si>
    <t>auxiliar de quadra</t>
  </si>
  <si>
    <t xml:space="preserve">Tênis, futebol, corrida </t>
  </si>
  <si>
    <t>Clube Vila Lobos</t>
  </si>
  <si>
    <t xml:space="preserve">É Cristão </t>
  </si>
  <si>
    <t>ANDRE ALANUZA BATISTA</t>
  </si>
  <si>
    <t>FABIANO MATEUS BATISTA</t>
  </si>
  <si>
    <t>FELIPE GUILHERME BATISTA</t>
  </si>
  <si>
    <t>AUTONOMA (VENDEDORA)</t>
  </si>
  <si>
    <t>Irmão por parte de pai já foi preso por furto de moto quando menor de idade</t>
  </si>
  <si>
    <t xml:space="preserve">Tem o sonho de fazer parte do Exército desde criança, por influência do tio. </t>
  </si>
  <si>
    <t xml:space="preserve">Rua frutas de santo amaro </t>
  </si>
  <si>
    <t>Primeira Casa</t>
  </si>
  <si>
    <t xml:space="preserve">Nova Heliópolis </t>
  </si>
  <si>
    <t>Hospital AME DE BARRADAS fica atrás de casa, Top 40 academia fica na esquina de frente, antes do DG burger</t>
  </si>
  <si>
    <t>04235-100</t>
  </si>
  <si>
    <t>(11) 98491-3342</t>
  </si>
  <si>
    <t>Renan Ramosrodrigues</t>
  </si>
  <si>
    <t>@ramosrodriguesr</t>
  </si>
  <si>
    <t>@Renan20487256</t>
  </si>
  <si>
    <t>Sono plata</t>
  </si>
  <si>
    <t xml:space="preserve">E.E Manuela Lacerda vergueiro </t>
  </si>
  <si>
    <t xml:space="preserve">Pq foi meu sonho </t>
  </si>
  <si>
    <t>Rua Agnes Roselin</t>
  </si>
  <si>
    <t>casa 2</t>
  </si>
  <si>
    <t>Conjunto José Bonifácio</t>
  </si>
  <si>
    <t>Praça Brasil</t>
  </si>
  <si>
    <t>08255-680</t>
  </si>
  <si>
    <t>Ricardo Santos</t>
  </si>
  <si>
    <t>Pintor, Pacote Office, Ferramentas Google, Redes</t>
  </si>
  <si>
    <t>Escola Estadual Professor Franscisco de Assis Pires Correia</t>
  </si>
  <si>
    <t>PEDRO SANTOS MARCELINO</t>
  </si>
  <si>
    <t>TELEFONISTA</t>
  </si>
  <si>
    <t>Uso de drogas</t>
  </si>
  <si>
    <t>Pai. Tráfico de drogas</t>
  </si>
  <si>
    <t>Sonho familiar, sonho próprio e gosto pela profissão.</t>
  </si>
  <si>
    <t>Rua São Clodoaldo</t>
  </si>
  <si>
    <t>Cidade Tiradentes</t>
  </si>
  <si>
    <t>EMEI Dulcie Salles</t>
  </si>
  <si>
    <t>08475-280</t>
  </si>
  <si>
    <t>@MicaiasNascimento</t>
  </si>
  <si>
    <t>@micaias_nascimento</t>
  </si>
  <si>
    <t>Alimentador de Produção</t>
  </si>
  <si>
    <t>Futebol, Atletismo</t>
  </si>
  <si>
    <t>Zacarias de Sousa Nascimento</t>
  </si>
  <si>
    <t>Alexandra Estevan Nascimento</t>
  </si>
  <si>
    <t>Miqueias Estevan de Sousa Nascimento</t>
  </si>
  <si>
    <t>Alessa Evellyn dos Santos</t>
  </si>
  <si>
    <t xml:space="preserve">Design Gráfico </t>
  </si>
  <si>
    <t>Aux Enfermagem</t>
  </si>
  <si>
    <t>Distância média de 300m</t>
  </si>
  <si>
    <t>Sonho em servir a pátria desde criança.</t>
  </si>
  <si>
    <t xml:space="preserve">Rua leon burbure </t>
  </si>
  <si>
    <t>Bloco 30 apt 33b</t>
  </si>
  <si>
    <t>Fazenda da juta</t>
  </si>
  <si>
    <t>Atrás do batalhão de policia</t>
  </si>
  <si>
    <t>03977-001</t>
  </si>
  <si>
    <t xml:space="preserve">Nao possuo </t>
  </si>
  <si>
    <t>@carlos_cesar_lira</t>
  </si>
  <si>
    <t>Office boy</t>
  </si>
  <si>
    <t>Gps - logística e gerenciamento de riscos</t>
  </si>
  <si>
    <t>Office-boy</t>
  </si>
  <si>
    <t>Evangelica</t>
  </si>
  <si>
    <t>Simone Santos Paiva</t>
  </si>
  <si>
    <t>Thayna Santos Paiva</t>
  </si>
  <si>
    <t>Gestão Financeira</t>
  </si>
  <si>
    <t>Técnico de Informatica</t>
  </si>
  <si>
    <t>Abaixa a minha renda, pois ajudo em casa</t>
  </si>
  <si>
    <t>Avenida Miguel Estefno</t>
  </si>
  <si>
    <t>Casa 5</t>
  </si>
  <si>
    <t xml:space="preserve">Água funda </t>
  </si>
  <si>
    <t xml:space="preserve">Mercado bem barato </t>
  </si>
  <si>
    <t>04301-002</t>
  </si>
  <si>
    <t xml:space="preserve">Arthur Rocha </t>
  </si>
  <si>
    <t>@Arthur_vxl</t>
  </si>
  <si>
    <t>@WMGCVixel</t>
  </si>
  <si>
    <t>Programador, Pacote Office, Ferramentas Google</t>
  </si>
  <si>
    <t xml:space="preserve">FMU - Liberdade </t>
  </si>
  <si>
    <t>Futebol, Vôlei, Basquete, Jiu-jitsu</t>
  </si>
  <si>
    <t>Ukulele, Berimbau, Atabaque</t>
  </si>
  <si>
    <t>pai separado, não mora junto.</t>
  </si>
  <si>
    <t>NÁDIA APARECIDA ROCHA SILVA</t>
  </si>
  <si>
    <t>CECILIA ROCHA AMARO</t>
  </si>
  <si>
    <t>ISADORA ROCHA AMARO</t>
  </si>
  <si>
    <t>avõ</t>
  </si>
  <si>
    <t>FÁBIO DOS SANTOS MARTINS</t>
  </si>
  <si>
    <t>AUTA ROCHA SILVA</t>
  </si>
  <si>
    <t>PRF - Empresa da área financeira</t>
  </si>
  <si>
    <t>menos que 1500</t>
  </si>
  <si>
    <t>aposentada</t>
  </si>
  <si>
    <t xml:space="preserve">Quero servir, pois tenho muita vontade de seguir carreira nessa área militar </t>
  </si>
  <si>
    <t>Rua Pimenta Bueno</t>
  </si>
  <si>
    <t>Belém</t>
  </si>
  <si>
    <t xml:space="preserve">Altura da Salim </t>
  </si>
  <si>
    <t>03060-000</t>
  </si>
  <si>
    <t>(11) 99283-5948 (PAI)</t>
  </si>
  <si>
    <t>UNINOVE CAMPUS VILA MARIANA</t>
  </si>
  <si>
    <t>Corrida e Calistenia</t>
  </si>
  <si>
    <t>IGREJA DE ITAQUERA AOS DOMINGOS, EVANGÉLICO</t>
  </si>
  <si>
    <t>Pai, Irmãos, Avô, Madrasta</t>
  </si>
  <si>
    <t>NOELMA</t>
  </si>
  <si>
    <t>LETICIA DE ARRUDA BOTELHO</t>
  </si>
  <si>
    <t>DEOLINDA DE OLIVEIRA ARRUDA BOTELHO</t>
  </si>
  <si>
    <t>MORISTA</t>
  </si>
  <si>
    <t>DESING DE INTERIORES</t>
  </si>
  <si>
    <t>PROF INGLES</t>
  </si>
  <si>
    <t>APOSENTADA</t>
  </si>
  <si>
    <t>Regular</t>
  </si>
  <si>
    <t>Poucos amigos</t>
  </si>
  <si>
    <t>Não quero, pois cuido da minha vó e estudo T.I.</t>
  </si>
  <si>
    <t xml:space="preserve">Rua dos ourives </t>
  </si>
  <si>
    <t>Apto 91 bl 1</t>
  </si>
  <si>
    <t>Vila Livieiro</t>
  </si>
  <si>
    <t>na subida pra rua tem um posto de gasolina</t>
  </si>
  <si>
    <t>04194-260</t>
  </si>
  <si>
    <t>Igor Veiga</t>
  </si>
  <si>
    <t>@Igor._veiga</t>
  </si>
  <si>
    <t>A-</t>
  </si>
  <si>
    <t>vai à igreja</t>
  </si>
  <si>
    <t>Joice Regina</t>
  </si>
  <si>
    <t>Gerente de Finanças</t>
  </si>
  <si>
    <t>Acho que seria uma experiência legal, mas não sei se é isso que eu quero.</t>
  </si>
  <si>
    <t xml:space="preserve">Rua Otto de Barros </t>
  </si>
  <si>
    <t xml:space="preserve">Saúde </t>
  </si>
  <si>
    <t xml:space="preserve">Próximo do shopping plaza sul </t>
  </si>
  <si>
    <t>04152-050</t>
  </si>
  <si>
    <t>Bruno Freitas</t>
  </si>
  <si>
    <t xml:space="preserve">@Itsbrunoof </t>
  </si>
  <si>
    <t>futebol</t>
  </si>
  <si>
    <t xml:space="preserve">Águas do lar </t>
  </si>
  <si>
    <t xml:space="preserve">Entregador </t>
  </si>
  <si>
    <t>unip</t>
  </si>
  <si>
    <t>eliecio do amaral pires</t>
  </si>
  <si>
    <t>francisca alves de freitas</t>
  </si>
  <si>
    <t>bianca freitas pires</t>
  </si>
  <si>
    <t>Tenho vontade de servir a minha pátria e fazer parte de uma tropa de elite do exército brasileiro a polícia do exército.</t>
  </si>
  <si>
    <t>LUIS ROCHA MIRANDA</t>
  </si>
  <si>
    <t>Acima da lavanderia Guarani</t>
  </si>
  <si>
    <t xml:space="preserve">Jabaquara </t>
  </si>
  <si>
    <t>04344-010</t>
  </si>
  <si>
    <t xml:space="preserve">Gabriel Santos </t>
  </si>
  <si>
    <t>@Gabrielsantos002</t>
  </si>
  <si>
    <t>Lavanderia Guarani / do pai</t>
  </si>
  <si>
    <t>Futebol, Ciclismo</t>
  </si>
  <si>
    <t xml:space="preserve">família católica </t>
  </si>
  <si>
    <t>Casa Alugada</t>
  </si>
  <si>
    <t>Efrasio Santos</t>
  </si>
  <si>
    <t>Sebastiana de Souza Santos</t>
  </si>
  <si>
    <t>Daniela santos de souza</t>
  </si>
  <si>
    <t>Lavadeira</t>
  </si>
  <si>
    <t xml:space="preserve">Tenho outros planos para minha vida </t>
  </si>
  <si>
    <t xml:space="preserve">Rua Hermínio Lemos </t>
  </si>
  <si>
    <t>63</t>
  </si>
  <si>
    <t xml:space="preserve">Cambuci </t>
  </si>
  <si>
    <t xml:space="preserve">Hospital Cruz azul </t>
  </si>
  <si>
    <t>01540-000</t>
  </si>
  <si>
    <t xml:space="preserve">Lucca Miksian Marques </t>
  </si>
  <si>
    <t xml:space="preserve">@lumiksian </t>
  </si>
  <si>
    <t xml:space="preserve">Pacote Office, Técnico em automação Industrial </t>
  </si>
  <si>
    <t>Tenho vontade de servir, pois acredito que agregará grande valor na minha vida.</t>
  </si>
  <si>
    <t>Rua Tijucas do Sul, avenida Sapopemba.</t>
  </si>
  <si>
    <t>prox estação vila tostai</t>
  </si>
  <si>
    <t>Vila Fátima</t>
  </si>
  <si>
    <t>Mercadão Sapopemba</t>
  </si>
  <si>
    <t>03920-130</t>
  </si>
  <si>
    <t>(11)971018440</t>
  </si>
  <si>
    <t>Lucas Henrique</t>
  </si>
  <si>
    <t>@luhe.san</t>
  </si>
  <si>
    <t>0366</t>
  </si>
  <si>
    <t>Enfermeiro, Pacote Office</t>
  </si>
  <si>
    <t>Uninove</t>
  </si>
  <si>
    <t>Boxe, Artes marciais mistas</t>
  </si>
  <si>
    <t>Gostaria de começar a trabalhar, mas tenho disposição em caso de ser chamado para servir.</t>
  </si>
  <si>
    <t>Rua Pereira da Silva</t>
  </si>
  <si>
    <t>Prox. ao Estádio do Juventus</t>
  </si>
  <si>
    <t>03162-110</t>
  </si>
  <si>
    <t>Paulo Lima</t>
  </si>
  <si>
    <t>Pacote Office, Ferramentas Google, Tecnico em Marketing, 3D</t>
  </si>
  <si>
    <t>Faculdade Mèliés</t>
  </si>
  <si>
    <t>Futebol, Vôlei</t>
  </si>
  <si>
    <t>Baixo e Guitarra</t>
  </si>
  <si>
    <t>Sozinho</t>
  </si>
  <si>
    <t>Queria servir, sempre tive vontade, mas no momento estou desenvolvendo o tcc da faculdade que é bem puxada, acredito que eu não consiga conciliar os estudos com o serviço militar.</t>
  </si>
  <si>
    <t>Rua Quinze</t>
  </si>
  <si>
    <t>Casa 03</t>
  </si>
  <si>
    <t>Jardim Monte Verde</t>
  </si>
  <si>
    <t>Estrada da Ligação</t>
  </si>
  <si>
    <t>04851-531</t>
  </si>
  <si>
    <t>Alex Silva</t>
  </si>
  <si>
    <t>@alexnss_</t>
  </si>
  <si>
    <t>Pacote Office, Ferramentas Google, Administração</t>
  </si>
  <si>
    <t>ESTOU ESTUDANDO PARA A PROVA DA ESA, PRETENDO PRESTAR EM 2022, ATÉ PASSAR.</t>
  </si>
  <si>
    <t>Alameda dos juritis</t>
  </si>
  <si>
    <t>Recanto Campo Belo</t>
  </si>
  <si>
    <t>Depois da pizzaria Delícia</t>
  </si>
  <si>
    <t>04880-255</t>
  </si>
  <si>
    <t>Mateus Rezende</t>
  </si>
  <si>
    <t>@mateusrezende2</t>
  </si>
  <si>
    <t>0426</t>
  </si>
  <si>
    <t>Torneira mecânico e Ajustador mecânico</t>
  </si>
  <si>
    <t>Ciclismo</t>
  </si>
  <si>
    <t>MANOEL MOREIRA DOS SANTOS</t>
  </si>
  <si>
    <t>GISELE SIRRATE REZENDE</t>
  </si>
  <si>
    <t>EMANUELLY REZENE MOREIRA</t>
  </si>
  <si>
    <t>DOMÉSTICA</t>
  </si>
  <si>
    <t>PENSÃO DO FALECIDO PAI</t>
  </si>
  <si>
    <t>A família e o irmão</t>
  </si>
  <si>
    <t>O Irmão. Art 180</t>
  </si>
  <si>
    <t>Servir o exército brasileiro sempre foi uma das minhas metas, e poder fazer parte dessa grande força é um sonho</t>
  </si>
  <si>
    <t>Rua tenente coronel antonio braga</t>
  </si>
  <si>
    <t>Vila santa catarina</t>
  </si>
  <si>
    <t>Mercado ayume</t>
  </si>
  <si>
    <t>04376-040</t>
  </si>
  <si>
    <t>Gabrielcastilho11@hotmail.com</t>
  </si>
  <si>
    <t>@biel_aguiar02</t>
  </si>
  <si>
    <t>Futebol, boxe</t>
  </si>
  <si>
    <t>Desejo servir, pois sempre foi o que eu quis fazer, sei que vai agregar ao meu futuro como militar</t>
  </si>
  <si>
    <t>Avenida Cristovão Caresana</t>
  </si>
  <si>
    <t>Escola</t>
  </si>
  <si>
    <t>04847-010</t>
  </si>
  <si>
    <t>André Paiva</t>
  </si>
  <si>
    <t>Elétrica Automotiva, Informática, Inglês e Elétrica</t>
  </si>
  <si>
    <t>Unisa Campus 2</t>
  </si>
  <si>
    <t>Jiu-jitsu</t>
  </si>
  <si>
    <t>Rua Tolstoi</t>
  </si>
  <si>
    <t>Vila Brasilina</t>
  </si>
  <si>
    <t>Bar do faé</t>
  </si>
  <si>
    <t>Felipe Monteiro Castorino</t>
  </si>
  <si>
    <t>@felipemonteiro</t>
  </si>
  <si>
    <t>Não trabalho no momento</t>
  </si>
  <si>
    <t>Júlio Ribeiro</t>
  </si>
  <si>
    <t>Bebida alcoólica e Maconha</t>
  </si>
  <si>
    <t>ADILSON CASTOLINO</t>
  </si>
  <si>
    <t xml:space="preserve">Sim eh gostaria de servir </t>
  </si>
  <si>
    <t>Rua José Pedro da Silveira</t>
  </si>
  <si>
    <t>Jardim Bélgica</t>
  </si>
  <si>
    <t>Cruzamento Sabará com Washington Luiz</t>
  </si>
  <si>
    <t>04672-070</t>
  </si>
  <si>
    <t>Gabriel Nobre</t>
  </si>
  <si>
    <t>@nobre.ga</t>
  </si>
  <si>
    <t>0024</t>
  </si>
  <si>
    <t>Técnico em Redes, Programador, Pacote Office, Ferramentas Google</t>
  </si>
  <si>
    <t>Atualmente não trabalha. Já trabalhou como jovem aprendiz.</t>
  </si>
  <si>
    <t>Trabalhava como programador na empresa Super Bom.</t>
  </si>
  <si>
    <t>Centro Universitário SENAC e UNIVESP</t>
  </si>
  <si>
    <t xml:space="preserve">Musculação, corrida, volêi </t>
  </si>
  <si>
    <t>Joga volêi na faculdade (SENAC)</t>
  </si>
  <si>
    <t xml:space="preserve">Já tocou surdo (percussão) na Igreja Adventista </t>
  </si>
  <si>
    <t>Bla bla bla</t>
  </si>
  <si>
    <t xml:space="preserve">GENILDA MARIA MARCELINO </t>
  </si>
  <si>
    <t>ANA BEATRIZ MARCELINO NOBRE</t>
  </si>
  <si>
    <t xml:space="preserve">GERENTE DE SISTEMAS </t>
  </si>
  <si>
    <t>Justificativa em relação ao uso de armamento</t>
  </si>
  <si>
    <t>Desejar servir voluntariamente porque se identifica com a instituição, e sempre quis fazer parte.</t>
  </si>
  <si>
    <t>Av Doutor Torres Neto</t>
  </si>
  <si>
    <t>Av Dr torres neto, 15</t>
  </si>
  <si>
    <t>04424-120</t>
  </si>
  <si>
    <t>Ricardo Freire Cardoso</t>
  </si>
  <si>
    <t>@ricardo_freire15</t>
  </si>
  <si>
    <t>0313</t>
  </si>
  <si>
    <t>FIAP</t>
  </si>
  <si>
    <t>Vôlei, Natação, Musculação</t>
  </si>
  <si>
    <t>Mãe, Avô, Avó</t>
  </si>
  <si>
    <t>RENATA BEZERRA FREIRE</t>
  </si>
  <si>
    <t>JOSEFA DA SILVA BEZERRA FREIRE</t>
  </si>
  <si>
    <t>FRANCISCO MANOEL FREIRE</t>
  </si>
  <si>
    <t>COORDENADORA DE FINANÇAS</t>
  </si>
  <si>
    <t>APOSENTADO</t>
  </si>
  <si>
    <t>Sou voluntário quero servir o exército brasileiro, porque quero ajudar o meu país, ter disciplina e seguir carreira militar.</t>
  </si>
  <si>
    <t xml:space="preserve">Firmino Alves </t>
  </si>
  <si>
    <t>PARQUE SÃO LUCAS</t>
  </si>
  <si>
    <t xml:space="preserve">Pizzaria Nestor </t>
  </si>
  <si>
    <t>(11) 94020-6067</t>
  </si>
  <si>
    <t xml:space="preserve">Rodrigo Rinaldi </t>
  </si>
  <si>
    <t xml:space="preserve">@ro_sant_ </t>
  </si>
  <si>
    <t>0157</t>
  </si>
  <si>
    <t>Garçon</t>
  </si>
  <si>
    <t xml:space="preserve">Uninove - Vila Prudente </t>
  </si>
  <si>
    <t>Mãe, Irmãos, Avó</t>
  </si>
  <si>
    <t>LILIAN CRISTINA SANT ANNA RINALDI</t>
  </si>
  <si>
    <t>GABRIELA SANT ANNA RINALDI</t>
  </si>
  <si>
    <t>JESULINA SANT ANNA</t>
  </si>
  <si>
    <t>SECRETÁRIA EM LOJA DE CARROS</t>
  </si>
  <si>
    <t>TRABALHA NUMA EMPRESA DE CONTABILIDADE</t>
  </si>
  <si>
    <t>Quero servir para adquirir experiência.</t>
  </si>
  <si>
    <t>Rua travessa das ondinas</t>
  </si>
  <si>
    <t>Próximo ao viaduto de guaianases</t>
  </si>
  <si>
    <t>08450-200</t>
  </si>
  <si>
    <t>(11) 2551-9365 residencial</t>
  </si>
  <si>
    <t>Daniel Souza</t>
  </si>
  <si>
    <t>@dan_souza</t>
  </si>
  <si>
    <t>0078</t>
  </si>
  <si>
    <t>Não trabalha atualmente. Tralahava em "lava-jato"</t>
  </si>
  <si>
    <t>lavador de carros</t>
  </si>
  <si>
    <t>Nada</t>
  </si>
  <si>
    <t>Casa de parentes</t>
  </si>
  <si>
    <t>Silvana Rita de Souza</t>
  </si>
  <si>
    <t>Daniel Severino</t>
  </si>
  <si>
    <t>Vinicius Daniel de Souza Severino</t>
  </si>
  <si>
    <t>Giovana Vitória de Souza Severino</t>
  </si>
  <si>
    <t>Tem um primo que é Policial Militar em São Paulo</t>
  </si>
  <si>
    <t>Gostaria de servir meu país, pois acredito que é meu dever.</t>
  </si>
  <si>
    <t xml:space="preserve">Rua engenheiro joao lang </t>
  </si>
  <si>
    <t>Bloco 14, ap34a</t>
  </si>
  <si>
    <t>Jardim martine</t>
  </si>
  <si>
    <t>Ao lado de uma escola</t>
  </si>
  <si>
    <t xml:space="preserve">João vitor Martins </t>
  </si>
  <si>
    <t>@joao_vitor_martins</t>
  </si>
  <si>
    <t>Mecânico Automotivo, Aux Farmácia, Pacote Office, Ferramentas Google</t>
  </si>
  <si>
    <t>Bk operações</t>
  </si>
  <si>
    <t>Supervisor de operações</t>
  </si>
  <si>
    <t>Futebol, Vôlei, Basquete, Tênis, Tênis de mesa, Jiu-jitsu</t>
  </si>
  <si>
    <t>Por que eu quero lutar pelo meu pais</t>
  </si>
  <si>
    <t>Rua Justino Nigro</t>
  </si>
  <si>
    <t>Interlagos</t>
  </si>
  <si>
    <t>Próx. Autódromo de Interlagos</t>
  </si>
  <si>
    <t>04815-030</t>
  </si>
  <si>
    <t>Matheus Vieira Garcia</t>
  </si>
  <si>
    <t>@Matheus.vieira33</t>
  </si>
  <si>
    <t>Mecânico Automotivo, Elétrica Automotiva, Pintor, Cozinheiro, Pacote Office, Ferramentas Google</t>
  </si>
  <si>
    <t>TR PARTS BRASIL</t>
  </si>
  <si>
    <t>Vendedor automotivo</t>
  </si>
  <si>
    <t>Estacio de Sá</t>
  </si>
  <si>
    <t xml:space="preserve">Padrasto </t>
  </si>
  <si>
    <t>Anderson Gabriel Pereira Brás</t>
  </si>
  <si>
    <t>Elisangela de Jesus Vieira</t>
  </si>
  <si>
    <t xml:space="preserve">Gabriel Vieira Brás </t>
  </si>
  <si>
    <t>Iasmin Vieira Brás</t>
  </si>
  <si>
    <t>Caminhoneiro</t>
  </si>
  <si>
    <t>Aux de Limpeza</t>
  </si>
  <si>
    <t>Servir por questões de princípios e valores, honrar e proteger o Brasil</t>
  </si>
  <si>
    <t>Rua Chagu</t>
  </si>
  <si>
    <t>Vila Formosa</t>
  </si>
  <si>
    <t>Shopping Analia Franco</t>
  </si>
  <si>
    <t>03357-020</t>
  </si>
  <si>
    <t>(11) 99623-8777</t>
  </si>
  <si>
    <t>Victor Cesar</t>
  </si>
  <si>
    <t>@vct.azevedo</t>
  </si>
  <si>
    <t>@byvct</t>
  </si>
  <si>
    <t>Pintor, Cozinheiro, Pacote Office, Técnico em Marketing</t>
  </si>
  <si>
    <t>Faculdades Metropolitanas Unidas - FMU</t>
  </si>
  <si>
    <t>Futebol, Basquete</t>
  </si>
  <si>
    <t>Tenho vontade de servir desde criança</t>
  </si>
  <si>
    <t xml:space="preserve">Rua Tejupa </t>
  </si>
  <si>
    <t>Cidade leonor</t>
  </si>
  <si>
    <t>043500-020</t>
  </si>
  <si>
    <t xml:space="preserve">Vinicius Barros </t>
  </si>
  <si>
    <t>@Viny_jose59</t>
  </si>
  <si>
    <t>Mecânico Automotivo, Mecânico de Motocicletas, Elétrica Automotiva, Borracheiro</t>
  </si>
  <si>
    <t>PEZAO motos</t>
  </si>
  <si>
    <t>Mecânico</t>
  </si>
  <si>
    <t>Futebol, Vôlei, Jiu-jitsu, Ciclismo</t>
  </si>
  <si>
    <t>Catolico</t>
  </si>
  <si>
    <t>Jorge de Barros</t>
  </si>
  <si>
    <t>José de Barros</t>
  </si>
  <si>
    <t>Argea de Barros</t>
  </si>
  <si>
    <t>Motorista de Caminhão</t>
  </si>
  <si>
    <t>Costureira</t>
  </si>
  <si>
    <t xml:space="preserve">Sim quero servir </t>
  </si>
  <si>
    <t>Rua Sinfonia italiana</t>
  </si>
  <si>
    <t>Bloco: B16 Apto: 32</t>
  </si>
  <si>
    <t>Jardim São Bernardo</t>
  </si>
  <si>
    <t>Condomínio Palmares</t>
  </si>
  <si>
    <t>04844-610</t>
  </si>
  <si>
    <t>DerickBM</t>
  </si>
  <si>
    <t>@_derickbm_</t>
  </si>
  <si>
    <t>Mecânico Automotivo, Pacote Office</t>
  </si>
  <si>
    <t>Universidade de Santo Amaro (UNISA)</t>
  </si>
  <si>
    <t>Feirante</t>
  </si>
  <si>
    <t>Rua Casimiro de Abreu</t>
  </si>
  <si>
    <t>Vila Congonhas</t>
  </si>
  <si>
    <t>Supermercado Extra Aeroporto</t>
  </si>
  <si>
    <t>04624-111</t>
  </si>
  <si>
    <t>(11) 96777-1045</t>
  </si>
  <si>
    <t>diegoalves</t>
  </si>
  <si>
    <t>@d__alves</t>
  </si>
  <si>
    <t>Não trabalho</t>
  </si>
  <si>
    <t>Natação</t>
  </si>
  <si>
    <t>Academia</t>
  </si>
  <si>
    <t>Frequentava igrejas evangélicas</t>
  </si>
  <si>
    <t>Maciel Leandro Sant Ana</t>
  </si>
  <si>
    <t>Cassia Alves Sant Ana</t>
  </si>
  <si>
    <t>Camilla Alves Sant Ana</t>
  </si>
  <si>
    <t>O pai é policial militar no estado de São Paulo desde 2000. Atualmente Cabo da 1ª Cia do 12º BPM</t>
  </si>
  <si>
    <t xml:space="preserve">Sempre tive o objetivo de entrar nas forças armadas. </t>
  </si>
  <si>
    <t>Peso</t>
  </si>
  <si>
    <t>Altura</t>
  </si>
  <si>
    <t>Circunferência abdominal</t>
  </si>
  <si>
    <t>Pressão Arterial Sistólica (PAS)</t>
  </si>
  <si>
    <t>Pressão Arterial Diastólica (PAD)</t>
  </si>
  <si>
    <t>Possui comorbidades?</t>
  </si>
  <si>
    <t>Possui alergias?</t>
  </si>
  <si>
    <t>Faz uso de algum medicamento?</t>
  </si>
  <si>
    <t>Antecedentes familiares</t>
  </si>
  <si>
    <t>Antecedentes pessoais</t>
  </si>
  <si>
    <t>Internações prévias</t>
  </si>
  <si>
    <t>Cirurgias prévias</t>
  </si>
  <si>
    <t>Observações</t>
  </si>
  <si>
    <t>Parecer</t>
  </si>
  <si>
    <t>Avaliador</t>
  </si>
  <si>
    <t>Nr</t>
  </si>
  <si>
    <t>Sem alteração</t>
  </si>
  <si>
    <t>Indicado</t>
  </si>
  <si>
    <t>STEPHANIA MORREALE - Asp Of Med</t>
  </si>
  <si>
    <t>Roacutan (acne)</t>
  </si>
  <si>
    <t xml:space="preserve">Ansiedade, Tomou remedio pra ansiedade. </t>
  </si>
  <si>
    <t>Acuidade 20/20</t>
  </si>
  <si>
    <t>CLARISSA MARIA GOMES DE ALMEIDA - Asp Of Med</t>
  </si>
  <si>
    <t>Visao 20/20</t>
  </si>
  <si>
    <t>GABRIELA ANZAI PAVONI - Asp Of Med</t>
  </si>
  <si>
    <t>Depressão, Mãe</t>
  </si>
  <si>
    <t>Visao 20/25</t>
  </si>
  <si>
    <t>VINICIUS DANIEL FARIS DE CAMPOS - Asp Of Med</t>
  </si>
  <si>
    <t>GUSTAVO ESTEFAN LAGE - Asp Of Med</t>
  </si>
  <si>
    <t>Buscopan</t>
  </si>
  <si>
    <t>Queimadura de perna esquerda</t>
  </si>
  <si>
    <t>Enxertia de coxa esquerda por queimadura</t>
  </si>
  <si>
    <t>Ansiedade</t>
  </si>
  <si>
    <t>Parcialmente</t>
  </si>
  <si>
    <t>Dermatite</t>
  </si>
  <si>
    <t>Snellen 20/25</t>
  </si>
  <si>
    <t>Miopia 6 graus</t>
  </si>
  <si>
    <t>Mae ja tratou ansiedade</t>
  </si>
  <si>
    <t>Infancia por refluxo</t>
  </si>
  <si>
    <t>Infancia dengue</t>
  </si>
  <si>
    <t xml:space="preserve">Amoxicilina </t>
  </si>
  <si>
    <t xml:space="preserve">Ansiedade, Nao usa medicacao </t>
  </si>
  <si>
    <t>Amigdalectomia</t>
  </si>
  <si>
    <t>Meningite aos 7 anos</t>
  </si>
  <si>
    <t xml:space="preserve">Poeira </t>
  </si>
  <si>
    <t>Pai asmatico</t>
  </si>
  <si>
    <t>Bronquite?</t>
  </si>
  <si>
    <t>Relata nunca ter precisado de ajuda medica , relata exercicios fisicos sem intercorrencia</t>
  </si>
  <si>
    <t>Mae HAS</t>
  </si>
  <si>
    <t>Asma controlada</t>
  </si>
  <si>
    <t>Loratadina</t>
  </si>
  <si>
    <t>Pai HAS</t>
  </si>
  <si>
    <t>Asma</t>
  </si>
  <si>
    <t>Somente na infancia</t>
  </si>
  <si>
    <t>Mae tireoide</t>
  </si>
  <si>
    <t>Boa forma fisica, pratica esportes e musculacao</t>
  </si>
  <si>
    <t>Fratura em 5 metatarso pé direito</t>
  </si>
  <si>
    <t xml:space="preserve">Cirurgia dedo </t>
  </si>
  <si>
    <t>Correção em fratura 5 metatarso pé esquedo 2020</t>
  </si>
  <si>
    <t>Indicado, toca instrumentos, tocava no teatro municipal</t>
  </si>
  <si>
    <t>Pai HAS, mae para o coracao</t>
  </si>
  <si>
    <t>Pratica esportes e musculacao com frequencia, varios familiares militares, boa forma fisica</t>
  </si>
  <si>
    <t>Asma - step 1</t>
  </si>
  <si>
    <t>Apendicite ha 1 ano</t>
  </si>
  <si>
    <t>Ansiedade, Ansiedade leve</t>
  </si>
  <si>
    <t>Acuidade visual 20/20</t>
  </si>
  <si>
    <t>Acuidade visual 20/50</t>
  </si>
  <si>
    <t>Amoxilina</t>
  </si>
  <si>
    <t>Sulfa</t>
  </si>
  <si>
    <t>Nefrectomia direita(tu de wilms)</t>
  </si>
  <si>
    <t>Acuidade 20/25</t>
  </si>
  <si>
    <t>Amoxicilina</t>
  </si>
  <si>
    <t>Depressão, Ansiedade, Mae e pai</t>
  </si>
  <si>
    <t>Queimadura aos 10 anos</t>
  </si>
  <si>
    <t>Depressão, Mae trata depressao</t>
  </si>
  <si>
    <t>Refere que ja experimentou maconha, porem nao provou mais</t>
  </si>
  <si>
    <t>Depressão, Mãe e avó</t>
  </si>
  <si>
    <t>Hernia inguinal direita</t>
  </si>
  <si>
    <t>Depressão</t>
  </si>
  <si>
    <t>Não, Bronquite infancia</t>
  </si>
  <si>
    <t>Tubinectomia e adenectomia infancia</t>
  </si>
  <si>
    <t>Rinite</t>
  </si>
  <si>
    <t>Desidratacao em pernambuco em 2010 ,!por GECA (diarréia)</t>
  </si>
  <si>
    <t>Mae diabetes</t>
  </si>
  <si>
    <t>Internacao por queda de escada aos 6 anos, sem necessidade de cirurgi.</t>
  </si>
  <si>
    <t>Acuidade visual 20/20.</t>
  </si>
  <si>
    <t>Mae antidepressivo , tomava</t>
  </si>
  <si>
    <t>Mae toma para “afinar o sangue”</t>
  </si>
  <si>
    <t>Otoplastia e amigdalectomia infancia</t>
  </si>
  <si>
    <t>Miopia 0,75 - visao 20/25</t>
  </si>
  <si>
    <t>Hernia umbilical aos 5 anos</t>
  </si>
  <si>
    <t>Visão 20/20</t>
  </si>
  <si>
    <t>Depressão, Mãe em uso de medicamentos.</t>
  </si>
  <si>
    <t>Acuidade visual 20/40 (ruim)</t>
  </si>
  <si>
    <t>Boa forma fisica</t>
  </si>
  <si>
    <t>3 anos de idade, varicocele</t>
  </si>
  <si>
    <t>Ginecomastia</t>
  </si>
  <si>
    <t>Não, Convulsao ate os 5 anos</t>
  </si>
  <si>
    <t>Sim, 1 internação por crise convulsiva aos 2 anos</t>
  </si>
  <si>
    <t>Alergico a corantes.</t>
  </si>
  <si>
    <t>Depressão, Ansiedade, Pai e irmao em uso de medicamentos.</t>
  </si>
  <si>
    <t>Acuidade 20/25 com correcao</t>
  </si>
  <si>
    <t>Ansiedade, Ansiedade</t>
  </si>
  <si>
    <t>Apendicectomia em 2016</t>
  </si>
  <si>
    <t>Acuidade 20/20, Leve escoliose coluna toracica</t>
  </si>
  <si>
    <t>Peito escavado</t>
  </si>
  <si>
    <t>Retirada de testiculo esquerdo há 4 anos</t>
  </si>
  <si>
    <t>Bebeu cloro sem querer</t>
  </si>
  <si>
    <t>Visao 20/40</t>
  </si>
  <si>
    <t>Cirurgia apendice</t>
  </si>
  <si>
    <t>Apendicectomia</t>
  </si>
  <si>
    <t>Alergia a leite</t>
  </si>
  <si>
    <t>Miopia 2 graus - visao 20/25</t>
  </si>
  <si>
    <t>Meningite na infancia</t>
  </si>
  <si>
    <t>Miopia 3 graus</t>
  </si>
  <si>
    <t>Miopia e astigmatismo</t>
  </si>
  <si>
    <t xml:space="preserve">Dipirona </t>
  </si>
  <si>
    <t xml:space="preserve">Não, Miopia </t>
  </si>
  <si>
    <t>Meningite infância e aos 13 anos</t>
  </si>
  <si>
    <t>Tecidos moles</t>
  </si>
  <si>
    <t>Tecidos duros</t>
  </si>
  <si>
    <t>Relação dento-facial</t>
  </si>
  <si>
    <t>Utiliza prótese dentária (removível ou total)?</t>
  </si>
  <si>
    <t>Utiliza aparelho ortodôntico (fixo ou removível)?</t>
  </si>
  <si>
    <t>Apresenta ausência de dentes e/ou dentes perdidos ou provavelmente perdidos?</t>
  </si>
  <si>
    <t>Diagnótico</t>
  </si>
  <si>
    <t>Não cirúrgico</t>
  </si>
  <si>
    <t>RANI DA CUNHA MORETTI - 1º Ten</t>
  </si>
  <si>
    <t>GRAZIELLA GISELE COSTA DANILO YAMAMOTO - 1º Ten</t>
  </si>
  <si>
    <t>LÍGIA MARIA FERREIRA TUONO - 2º Ten</t>
  </si>
  <si>
    <t>K02 - Cárie dentária, K08.1 - Perda de dentes devida a acidente, extração ou a doenças periodontais localizadas</t>
  </si>
  <si>
    <t>17e 26</t>
  </si>
  <si>
    <t>Cirúrgico</t>
  </si>
  <si>
    <t>Com alteração</t>
  </si>
  <si>
    <t>45 e 46</t>
  </si>
  <si>
    <t>K07 - Anomalias dentofaciais (inclusive a maloclusão), Sobremordida</t>
  </si>
  <si>
    <t>MARIANA SOARES MARTINS - 1º Ten</t>
  </si>
  <si>
    <t>K07 - Anomalias dentofaciais (inclusive a maloclusão)</t>
  </si>
  <si>
    <t>Não cirurgico</t>
  </si>
  <si>
    <t>26 e 36</t>
  </si>
  <si>
    <t>35,45,27</t>
  </si>
  <si>
    <t>K05 - Gengivite e doenças periodontais, K08.1 - Perda de dentes devida a acidente, extração ou a doenças periodontais localizadas, Ausência de dentes e gengiva inflamada</t>
  </si>
  <si>
    <t>Contraindicado</t>
  </si>
  <si>
    <t>Dente 46</t>
  </si>
  <si>
    <t xml:space="preserve">K02 - Cárie dentária, K07 - Anomalias dentofaciais (inclusive a maloclusão), Moreira aberta anterior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</si>
</sst>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d/MM/yyyy"/>
    <numFmt numFmtId="165" formatCode="HH:mm:ss"/>
    <numFmt numFmtId="166" formatCode="0000#-###"/>
    <numFmt numFmtId="167" formatCode="00000000#-0#"/>
    <numFmt numFmtId="168" formatCode="(0#) 00000-0000"/>
    <numFmt numFmtId="169" formatCode="000000000-00"/>
    <numFmt numFmtId="170" formatCode="(00) 00000-0000"/>
    <numFmt numFmtId="171" formatCode="00000000000#"/>
    <numFmt numFmtId="172" formatCode="m/d/yyyy h:mm:ss"/>
  </numFmts>
  <fonts count="10">
    <font>
      <sz val="10.0"/>
      <color rgb="FF000000"/>
      <name val="Arial"/>
    </font>
    <font>
      <b/>
      <sz val="12.0"/>
      <color theme="1"/>
      <name val="Times New Roman"/>
    </font>
    <font/>
    <font>
      <sz val="12.0"/>
      <color theme="1"/>
      <name val="Times New Roman"/>
    </font>
    <font>
      <b/>
      <sz val="12.0"/>
      <color rgb="FF000000"/>
      <name val="Times New Roman"/>
    </font>
    <font>
      <sz val="12.0"/>
      <color rgb="FF000000"/>
      <name val="Times New Roman"/>
    </font>
    <font>
      <b/>
      <color theme="1"/>
      <name val="Arial"/>
    </font>
    <font>
      <color theme="1"/>
      <name val="Arial"/>
    </font>
    <font>
      <color rgb="FF000000"/>
      <name val="Arial"/>
    </font>
    <font>
      <sz val="11.0"/>
      <color rgb="FF202124"/>
      <name val="Roboto"/>
    </font>
  </fonts>
  <fills count="3">
    <fill>
      <patternFill patternType="none"/>
    </fill>
    <fill>
      <patternFill patternType="lightGray"/>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0" fillId="0" fontId="3" numFmtId="0" xfId="0" applyFont="1"/>
    <xf borderId="4" fillId="0" fontId="3" numFmtId="0" xfId="0" applyBorder="1" applyFont="1"/>
    <xf borderId="4" fillId="0" fontId="3" numFmtId="0" xfId="0" applyAlignment="1" applyBorder="1" applyFont="1">
      <alignment horizontal="left"/>
    </xf>
    <xf borderId="4" fillId="0" fontId="1" numFmtId="0" xfId="0" applyAlignment="1" applyBorder="1" applyFont="1">
      <alignment horizontal="center" readingOrder="0" vertical="center"/>
    </xf>
    <xf borderId="4" fillId="0" fontId="1" numFmtId="49" xfId="0" applyAlignment="1" applyBorder="1" applyFont="1" applyNumberFormat="1">
      <alignment horizontal="center" readingOrder="0" vertical="center"/>
    </xf>
    <xf borderId="4" fillId="0" fontId="4" numFmtId="164" xfId="0" applyAlignment="1" applyBorder="1" applyFont="1" applyNumberFormat="1">
      <alignment horizontal="center" readingOrder="0" shrinkToFit="0" vertical="center" wrapText="0"/>
    </xf>
    <xf borderId="4" fillId="0" fontId="4" numFmtId="0" xfId="0" applyAlignment="1" applyBorder="1" applyFont="1">
      <alignment horizontal="center" readingOrder="0" shrinkToFit="0" vertical="center" wrapText="0"/>
    </xf>
    <xf borderId="5" fillId="0" fontId="4" numFmtId="0" xfId="0" applyAlignment="1" applyBorder="1" applyFont="1">
      <alignment horizontal="center" readingOrder="0" shrinkToFit="0" vertical="center" wrapText="0"/>
    </xf>
    <xf borderId="4" fillId="0" fontId="4" numFmtId="0" xfId="0" applyAlignment="1" applyBorder="1" applyFont="1">
      <alignment horizontal="center" readingOrder="0" shrinkToFit="0" vertical="center" wrapText="1"/>
    </xf>
    <xf borderId="4" fillId="0" fontId="3" numFmtId="49" xfId="0" applyAlignment="1" applyBorder="1" applyFont="1" applyNumberFormat="1">
      <alignment readingOrder="0"/>
    </xf>
    <xf borderId="4" fillId="0" fontId="3" numFmtId="0" xfId="0" applyAlignment="1" applyBorder="1" applyFont="1">
      <alignment horizontal="center" readingOrder="0"/>
    </xf>
    <xf borderId="4" fillId="0" fontId="3" numFmtId="164" xfId="0" applyAlignment="1" applyBorder="1" applyFont="1" applyNumberFormat="1">
      <alignment horizontal="left" readingOrder="0"/>
    </xf>
    <xf borderId="4" fillId="0" fontId="3" numFmtId="165" xfId="0" applyAlignment="1" applyBorder="1" applyFont="1" applyNumberFormat="1">
      <alignment horizontal="left" readingOrder="0"/>
    </xf>
    <xf borderId="4" fillId="0" fontId="3" numFmtId="0" xfId="0" applyAlignment="1" applyBorder="1" applyFont="1">
      <alignment readingOrder="0"/>
    </xf>
    <xf borderId="4" fillId="2" fontId="5" numFmtId="0" xfId="0" applyBorder="1" applyFill="1" applyFont="1"/>
    <xf borderId="4" fillId="0" fontId="3" numFmtId="0" xfId="0" applyAlignment="1" applyBorder="1" applyFont="1">
      <alignment horizontal="left" readingOrder="0"/>
    </xf>
    <xf borderId="4" fillId="2" fontId="5" numFmtId="0" xfId="0" applyAlignment="1" applyBorder="1" applyFont="1">
      <alignment horizontal="left"/>
    </xf>
    <xf borderId="3" fillId="0" fontId="3" numFmtId="0" xfId="0" applyAlignment="1" applyBorder="1" applyFont="1">
      <alignment horizontal="center" readingOrder="0"/>
    </xf>
    <xf borderId="3" fillId="0" fontId="5" numFmtId="164" xfId="0" applyAlignment="1" applyBorder="1" applyFont="1" applyNumberFormat="1">
      <alignment horizontal="center" readingOrder="0" shrinkToFit="0" vertical="bottom" wrapText="0"/>
    </xf>
    <xf borderId="3" fillId="0" fontId="5" numFmtId="0" xfId="0" applyAlignment="1" applyBorder="1" applyFont="1">
      <alignment horizontal="center" readingOrder="0" shrinkToFit="0" vertical="bottom" wrapText="0"/>
    </xf>
    <xf borderId="3" fillId="0" fontId="5" numFmtId="49" xfId="0" applyAlignment="1" applyBorder="1" applyFont="1" applyNumberFormat="1">
      <alignment horizontal="center" readingOrder="0" shrinkToFit="0" vertical="bottom" wrapText="0"/>
    </xf>
    <xf borderId="3" fillId="0" fontId="5" numFmtId="0" xfId="0" applyAlignment="1" applyBorder="1" applyFont="1">
      <alignment readingOrder="0" shrinkToFit="0" vertical="bottom" wrapText="0"/>
    </xf>
    <xf borderId="6" fillId="0" fontId="5" numFmtId="0" xfId="0" applyAlignment="1" applyBorder="1" applyFont="1">
      <alignment readingOrder="0" shrinkToFit="0" vertical="bottom" wrapText="0"/>
    </xf>
    <xf borderId="3" fillId="0" fontId="5" numFmtId="166" xfId="0" applyAlignment="1" applyBorder="1" applyFont="1" applyNumberFormat="1">
      <alignment horizontal="right" readingOrder="0" shrinkToFit="0" vertical="bottom" wrapText="0"/>
    </xf>
    <xf borderId="3" fillId="0" fontId="5" numFmtId="49" xfId="0" applyAlignment="1" applyBorder="1" applyFont="1" applyNumberFormat="1">
      <alignment horizontal="right" readingOrder="0" shrinkToFit="0" vertical="bottom" wrapText="0"/>
    </xf>
    <xf borderId="4" fillId="0" fontId="5" numFmtId="0" xfId="0" applyAlignment="1" applyBorder="1" applyFont="1">
      <alignment horizontal="center" readingOrder="0" shrinkToFit="0" vertical="bottom" wrapText="0"/>
    </xf>
    <xf borderId="4" fillId="0" fontId="5" numFmtId="0" xfId="0" applyAlignment="1" applyBorder="1" applyFont="1">
      <alignment horizontal="left" readingOrder="0" shrinkToFit="0" vertical="bottom" wrapText="0"/>
    </xf>
    <xf borderId="4" fillId="0" fontId="5" numFmtId="164" xfId="0" applyAlignment="1" applyBorder="1" applyFont="1" applyNumberFormat="1">
      <alignment horizontal="center" readingOrder="0" shrinkToFit="0" vertical="bottom" wrapText="0"/>
    </xf>
    <xf borderId="4" fillId="0" fontId="5" numFmtId="49" xfId="0" applyAlignment="1" applyBorder="1" applyFont="1" applyNumberFormat="1">
      <alignment horizontal="center" readingOrder="0" shrinkToFit="0" vertical="bottom" wrapText="0"/>
    </xf>
    <xf borderId="4" fillId="0" fontId="5" numFmtId="0" xfId="0" applyAlignment="1" applyBorder="1" applyFont="1">
      <alignment readingOrder="0" shrinkToFit="0" vertical="bottom" wrapText="0"/>
    </xf>
    <xf borderId="4" fillId="0" fontId="5" numFmtId="166" xfId="0" applyAlignment="1" applyBorder="1" applyFont="1" applyNumberFormat="1">
      <alignment horizontal="right" readingOrder="0" shrinkToFit="0" vertical="bottom" wrapText="0"/>
    </xf>
    <xf borderId="4" fillId="0" fontId="5" numFmtId="49" xfId="0" applyAlignment="1" applyBorder="1" applyFont="1" applyNumberFormat="1">
      <alignment horizontal="right" readingOrder="0" shrinkToFit="0" vertical="bottom" wrapText="0"/>
    </xf>
    <xf borderId="6" fillId="0" fontId="5" numFmtId="164" xfId="0" applyAlignment="1" applyBorder="1" applyFont="1" applyNumberFormat="1">
      <alignment horizontal="center" readingOrder="0" shrinkToFit="0" vertical="bottom" wrapText="0"/>
    </xf>
    <xf borderId="6" fillId="0" fontId="5" numFmtId="0" xfId="0" applyAlignment="1" applyBorder="1" applyFont="1">
      <alignment horizontal="center" readingOrder="0" shrinkToFit="0" vertical="bottom" wrapText="0"/>
    </xf>
    <xf borderId="6" fillId="0" fontId="5" numFmtId="49" xfId="0" applyAlignment="1" applyBorder="1" applyFont="1" applyNumberFormat="1">
      <alignment horizontal="center" readingOrder="0" shrinkToFit="0" vertical="bottom" wrapText="0"/>
    </xf>
    <xf borderId="6" fillId="0" fontId="5" numFmtId="166" xfId="0" applyAlignment="1" applyBorder="1" applyFont="1" applyNumberFormat="1">
      <alignment horizontal="right" readingOrder="0" shrinkToFit="0" vertical="bottom" wrapText="0"/>
    </xf>
    <xf borderId="6" fillId="0" fontId="5" numFmtId="49" xfId="0" applyAlignment="1" applyBorder="1" applyFont="1" applyNumberFormat="1">
      <alignment horizontal="right" readingOrder="0" shrinkToFit="0" vertical="bottom" wrapText="0"/>
    </xf>
    <xf borderId="6" fillId="0" fontId="5" numFmtId="167" xfId="0" applyAlignment="1" applyBorder="1" applyFont="1" applyNumberFormat="1">
      <alignment horizontal="center" readingOrder="0" shrinkToFit="0" vertical="bottom" wrapText="0"/>
    </xf>
    <xf borderId="6" fillId="0" fontId="5" numFmtId="168" xfId="0" applyAlignment="1" applyBorder="1" applyFont="1" applyNumberFormat="1">
      <alignment horizontal="right" readingOrder="0" shrinkToFit="0" vertical="bottom" wrapText="0"/>
    </xf>
    <xf borderId="4" fillId="0" fontId="3" numFmtId="49" xfId="0" applyBorder="1" applyFont="1" applyNumberFormat="1"/>
    <xf borderId="4" fillId="0" fontId="3" numFmtId="0" xfId="0" applyAlignment="1" applyBorder="1" applyFont="1">
      <alignment horizontal="center"/>
    </xf>
    <xf borderId="4" fillId="0" fontId="3" numFmtId="49" xfId="0" applyAlignment="1" applyBorder="1" applyFont="1" applyNumberFormat="1">
      <alignment vertical="bottom"/>
    </xf>
    <xf borderId="4" fillId="0" fontId="3" numFmtId="0" xfId="0" applyAlignment="1" applyBorder="1" applyFont="1">
      <alignment horizontal="center" vertical="bottom"/>
    </xf>
    <xf borderId="4" fillId="0" fontId="3" numFmtId="0" xfId="0" applyAlignment="1" applyBorder="1" applyFont="1">
      <alignment readingOrder="0" vertical="bottom"/>
    </xf>
    <xf borderId="4" fillId="0" fontId="3" numFmtId="0" xfId="0" applyAlignment="1" applyBorder="1" applyFont="1">
      <alignment vertical="bottom"/>
    </xf>
    <xf borderId="4" fillId="2" fontId="5" numFmtId="0" xfId="0" applyAlignment="1" applyBorder="1" applyFont="1">
      <alignment vertical="bottom"/>
    </xf>
    <xf borderId="3" fillId="0" fontId="3" numFmtId="0" xfId="0" applyAlignment="1" applyBorder="1" applyFont="1">
      <alignment horizontal="center" readingOrder="0" vertical="bottom"/>
    </xf>
    <xf borderId="6" fillId="0" fontId="3" numFmtId="164" xfId="0" applyAlignment="1" applyBorder="1" applyFont="1" applyNumberFormat="1">
      <alignment horizontal="center" readingOrder="0" vertical="bottom"/>
    </xf>
    <xf borderId="6" fillId="0" fontId="3" numFmtId="0" xfId="0" applyAlignment="1" applyBorder="1" applyFont="1">
      <alignment readingOrder="0" vertical="bottom"/>
    </xf>
    <xf borderId="6" fillId="0" fontId="5" numFmtId="169" xfId="0" applyAlignment="1" applyBorder="1" applyFont="1" applyNumberFormat="1">
      <alignment horizontal="center" readingOrder="0" shrinkToFit="0" vertical="bottom" wrapText="0"/>
    </xf>
    <xf borderId="6" fillId="0" fontId="3" numFmtId="0" xfId="0" applyAlignment="1" applyBorder="1" applyFont="1">
      <alignment vertical="bottom"/>
    </xf>
    <xf borderId="6" fillId="0" fontId="5" numFmtId="166" xfId="0" applyAlignment="1" applyBorder="1" applyFont="1" applyNumberFormat="1">
      <alignment horizontal="right" vertical="bottom"/>
    </xf>
    <xf borderId="6" fillId="0" fontId="3" numFmtId="170" xfId="0" applyAlignment="1" applyBorder="1" applyFont="1" applyNumberFormat="1">
      <alignment readingOrder="0" vertical="bottom"/>
    </xf>
    <xf borderId="4" fillId="0" fontId="5" numFmtId="0" xfId="0" applyAlignment="1" applyBorder="1" applyFont="1">
      <alignment horizontal="center" vertical="bottom"/>
    </xf>
    <xf borderId="4" fillId="0" fontId="5" numFmtId="0" xfId="0" applyAlignment="1" applyBorder="1" applyFont="1">
      <alignment vertical="bottom"/>
    </xf>
    <xf borderId="6" fillId="0" fontId="5" numFmtId="166" xfId="0" applyAlignment="1" applyBorder="1" applyFont="1" applyNumberFormat="1">
      <alignment horizontal="right" readingOrder="0" shrinkToFit="0" vertical="bottom" wrapText="0"/>
    </xf>
    <xf borderId="0" fillId="0" fontId="3" numFmtId="0" xfId="0" applyAlignment="1" applyFont="1">
      <alignment horizontal="left" readingOrder="0"/>
    </xf>
    <xf borderId="4" fillId="2" fontId="5" numFmtId="0" xfId="0" applyAlignment="1" applyBorder="1" applyFont="1">
      <alignment horizontal="left" readingOrder="0"/>
    </xf>
    <xf borderId="6" fillId="0" fontId="5" numFmtId="167" xfId="0" applyAlignment="1" applyBorder="1" applyFont="1" applyNumberFormat="1">
      <alignment horizontal="center" readingOrder="0" shrinkToFit="0" vertical="bottom" wrapText="0"/>
    </xf>
    <xf borderId="6" fillId="0" fontId="5" numFmtId="168" xfId="0" applyAlignment="1" applyBorder="1" applyFont="1" applyNumberFormat="1">
      <alignment horizontal="right" readingOrder="0" shrinkToFit="0" vertical="bottom" wrapText="0"/>
    </xf>
    <xf borderId="0" fillId="0" fontId="6" numFmtId="0" xfId="0" applyFont="1"/>
    <xf borderId="0" fillId="0" fontId="6" numFmtId="0" xfId="0" applyAlignment="1" applyFont="1">
      <alignment readingOrder="0"/>
    </xf>
    <xf borderId="0" fillId="0" fontId="6" numFmtId="171" xfId="0" applyFont="1" applyNumberFormat="1"/>
    <xf borderId="0" fillId="0" fontId="6" numFmtId="0" xfId="0" applyAlignment="1" applyFont="1">
      <alignment readingOrder="0" vertical="bottom"/>
    </xf>
    <xf borderId="0" fillId="0" fontId="6" numFmtId="0" xfId="0" applyAlignment="1" applyFont="1">
      <alignment horizontal="center" readingOrder="0" vertical="bottom"/>
    </xf>
    <xf borderId="0" fillId="0" fontId="6" numFmtId="0" xfId="0" applyAlignment="1" applyFont="1">
      <alignment horizontal="center" vertical="bottom"/>
    </xf>
    <xf borderId="0" fillId="0" fontId="7" numFmtId="172" xfId="0" applyAlignment="1" applyFont="1" applyNumberFormat="1">
      <alignment readingOrder="0"/>
    </xf>
    <xf borderId="0" fillId="0" fontId="7" numFmtId="0" xfId="0" applyAlignment="1" applyFont="1">
      <alignment readingOrder="0"/>
    </xf>
    <xf borderId="0" fillId="0" fontId="7" numFmtId="0" xfId="0" applyAlignment="1" applyFont="1">
      <alignment readingOrder="0"/>
    </xf>
    <xf borderId="0" fillId="0" fontId="7" numFmtId="171" xfId="0" applyAlignment="1" applyFont="1" applyNumberFormat="1">
      <alignment readingOrder="0"/>
    </xf>
    <xf borderId="0" fillId="0" fontId="7" numFmtId="1" xfId="0" applyAlignment="1" applyFont="1" applyNumberFormat="1">
      <alignment horizontal="center"/>
    </xf>
    <xf borderId="0" fillId="2" fontId="8" numFmtId="1" xfId="0" applyAlignment="1" applyFont="1" applyNumberFormat="1">
      <alignment horizontal="center" vertical="bottom"/>
    </xf>
    <xf borderId="0" fillId="0" fontId="7" numFmtId="171" xfId="0" applyFont="1" applyNumberFormat="1"/>
    <xf borderId="0" fillId="0" fontId="7" numFmtId="1" xfId="0" applyAlignment="1" applyFont="1" applyNumberFormat="1">
      <alignment horizontal="center" readingOrder="0" vertical="bottom"/>
    </xf>
    <xf borderId="0" fillId="0" fontId="7" numFmtId="0" xfId="0" applyFont="1"/>
    <xf borderId="0" fillId="0" fontId="7" numFmtId="0" xfId="0" applyFont="1"/>
    <xf borderId="0" fillId="2" fontId="8" numFmtId="0" xfId="0" applyAlignment="1" applyFont="1">
      <alignment horizontal="left" readingOrder="0"/>
    </xf>
    <xf borderId="0" fillId="0" fontId="7" numFmtId="172" xfId="0" applyAlignment="1" applyFont="1" applyNumberFormat="1">
      <alignment horizontal="right" vertical="bottom"/>
    </xf>
    <xf borderId="0" fillId="0" fontId="7" numFmtId="0" xfId="0" applyAlignment="1" applyFont="1">
      <alignment vertical="bottom"/>
    </xf>
    <xf borderId="0" fillId="0" fontId="7" numFmtId="0" xfId="0" applyAlignment="1" applyFont="1">
      <alignment horizontal="right" vertical="bottom"/>
    </xf>
    <xf borderId="0" fillId="0" fontId="7" numFmtId="0" xfId="0" applyAlignment="1" applyFont="1">
      <alignment vertical="bottom"/>
    </xf>
    <xf borderId="0" fillId="0" fontId="7" numFmtId="171" xfId="0" applyAlignment="1" applyFont="1" applyNumberFormat="1">
      <alignment vertical="bottom"/>
    </xf>
    <xf borderId="0" fillId="0" fontId="7" numFmtId="1" xfId="0" applyAlignment="1" applyFont="1" applyNumberFormat="1">
      <alignment horizontal="center" vertical="bottom"/>
    </xf>
    <xf borderId="0" fillId="2" fontId="7" numFmtId="1" xfId="0" applyAlignment="1" applyFont="1" applyNumberFormat="1">
      <alignment horizontal="center" vertical="bottom"/>
    </xf>
    <xf quotePrefix="1" borderId="0" fillId="0" fontId="7" numFmtId="0" xfId="0" applyAlignment="1" applyFont="1">
      <alignment readingOrder="0"/>
    </xf>
    <xf borderId="0" fillId="2" fontId="9" numFmtId="0" xfId="0" applyAlignment="1" applyFont="1">
      <alignment readingOrder="0"/>
    </xf>
  </cellXfs>
  <cellStyles count="1">
    <cellStyle xfId="0" name="Normal" builtinId="0"/>
  </cellStyles>
  <dxfs count="2">
    <dxf>
      <font/>
      <fill>
        <patternFill patternType="solid">
          <fgColor rgb="FFFF0000"/>
          <bgColor rgb="FFFF0000"/>
        </patternFill>
      </fill>
      <border/>
    </dxf>
    <dxf>
      <font/>
      <fill>
        <patternFill patternType="solid">
          <fgColor rgb="FF4285F4"/>
          <bgColor rgb="FF4285F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6.71"/>
    <col customWidth="1" min="3" max="3" width="12.57"/>
    <col customWidth="1" min="17" max="17" width="15.86"/>
    <col customWidth="1" min="21" max="21" width="31.71"/>
    <col customWidth="1" min="25" max="25" width="9.14"/>
    <col customWidth="1" min="29" max="29" width="11.57"/>
    <col customWidth="1" min="30" max="30" width="14.71"/>
    <col customWidth="1" min="31" max="31" width="25.71"/>
  </cols>
  <sheetData>
    <row r="1">
      <c r="A1" s="1" t="s">
        <v>0</v>
      </c>
      <c r="B1" s="2"/>
      <c r="C1" s="2"/>
      <c r="D1" s="2"/>
      <c r="E1" s="2"/>
      <c r="F1" s="2"/>
      <c r="G1" s="3"/>
      <c r="H1" s="1" t="s">
        <v>1</v>
      </c>
      <c r="I1" s="2"/>
      <c r="J1" s="2"/>
      <c r="K1" s="2"/>
      <c r="L1" s="2"/>
      <c r="M1" s="3"/>
      <c r="N1" s="1" t="s">
        <v>2</v>
      </c>
      <c r="O1" s="4"/>
      <c r="P1" s="4"/>
      <c r="Q1" s="4"/>
      <c r="R1" s="4"/>
      <c r="S1" s="4"/>
      <c r="T1" s="4"/>
      <c r="U1" s="4"/>
      <c r="V1" s="4"/>
      <c r="W1" s="4"/>
      <c r="X1" s="4"/>
      <c r="Y1" s="4"/>
      <c r="Z1" s="5"/>
      <c r="AA1" s="6"/>
      <c r="AB1" s="6"/>
      <c r="AC1" s="7"/>
      <c r="AD1" s="7"/>
      <c r="AE1" s="8"/>
    </row>
    <row r="2">
      <c r="A2" s="9" t="s">
        <v>3</v>
      </c>
      <c r="B2" s="9" t="s">
        <v>4</v>
      </c>
      <c r="C2" s="10" t="s">
        <v>5</v>
      </c>
      <c r="D2" s="10" t="s">
        <v>6</v>
      </c>
      <c r="E2" s="9" t="s">
        <v>7</v>
      </c>
      <c r="F2" s="9" t="s">
        <v>8</v>
      </c>
      <c r="G2" s="9" t="s">
        <v>9</v>
      </c>
      <c r="H2" s="9" t="s">
        <v>10</v>
      </c>
      <c r="I2" s="9" t="s">
        <v>11</v>
      </c>
      <c r="J2" s="9" t="s">
        <v>12</v>
      </c>
      <c r="K2" s="9" t="s">
        <v>13</v>
      </c>
      <c r="L2" s="9" t="s">
        <v>14</v>
      </c>
      <c r="M2" s="9" t="s">
        <v>15</v>
      </c>
      <c r="N2" s="11" t="s">
        <v>16</v>
      </c>
      <c r="O2" s="12" t="s">
        <v>17</v>
      </c>
      <c r="P2" s="12" t="s">
        <v>18</v>
      </c>
      <c r="Q2" s="12" t="s">
        <v>19</v>
      </c>
      <c r="R2" s="12" t="s">
        <v>20</v>
      </c>
      <c r="S2" s="12" t="s">
        <v>21</v>
      </c>
      <c r="T2" s="12" t="s">
        <v>22</v>
      </c>
      <c r="U2" s="12" t="s">
        <v>23</v>
      </c>
      <c r="V2" s="12" t="s">
        <v>24</v>
      </c>
      <c r="W2" s="12" t="s">
        <v>25</v>
      </c>
      <c r="X2" s="12" t="s">
        <v>26</v>
      </c>
      <c r="Y2" s="12" t="s">
        <v>27</v>
      </c>
      <c r="Z2" s="12" t="s">
        <v>28</v>
      </c>
      <c r="AA2" s="13" t="s">
        <v>29</v>
      </c>
      <c r="AB2" s="12" t="s">
        <v>30</v>
      </c>
      <c r="AC2" s="12" t="s">
        <v>31</v>
      </c>
      <c r="AD2" s="12" t="s">
        <v>32</v>
      </c>
      <c r="AE2" s="14" t="s">
        <v>33</v>
      </c>
    </row>
    <row r="3">
      <c r="A3" s="15" t="s">
        <v>34</v>
      </c>
      <c r="B3" s="16">
        <v>3.20000585824E11</v>
      </c>
      <c r="C3" s="17">
        <v>44579.0</v>
      </c>
      <c r="D3" s="18">
        <v>0.3333333333333333</v>
      </c>
      <c r="E3" s="19" t="s">
        <v>35</v>
      </c>
      <c r="F3" s="19" t="s">
        <v>36</v>
      </c>
      <c r="G3" s="16">
        <v>18.0</v>
      </c>
      <c r="H3" s="19" t="str">
        <f>IFERROR(__xludf.DUMMYFUNCTION("IFERROR(IF(QUERY('S2'!$A$3:$D112, ""SELECT C WHERE A = '"" &amp; $A3 &amp; ""'""),""Averiguar"",""""),"""")"),"")</f>
        <v/>
      </c>
      <c r="I3" s="20" t="str">
        <f>IFERROR(__xludf.DUMMYFUNCTION("IFERROR(QUERY(DBI!$A$2:$Y112, ""SELECT Y WHERE B = '"" &amp; $A3 &amp; ""'""),"""")"),"")</f>
        <v/>
      </c>
      <c r="J3" s="21" t="str">
        <f>IFERROR(__xludf.DUMMYFUNCTION("IFERROR(QUERY(Medico!$A$3:$Q112, ""SELECT P WHERE B = '"" &amp; $A3 &amp; ""'""),"""")"),"Indicado")</f>
        <v>Indicado</v>
      </c>
      <c r="K3" s="22" t="str">
        <f>IFERROR(__xludf.DUMMYFUNCTION("IFERROR(QUERY(Odonto!$A$3:$K112, ""SELECT J WHERE B = '"" &amp; $A3 &amp; ""'""),"""")"),"Indicado")</f>
        <v>Indicado</v>
      </c>
      <c r="L3" s="16" t="s">
        <v>37</v>
      </c>
      <c r="M3" s="23" t="s">
        <v>38</v>
      </c>
      <c r="N3" s="24">
        <v>36736.0</v>
      </c>
      <c r="O3" s="25" t="s">
        <v>39</v>
      </c>
      <c r="P3" s="25" t="s">
        <v>40</v>
      </c>
      <c r="Q3" s="26" t="s">
        <v>41</v>
      </c>
      <c r="R3" s="27" t="s">
        <v>42</v>
      </c>
      <c r="S3" s="27" t="s">
        <v>43</v>
      </c>
      <c r="T3" s="27" t="s">
        <v>44</v>
      </c>
      <c r="U3" s="28" t="s">
        <v>45</v>
      </c>
      <c r="V3" s="29">
        <v>4324090.0</v>
      </c>
      <c r="W3" s="30" t="s">
        <v>46</v>
      </c>
      <c r="X3" s="27" t="s">
        <v>47</v>
      </c>
      <c r="Y3" s="31">
        <f t="shared" ref="Y3:Y112" si="1">ROW()</f>
        <v>3</v>
      </c>
      <c r="Z3" s="32" t="s">
        <v>48</v>
      </c>
      <c r="AA3" s="16">
        <f>IFERROR(__xludf.DUMMYFUNCTION("IFERROR(QUERY(Conscrito!$A$3:$CU112, ""SELECT CU WHERE B = '"" &amp; $A3 &amp; ""'""),"""")"),3.0)</f>
        <v>3</v>
      </c>
      <c r="AB3" s="16" t="str">
        <f>IFERROR(__xludf.DUMMYFUNCTION("IFERROR(QUERY(Conscrito!$A$3:$CU112, ""SELECT CQ WHERE B = '"" &amp; $A3 &amp; ""'""),"""")"),"Sim")</f>
        <v>Sim</v>
      </c>
      <c r="AC3" s="16">
        <v>3.0</v>
      </c>
      <c r="AD3" s="16">
        <v>600.0</v>
      </c>
      <c r="AE3" s="21" t="s">
        <v>49</v>
      </c>
    </row>
    <row r="4">
      <c r="A4" s="15" t="s">
        <v>50</v>
      </c>
      <c r="B4" s="16">
        <v>3.20003642642E11</v>
      </c>
      <c r="C4" s="17">
        <v>44580.0</v>
      </c>
      <c r="D4" s="18">
        <v>0.375</v>
      </c>
      <c r="E4" s="19" t="s">
        <v>35</v>
      </c>
      <c r="F4" s="19" t="s">
        <v>36</v>
      </c>
      <c r="G4" s="16">
        <v>17.0</v>
      </c>
      <c r="H4" s="19" t="str">
        <f>IFERROR(__xludf.DUMMYFUNCTION("IFERROR(IF(QUERY('S2'!$A$3:$D112, ""SELECT C WHERE A = '"" &amp; $A4 &amp; ""'""),""Averiguar"",""""),"""")"),"")</f>
        <v/>
      </c>
      <c r="I4" s="20" t="str">
        <f>IFERROR(__xludf.DUMMYFUNCTION("IFERROR(QUERY(DBI!$A$2:$Y112, ""SELECT Y WHERE B = '"" &amp; $A4 &amp; ""'""),"""")"),"")</f>
        <v/>
      </c>
      <c r="J4" s="21" t="str">
        <f>IFERROR(__xludf.DUMMYFUNCTION("IFERROR(QUERY(Medico!$A$3:$Q112, ""SELECT P WHERE B = '"" &amp; $A4 &amp; ""'""),"""")"),"Indicado")</f>
        <v>Indicado</v>
      </c>
      <c r="K4" s="22" t="str">
        <f>IFERROR(__xludf.DUMMYFUNCTION("IFERROR(QUERY(Odonto!$A$3:$K112, ""SELECT J WHERE B = '"" &amp; $A4 &amp; ""'""),"""")"),"Indicado")</f>
        <v>Indicado</v>
      </c>
      <c r="L4" s="16" t="s">
        <v>51</v>
      </c>
      <c r="M4" s="23" t="s">
        <v>38</v>
      </c>
      <c r="N4" s="33">
        <v>37105.0</v>
      </c>
      <c r="O4" s="31" t="s">
        <v>39</v>
      </c>
      <c r="P4" s="31">
        <v>6.06880082E8</v>
      </c>
      <c r="Q4" s="34" t="s">
        <v>52</v>
      </c>
      <c r="R4" s="35" t="s">
        <v>53</v>
      </c>
      <c r="S4" s="35" t="s">
        <v>54</v>
      </c>
      <c r="T4" s="35" t="s">
        <v>55</v>
      </c>
      <c r="U4" s="35" t="s">
        <v>45</v>
      </c>
      <c r="V4" s="36">
        <v>5568070.0</v>
      </c>
      <c r="W4" s="37" t="s">
        <v>56</v>
      </c>
      <c r="X4" s="35" t="s">
        <v>57</v>
      </c>
      <c r="Y4" s="31">
        <f t="shared" si="1"/>
        <v>4</v>
      </c>
      <c r="Z4" s="32" t="s">
        <v>58</v>
      </c>
      <c r="AA4" s="16">
        <f>IFERROR(__xludf.DUMMYFUNCTION("IFERROR(QUERY(Conscrito!$A$3:$CU112, ""SELECT CU WHERE B = '"" &amp; $A4 &amp; ""'""),"""")"),4.0)</f>
        <v>4</v>
      </c>
      <c r="AB4" s="16" t="str">
        <f>IFERROR(__xludf.DUMMYFUNCTION("IFERROR(QUERY(Conscrito!$A$3:$CU112, ""SELECT CQ WHERE B = '"" &amp; $A4 &amp; ""'""),"""")"),"Sim")</f>
        <v>Sim</v>
      </c>
      <c r="AC4" s="16">
        <v>3.0</v>
      </c>
      <c r="AD4" s="16">
        <v>601.0</v>
      </c>
      <c r="AE4" s="21" t="s">
        <v>59</v>
      </c>
    </row>
    <row r="5">
      <c r="A5" s="15" t="s">
        <v>60</v>
      </c>
      <c r="B5" s="16">
        <v>3.20003500168E11</v>
      </c>
      <c r="C5" s="17">
        <v>44581.0</v>
      </c>
      <c r="D5" s="18">
        <v>0.4166666666666667</v>
      </c>
      <c r="E5" s="19" t="s">
        <v>35</v>
      </c>
      <c r="F5" s="19" t="s">
        <v>36</v>
      </c>
      <c r="G5" s="16">
        <v>9.0</v>
      </c>
      <c r="H5" s="19" t="str">
        <f>IFERROR(__xludf.DUMMYFUNCTION("IFERROR(IF(QUERY('S2'!$A$3:$D112, ""SELECT C WHERE A = '"" &amp; $A5 &amp; ""'""),""Averiguar"",""""),"""")"),"")</f>
        <v/>
      </c>
      <c r="I5" s="20" t="str">
        <f>IFERROR(__xludf.DUMMYFUNCTION("IFERROR(QUERY(DBI!$A$2:$Y112, ""SELECT Y WHERE B = '"" &amp; $A5 &amp; ""'""),"""")"),"")</f>
        <v/>
      </c>
      <c r="J5" s="21" t="str">
        <f>IFERROR(__xludf.DUMMYFUNCTION("IFERROR(QUERY(Medico!$A$3:$Q112, ""SELECT P WHERE B = '"" &amp; $A5 &amp; ""'""),"""")"),"Indicado")</f>
        <v>Indicado</v>
      </c>
      <c r="K5" s="22" t="str">
        <f>IFERROR(__xludf.DUMMYFUNCTION("IFERROR(QUERY(Odonto!$A$3:$K112, ""SELECT J WHERE B = '"" &amp; $A5 &amp; ""'""),"""")"),"Indicado")</f>
        <v>Indicado</v>
      </c>
      <c r="L5" s="16" t="s">
        <v>51</v>
      </c>
      <c r="M5" s="23" t="s">
        <v>38</v>
      </c>
      <c r="N5" s="38">
        <v>37119.0</v>
      </c>
      <c r="O5" s="39" t="s">
        <v>61</v>
      </c>
      <c r="P5" s="39" t="s">
        <v>62</v>
      </c>
      <c r="Q5" s="40" t="s">
        <v>63</v>
      </c>
      <c r="R5" s="28" t="s">
        <v>64</v>
      </c>
      <c r="S5" s="28" t="s">
        <v>65</v>
      </c>
      <c r="T5" s="28" t="s">
        <v>66</v>
      </c>
      <c r="U5" s="28" t="s">
        <v>67</v>
      </c>
      <c r="V5" s="41">
        <v>6783240.0</v>
      </c>
      <c r="W5" s="42" t="s">
        <v>68</v>
      </c>
      <c r="X5" s="28" t="s">
        <v>69</v>
      </c>
      <c r="Y5" s="31">
        <f t="shared" si="1"/>
        <v>5</v>
      </c>
      <c r="Z5" s="32" t="s">
        <v>70</v>
      </c>
      <c r="AA5" s="16">
        <f>IFERROR(__xludf.DUMMYFUNCTION("IFERROR(QUERY(Conscrito!$A$3:$CU112, ""SELECT CU WHERE B = '"" &amp; $A5 &amp; ""'""),"""")"),5.0)</f>
        <v>5</v>
      </c>
      <c r="AB5" s="16" t="str">
        <f>IFERROR(__xludf.DUMMYFUNCTION("IFERROR(QUERY(Conscrito!$A$3:$CU112, ""SELECT CQ WHERE B = '"" &amp; $A5 &amp; ""'""),"""")"),"Sim")</f>
        <v>Sim</v>
      </c>
      <c r="AC5" s="16">
        <v>2.0</v>
      </c>
      <c r="AD5" s="16">
        <v>602.0</v>
      </c>
      <c r="AE5" s="21" t="s">
        <v>71</v>
      </c>
    </row>
    <row r="6" hidden="1">
      <c r="A6" s="15" t="s">
        <v>72</v>
      </c>
      <c r="B6" s="16">
        <v>3.20003687293E11</v>
      </c>
      <c r="C6" s="17"/>
      <c r="D6" s="18"/>
      <c r="E6" s="19" t="s">
        <v>73</v>
      </c>
      <c r="F6" s="19" t="s">
        <v>36</v>
      </c>
      <c r="G6" s="16">
        <v>17.0</v>
      </c>
      <c r="H6" s="19" t="str">
        <f>IFERROR(__xludf.DUMMYFUNCTION("IFERROR(IF(QUERY('S2'!$A$3:$D112, ""SELECT C WHERE A = '"" &amp; $A6 &amp; ""'""),""Averiguar"",""""),"""")"),"")</f>
        <v/>
      </c>
      <c r="I6" s="20" t="str">
        <f>IFERROR(__xludf.DUMMYFUNCTION("IFERROR(QUERY(DBI!$A$2:$Y112, ""SELECT Y WHERE B = '"" &amp; $A6 &amp; ""'""),"""")"),"")</f>
        <v/>
      </c>
      <c r="J6" s="21" t="str">
        <f>IFERROR(__xludf.DUMMYFUNCTION("IFERROR(QUERY(Medico!$A$3:$Q112, ""SELECT P WHERE B = '"" &amp; $A6 &amp; ""'""),"""")"),"Indicado")</f>
        <v>Indicado</v>
      </c>
      <c r="K6" s="22" t="str">
        <f>IFERROR(__xludf.DUMMYFUNCTION("IFERROR(QUERY(Odonto!$A$3:$K112, ""SELECT J WHERE B = '"" &amp; $A6 &amp; ""'""),"""")"),"Indicado")</f>
        <v>Indicado</v>
      </c>
      <c r="L6" s="16" t="s">
        <v>51</v>
      </c>
      <c r="M6" s="23" t="s">
        <v>38</v>
      </c>
      <c r="N6" s="38">
        <v>37153.0</v>
      </c>
      <c r="O6" s="39" t="s">
        <v>45</v>
      </c>
      <c r="P6" s="39" t="s">
        <v>74</v>
      </c>
      <c r="Q6" s="40" t="s">
        <v>75</v>
      </c>
      <c r="R6" s="28" t="s">
        <v>76</v>
      </c>
      <c r="S6" s="28" t="s">
        <v>77</v>
      </c>
      <c r="T6" s="28" t="s">
        <v>78</v>
      </c>
      <c r="U6" s="35" t="s">
        <v>45</v>
      </c>
      <c r="V6" s="41">
        <v>3819150.0</v>
      </c>
      <c r="W6" s="42" t="s">
        <v>79</v>
      </c>
      <c r="X6" s="28" t="s">
        <v>80</v>
      </c>
      <c r="Y6" s="31">
        <f t="shared" si="1"/>
        <v>6</v>
      </c>
      <c r="Z6" s="32" t="s">
        <v>81</v>
      </c>
      <c r="AA6" s="16">
        <f>IFERROR(__xludf.DUMMYFUNCTION("IFERROR(QUERY(Conscrito!$A$3:$CU112, ""SELECT CU WHERE B = '"" &amp; $A6 &amp; ""'""),"""")"),6.0)</f>
        <v>6</v>
      </c>
      <c r="AB6" s="16" t="str">
        <f>IFERROR(__xludf.DUMMYFUNCTION("IFERROR(QUERY(Conscrito!$A$3:$CU112, ""SELECT CQ WHERE B = '"" &amp; $A6 &amp; ""'""),"""")"),"Sim")</f>
        <v>Sim</v>
      </c>
      <c r="AC6" s="16">
        <v>3.0</v>
      </c>
      <c r="AD6" s="16">
        <v>603.0</v>
      </c>
      <c r="AE6" s="21" t="s">
        <v>82</v>
      </c>
    </row>
    <row r="7">
      <c r="A7" s="15" t="s">
        <v>83</v>
      </c>
      <c r="B7" s="16">
        <v>3.20003700357E11</v>
      </c>
      <c r="C7" s="17">
        <v>44582.0</v>
      </c>
      <c r="D7" s="18">
        <v>0.4583333333333333</v>
      </c>
      <c r="E7" s="19" t="s">
        <v>35</v>
      </c>
      <c r="F7" s="19" t="s">
        <v>36</v>
      </c>
      <c r="G7" s="16">
        <v>20.0</v>
      </c>
      <c r="H7" s="19" t="str">
        <f>IFERROR(__xludf.DUMMYFUNCTION("IFERROR(IF(QUERY('S2'!$A$3:$D112, ""SELECT C WHERE A = '"" &amp; $A7 &amp; ""'""),""Averiguar"",""""),"""")"),"")</f>
        <v/>
      </c>
      <c r="I7" s="20" t="str">
        <f>IFERROR(__xludf.DUMMYFUNCTION("IFERROR(QUERY(DBI!$A$2:$Y112, ""SELECT Y WHERE B = '"" &amp; $A7 &amp; ""'""),"""")"),"")</f>
        <v/>
      </c>
      <c r="J7" s="21" t="str">
        <f>IFERROR(__xludf.DUMMYFUNCTION("IFERROR(QUERY(Medico!$A$3:$Q112, ""SELECT P WHERE B = '"" &amp; $A7 &amp; ""'""),"""")"),"Indicado")</f>
        <v>Indicado</v>
      </c>
      <c r="K7" s="22" t="str">
        <f>IFERROR(__xludf.DUMMYFUNCTION("IFERROR(QUERY(Odonto!$A$3:$K112, ""SELECT J WHERE B = '"" &amp; $A7 &amp; ""'""),"""")"),"Indicado")</f>
        <v>Indicado</v>
      </c>
      <c r="L7" s="16" t="s">
        <v>84</v>
      </c>
      <c r="M7" s="23" t="s">
        <v>38</v>
      </c>
      <c r="N7" s="38">
        <v>37180.0</v>
      </c>
      <c r="O7" s="39" t="s">
        <v>39</v>
      </c>
      <c r="P7" s="39">
        <v>6.69939481E8</v>
      </c>
      <c r="Q7" s="40" t="s">
        <v>85</v>
      </c>
      <c r="R7" s="28" t="s">
        <v>86</v>
      </c>
      <c r="S7" s="28" t="s">
        <v>87</v>
      </c>
      <c r="T7" s="28" t="s">
        <v>88</v>
      </c>
      <c r="U7" s="28" t="s">
        <v>45</v>
      </c>
      <c r="V7" s="41">
        <v>5624020.0</v>
      </c>
      <c r="W7" s="42" t="s">
        <v>89</v>
      </c>
      <c r="X7" s="28" t="s">
        <v>90</v>
      </c>
      <c r="Y7" s="31">
        <f t="shared" si="1"/>
        <v>7</v>
      </c>
      <c r="Z7" s="32" t="s">
        <v>91</v>
      </c>
      <c r="AA7" s="16">
        <f>IFERROR(__xludf.DUMMYFUNCTION("IFERROR(QUERY(Conscrito!$A$3:$CU112, ""SELECT CU WHERE B = '"" &amp; $A7 &amp; ""'""),"""")"),7.0)</f>
        <v>7</v>
      </c>
      <c r="AB7" s="16" t="str">
        <f>IFERROR(__xludf.DUMMYFUNCTION("IFERROR(QUERY(Conscrito!$A$3:$CU112, ""SELECT CQ WHERE B = '"" &amp; $A7 &amp; ""'""),"""")"),"Sim")</f>
        <v>Sim</v>
      </c>
      <c r="AC7" s="16">
        <v>3.0</v>
      </c>
      <c r="AD7" s="16">
        <v>604.0</v>
      </c>
      <c r="AE7" s="21" t="s">
        <v>92</v>
      </c>
    </row>
    <row r="8" hidden="1">
      <c r="A8" s="15" t="s">
        <v>93</v>
      </c>
      <c r="B8" s="16">
        <v>3.20004233958E11</v>
      </c>
      <c r="C8" s="17"/>
      <c r="D8" s="18"/>
      <c r="E8" s="19" t="s">
        <v>73</v>
      </c>
      <c r="F8" s="19" t="s">
        <v>36</v>
      </c>
      <c r="G8" s="16">
        <v>20.0</v>
      </c>
      <c r="H8" s="19" t="str">
        <f>IFERROR(__xludf.DUMMYFUNCTION("IFERROR(IF(QUERY('S2'!$A$3:$D112, ""SELECT C WHERE A = '"" &amp; $A8 &amp; ""'""),""Averiguar"",""""),"""")"),"")</f>
        <v/>
      </c>
      <c r="I8" s="20" t="str">
        <f>IFERROR(__xludf.DUMMYFUNCTION("IFERROR(QUERY(DBI!$A$2:$Y112, ""SELECT Y WHERE B = '"" &amp; $A8 &amp; ""'""),"""")"),"")</f>
        <v/>
      </c>
      <c r="J8" s="21" t="str">
        <f>IFERROR(__xludf.DUMMYFUNCTION("IFERROR(QUERY(Medico!$A$3:$Q112, ""SELECT P WHERE B = '"" &amp; $A8 &amp; ""'""),"""")"),"Indicado")</f>
        <v>Indicado</v>
      </c>
      <c r="K8" s="22" t="str">
        <f>IFERROR(__xludf.DUMMYFUNCTION("IFERROR(QUERY(Odonto!$A$3:$K112, ""SELECT J WHERE B = '"" &amp; $A8 &amp; ""'""),"""")"),"Indicado")</f>
        <v>Indicado</v>
      </c>
      <c r="L8" s="16" t="s">
        <v>51</v>
      </c>
      <c r="M8" s="23" t="s">
        <v>38</v>
      </c>
      <c r="N8" s="38">
        <v>37257.0</v>
      </c>
      <c r="O8" s="39" t="s">
        <v>39</v>
      </c>
      <c r="P8" s="39" t="s">
        <v>94</v>
      </c>
      <c r="Q8" s="40" t="s">
        <v>95</v>
      </c>
      <c r="R8" s="28" t="s">
        <v>96</v>
      </c>
      <c r="S8" s="28" t="s">
        <v>97</v>
      </c>
      <c r="T8" s="28" t="s">
        <v>98</v>
      </c>
      <c r="U8" s="28" t="s">
        <v>45</v>
      </c>
      <c r="V8" s="41">
        <v>4622011.0</v>
      </c>
      <c r="W8" s="42" t="s">
        <v>99</v>
      </c>
      <c r="X8" s="28" t="s">
        <v>100</v>
      </c>
      <c r="Y8" s="31">
        <f t="shared" si="1"/>
        <v>8</v>
      </c>
      <c r="Z8" s="32" t="s">
        <v>101</v>
      </c>
      <c r="AA8" s="16">
        <f>IFERROR(__xludf.DUMMYFUNCTION("IFERROR(QUERY(Conscrito!$A$3:$CU112, ""SELECT CU WHERE B = '"" &amp; $A8 &amp; ""'""),"""")"),8.0)</f>
        <v>8</v>
      </c>
      <c r="AB8" s="16" t="str">
        <f>IFERROR(__xludf.DUMMYFUNCTION("IFERROR(QUERY(Conscrito!$A$3:$CU112, ""SELECT CQ WHERE B = '"" &amp; $A8 &amp; ""'""),"""")"),"Sim")</f>
        <v>Sim</v>
      </c>
      <c r="AC8" s="16">
        <v>3.0</v>
      </c>
      <c r="AD8" s="16">
        <v>605.0</v>
      </c>
      <c r="AE8" s="21" t="s">
        <v>102</v>
      </c>
    </row>
    <row r="9" hidden="1">
      <c r="A9" s="15" t="s">
        <v>103</v>
      </c>
      <c r="B9" s="16">
        <v>3.2000402428E11</v>
      </c>
      <c r="C9" s="17"/>
      <c r="D9" s="18"/>
      <c r="E9" s="19" t="s">
        <v>73</v>
      </c>
      <c r="F9" s="19" t="s">
        <v>36</v>
      </c>
      <c r="G9" s="16">
        <v>14.0</v>
      </c>
      <c r="H9" s="19" t="str">
        <f>IFERROR(__xludf.DUMMYFUNCTION("IFERROR(IF(QUERY('S2'!$A$3:$D112, ""SELECT C WHERE A = '"" &amp; $A9 &amp; ""'""),""Averiguar"",""""),"""")"),"")</f>
        <v/>
      </c>
      <c r="I9" s="20" t="str">
        <f>IFERROR(__xludf.DUMMYFUNCTION("IFERROR(QUERY(DBI!$A$2:$Y112, ""SELECT Y WHERE B = '"" &amp; $A9 &amp; ""'""),"""")"),"")</f>
        <v/>
      </c>
      <c r="J9" s="21" t="str">
        <f>IFERROR(__xludf.DUMMYFUNCTION("IFERROR(QUERY(Medico!$A$3:$Q112, ""SELECT P WHERE B = '"" &amp; $A9 &amp; ""'""),"""")"),"Indicado")</f>
        <v>Indicado</v>
      </c>
      <c r="K9" s="22" t="str">
        <f>IFERROR(__xludf.DUMMYFUNCTION("IFERROR(QUERY(Odonto!$A$3:$K112, ""SELECT J WHERE B = '"" &amp; $A9 &amp; ""'""),"""")"),"Indicado")</f>
        <v>Indicado</v>
      </c>
      <c r="L9" s="16" t="s">
        <v>84</v>
      </c>
      <c r="M9" s="23" t="s">
        <v>38</v>
      </c>
      <c r="N9" s="38">
        <v>37258.0</v>
      </c>
      <c r="O9" s="39" t="s">
        <v>39</v>
      </c>
      <c r="P9" s="39" t="s">
        <v>104</v>
      </c>
      <c r="Q9" s="40" t="s">
        <v>105</v>
      </c>
      <c r="R9" s="28" t="s">
        <v>106</v>
      </c>
      <c r="S9" s="28" t="s">
        <v>107</v>
      </c>
      <c r="T9" s="28" t="s">
        <v>108</v>
      </c>
      <c r="U9" s="35" t="s">
        <v>45</v>
      </c>
      <c r="V9" s="41">
        <v>8475180.0</v>
      </c>
      <c r="W9" s="42" t="s">
        <v>109</v>
      </c>
      <c r="X9" s="28" t="s">
        <v>110</v>
      </c>
      <c r="Y9" s="31">
        <f t="shared" si="1"/>
        <v>9</v>
      </c>
      <c r="Z9" s="32" t="s">
        <v>111</v>
      </c>
      <c r="AA9" s="16">
        <f>IFERROR(__xludf.DUMMYFUNCTION("IFERROR(QUERY(Conscrito!$A$3:$CU112, ""SELECT CU WHERE B = '"" &amp; $A9 &amp; ""'""),"""")"),9.0)</f>
        <v>9</v>
      </c>
      <c r="AB9" s="16" t="str">
        <f>IFERROR(__xludf.DUMMYFUNCTION("IFERROR(QUERY(Conscrito!$A$3:$CU112, ""SELECT CQ WHERE B = '"" &amp; $A9 &amp; ""'""),"""")"),"Não")</f>
        <v>Não</v>
      </c>
      <c r="AC9" s="16">
        <v>2.0</v>
      </c>
      <c r="AD9" s="16">
        <v>606.0</v>
      </c>
      <c r="AE9" s="21" t="s">
        <v>112</v>
      </c>
    </row>
    <row r="10" hidden="1">
      <c r="A10" s="15" t="s">
        <v>113</v>
      </c>
      <c r="B10" s="16">
        <v>3.2000418582E11</v>
      </c>
      <c r="C10" s="17"/>
      <c r="D10" s="18"/>
      <c r="E10" s="19" t="s">
        <v>73</v>
      </c>
      <c r="F10" s="19" t="s">
        <v>36</v>
      </c>
      <c r="G10" s="16">
        <v>2.0</v>
      </c>
      <c r="H10" s="19" t="str">
        <f>IFERROR(__xludf.DUMMYFUNCTION("IFERROR(IF(QUERY('S2'!$A$3:$D112, ""SELECT C WHERE A = '"" &amp; $A10 &amp; ""'""),""Averiguar"",""""),"""")"),"")</f>
        <v/>
      </c>
      <c r="I10" s="20" t="str">
        <f>IFERROR(__xludf.DUMMYFUNCTION("IFERROR(QUERY(DBI!$A$2:$Y112, ""SELECT Y WHERE B = '"" &amp; $A10 &amp; ""'""),"""")"),"")</f>
        <v/>
      </c>
      <c r="J10" s="21" t="str">
        <f>IFERROR(__xludf.DUMMYFUNCTION("IFERROR(QUERY(Medico!$A$3:$Q112, ""SELECT P WHERE B = '"" &amp; $A10 &amp; ""'""),"""")"),"Indicado")</f>
        <v>Indicado</v>
      </c>
      <c r="K10" s="22" t="str">
        <f>IFERROR(__xludf.DUMMYFUNCTION("IFERROR(QUERY(Odonto!$A$3:$K112, ""SELECT J WHERE B = '"" &amp; $A10 &amp; ""'""),"""")"),"Indicado")</f>
        <v>Indicado</v>
      </c>
      <c r="L10" s="16" t="s">
        <v>84</v>
      </c>
      <c r="M10" s="23" t="s">
        <v>38</v>
      </c>
      <c r="N10" s="38">
        <v>37356.0</v>
      </c>
      <c r="O10" s="39" t="s">
        <v>39</v>
      </c>
      <c r="P10" s="39" t="s">
        <v>114</v>
      </c>
      <c r="Q10" s="40" t="s">
        <v>115</v>
      </c>
      <c r="R10" s="28" t="s">
        <v>116</v>
      </c>
      <c r="S10" s="28" t="s">
        <v>117</v>
      </c>
      <c r="T10" s="28" t="s">
        <v>118</v>
      </c>
      <c r="U10" s="35" t="s">
        <v>119</v>
      </c>
      <c r="V10" s="41">
        <v>4474160.0</v>
      </c>
      <c r="W10" s="42" t="s">
        <v>120</v>
      </c>
      <c r="X10" s="28" t="s">
        <v>121</v>
      </c>
      <c r="Y10" s="31">
        <f t="shared" si="1"/>
        <v>10</v>
      </c>
      <c r="Z10" s="32" t="s">
        <v>122</v>
      </c>
      <c r="AA10" s="16">
        <f>IFERROR(__xludf.DUMMYFUNCTION("IFERROR(QUERY(Conscrito!$A$3:$CU112, ""SELECT CU WHERE B = '"" &amp; $A10 &amp; ""'""),"""")"),10.0)</f>
        <v>10</v>
      </c>
      <c r="AB10" s="16" t="str">
        <f>IFERROR(__xludf.DUMMYFUNCTION("IFERROR(QUERY(Conscrito!$A$3:$CU112, ""SELECT CQ WHERE B = '"" &amp; $A10 &amp; ""'""),"""")"),"Sim")</f>
        <v>Sim</v>
      </c>
      <c r="AC10" s="16">
        <v>2.0</v>
      </c>
      <c r="AD10" s="16">
        <v>607.0</v>
      </c>
      <c r="AE10" s="21" t="s">
        <v>123</v>
      </c>
    </row>
    <row r="11">
      <c r="A11" s="15" t="s">
        <v>124</v>
      </c>
      <c r="B11" s="16">
        <v>3.20004033583E11</v>
      </c>
      <c r="C11" s="17">
        <v>44583.0</v>
      </c>
      <c r="D11" s="18">
        <v>0.5</v>
      </c>
      <c r="E11" s="19" t="s">
        <v>35</v>
      </c>
      <c r="F11" s="19" t="s">
        <v>36</v>
      </c>
      <c r="G11" s="16">
        <v>9.0</v>
      </c>
      <c r="H11" s="19" t="str">
        <f>IFERROR(__xludf.DUMMYFUNCTION("IFERROR(IF(QUERY('S2'!$A$3:$D112, ""SELECT C WHERE A = '"" &amp; $A11 &amp; ""'""),""Averiguar"",""""),"""")"),"")</f>
        <v/>
      </c>
      <c r="I11" s="20" t="str">
        <f>IFERROR(__xludf.DUMMYFUNCTION("IFERROR(QUERY(DBI!$A$2:$Y112, ""SELECT Y WHERE B = '"" &amp; $A11 &amp; ""'""),"""")"),"")</f>
        <v/>
      </c>
      <c r="J11" s="21" t="str">
        <f>IFERROR(__xludf.DUMMYFUNCTION("IFERROR(QUERY(Medico!$A$3:$Q112, ""SELECT P WHERE B = '"" &amp; $A11 &amp; ""'""),"""")"),"Parcialmente")</f>
        <v>Parcialmente</v>
      </c>
      <c r="K11" s="22" t="str">
        <f>IFERROR(__xludf.DUMMYFUNCTION("IFERROR(QUERY(Odonto!$A$3:$K112, ""SELECT J WHERE B = '"" &amp; $A11 &amp; ""'""),"""")"),"Indicado")</f>
        <v>Indicado</v>
      </c>
      <c r="L11" s="16" t="s">
        <v>84</v>
      </c>
      <c r="M11" s="23" t="s">
        <v>38</v>
      </c>
      <c r="N11" s="38">
        <v>37262.0</v>
      </c>
      <c r="O11" s="39" t="s">
        <v>39</v>
      </c>
      <c r="P11" s="39" t="s">
        <v>125</v>
      </c>
      <c r="Q11" s="40" t="s">
        <v>126</v>
      </c>
      <c r="R11" s="28" t="s">
        <v>127</v>
      </c>
      <c r="S11" s="28" t="s">
        <v>128</v>
      </c>
      <c r="T11" s="28" t="s">
        <v>129</v>
      </c>
      <c r="U11" s="35" t="s">
        <v>45</v>
      </c>
      <c r="V11" s="41">
        <v>4134021.0</v>
      </c>
      <c r="W11" s="42" t="s">
        <v>130</v>
      </c>
      <c r="X11" s="28" t="s">
        <v>131</v>
      </c>
      <c r="Y11" s="31">
        <f t="shared" si="1"/>
        <v>11</v>
      </c>
      <c r="Z11" s="32" t="s">
        <v>132</v>
      </c>
      <c r="AA11" s="16">
        <f>IFERROR(__xludf.DUMMYFUNCTION("IFERROR(QUERY(Conscrito!$A$3:$CU112, ""SELECT CU WHERE B = '"" &amp; $A11 &amp; ""'""),"""")"),11.0)</f>
        <v>11</v>
      </c>
      <c r="AB11" s="16" t="str">
        <f>IFERROR(__xludf.DUMMYFUNCTION("IFERROR(QUERY(Conscrito!$A$3:$CU112, ""SELECT CQ WHERE B = '"" &amp; $A11 &amp; ""'""),"""")"),"Não")</f>
        <v>Não</v>
      </c>
      <c r="AC11" s="16">
        <v>2.0</v>
      </c>
      <c r="AD11" s="16">
        <v>608.0</v>
      </c>
      <c r="AE11" s="21" t="s">
        <v>133</v>
      </c>
    </row>
    <row r="12">
      <c r="A12" s="15" t="s">
        <v>134</v>
      </c>
      <c r="B12" s="16">
        <v>3.20004379861E11</v>
      </c>
      <c r="C12" s="17">
        <v>44584.0</v>
      </c>
      <c r="D12" s="18">
        <v>0.5416666666666666</v>
      </c>
      <c r="E12" s="19" t="s">
        <v>35</v>
      </c>
      <c r="F12" s="19" t="s">
        <v>36</v>
      </c>
      <c r="G12" s="16">
        <v>8.0</v>
      </c>
      <c r="H12" s="19" t="str">
        <f>IFERROR(__xludf.DUMMYFUNCTION("IFERROR(IF(QUERY('S2'!$A$3:$D112, ""SELECT C WHERE A = '"" &amp; $A12 &amp; ""'""),""Averiguar"",""""),"""")"),"")</f>
        <v/>
      </c>
      <c r="I12" s="20" t="str">
        <f>IFERROR(__xludf.DUMMYFUNCTION("IFERROR(QUERY(DBI!$A$2:$Y112, ""SELECT Y WHERE B = '"" &amp; $A12 &amp; ""'""),"""")"),"")</f>
        <v/>
      </c>
      <c r="J12" s="21" t="str">
        <f>IFERROR(__xludf.DUMMYFUNCTION("IFERROR(QUERY(Medico!$A$3:$Q112, ""SELECT P WHERE B = '"" &amp; $A12 &amp; ""'""),"""")"),"Indicado")</f>
        <v>Indicado</v>
      </c>
      <c r="K12" s="22" t="str">
        <f>IFERROR(__xludf.DUMMYFUNCTION("IFERROR(QUERY(Odonto!$A$3:$K112, ""SELECT J WHERE B = '"" &amp; $A12 &amp; ""'""),"""")"),"Indicado")</f>
        <v>Indicado</v>
      </c>
      <c r="L12" s="16" t="s">
        <v>51</v>
      </c>
      <c r="M12" s="23" t="s">
        <v>38</v>
      </c>
      <c r="N12" s="38">
        <v>37267.0</v>
      </c>
      <c r="O12" s="39" t="s">
        <v>135</v>
      </c>
      <c r="P12" s="39" t="s">
        <v>136</v>
      </c>
      <c r="Q12" s="40" t="s">
        <v>137</v>
      </c>
      <c r="R12" s="28" t="s">
        <v>138</v>
      </c>
      <c r="S12" s="28" t="s">
        <v>139</v>
      </c>
      <c r="T12" s="28" t="s">
        <v>140</v>
      </c>
      <c r="U12" s="35" t="s">
        <v>45</v>
      </c>
      <c r="V12" s="41">
        <v>4447011.0</v>
      </c>
      <c r="W12" s="42" t="s">
        <v>141</v>
      </c>
      <c r="X12" s="28" t="s">
        <v>142</v>
      </c>
      <c r="Y12" s="31">
        <f t="shared" si="1"/>
        <v>12</v>
      </c>
      <c r="Z12" s="32" t="s">
        <v>143</v>
      </c>
      <c r="AA12" s="16">
        <f>IFERROR(__xludf.DUMMYFUNCTION("IFERROR(QUERY(Conscrito!$A$3:$CU112, ""SELECT CU WHERE B = '"" &amp; $A12 &amp; ""'""),"""")"),12.0)</f>
        <v>12</v>
      </c>
      <c r="AB12" s="16" t="str">
        <f>IFERROR(__xludf.DUMMYFUNCTION("IFERROR(QUERY(Conscrito!$A$3:$CU112, ""SELECT CQ WHERE B = '"" &amp; $A12 &amp; ""'""),"""")"),"Sim")</f>
        <v>Sim</v>
      </c>
      <c r="AC12" s="16">
        <v>2.0</v>
      </c>
      <c r="AD12" s="16">
        <v>609.0</v>
      </c>
      <c r="AE12" s="21" t="s">
        <v>144</v>
      </c>
    </row>
    <row r="13">
      <c r="A13" s="15" t="s">
        <v>145</v>
      </c>
      <c r="B13" s="16">
        <v>3.20004217665E11</v>
      </c>
      <c r="C13" s="17">
        <v>44585.0</v>
      </c>
      <c r="D13" s="18">
        <v>0.3333333333333333</v>
      </c>
      <c r="E13" s="19" t="s">
        <v>35</v>
      </c>
      <c r="F13" s="19" t="s">
        <v>36</v>
      </c>
      <c r="G13" s="16">
        <v>8.0</v>
      </c>
      <c r="H13" s="19" t="str">
        <f>IFERROR(__xludf.DUMMYFUNCTION("IFERROR(IF(QUERY('S2'!$A$3:$D112, ""SELECT C WHERE A = '"" &amp; $A13 &amp; ""'""),""Averiguar"",""""),"""")"),"")</f>
        <v/>
      </c>
      <c r="I13" s="20" t="str">
        <f>IFERROR(__xludf.DUMMYFUNCTION("IFERROR(QUERY(DBI!$A$2:$Y112, ""SELECT Y WHERE B = '"" &amp; $A13 &amp; ""'""),"""")"),"")</f>
        <v/>
      </c>
      <c r="J13" s="21" t="str">
        <f>IFERROR(__xludf.DUMMYFUNCTION("IFERROR(QUERY(Medico!$A$3:$Q112, ""SELECT P WHERE B = '"" &amp; $A13 &amp; ""'""),"""")"),"Parcialmente")</f>
        <v>Parcialmente</v>
      </c>
      <c r="K13" s="22" t="str">
        <f>IFERROR(__xludf.DUMMYFUNCTION("IFERROR(QUERY(Odonto!$A$3:$K112, ""SELECT J WHERE B = '"" &amp; $A13 &amp; ""'""),"""")"),"Indicado")</f>
        <v>Indicado</v>
      </c>
      <c r="L13" s="16" t="s">
        <v>84</v>
      </c>
      <c r="M13" s="23" t="s">
        <v>38</v>
      </c>
      <c r="N13" s="38">
        <v>37276.0</v>
      </c>
      <c r="O13" s="39" t="s">
        <v>39</v>
      </c>
      <c r="P13" s="39" t="s">
        <v>146</v>
      </c>
      <c r="Q13" s="43">
        <v>4.6510994836E10</v>
      </c>
      <c r="R13" s="28" t="s">
        <v>147</v>
      </c>
      <c r="S13" s="28" t="s">
        <v>148</v>
      </c>
      <c r="T13" s="28" t="s">
        <v>149</v>
      </c>
      <c r="U13" s="28" t="s">
        <v>45</v>
      </c>
      <c r="V13" s="41">
        <v>3112090.0</v>
      </c>
      <c r="W13" s="44">
        <v>1.1953213473E10</v>
      </c>
      <c r="X13" s="28" t="s">
        <v>150</v>
      </c>
      <c r="Y13" s="31">
        <f t="shared" si="1"/>
        <v>13</v>
      </c>
      <c r="Z13" s="32" t="s">
        <v>151</v>
      </c>
      <c r="AA13" s="16">
        <f>IFERROR(__xludf.DUMMYFUNCTION("IFERROR(QUERY(Conscrito!$A$3:$CU112, ""SELECT CU WHERE B = '"" &amp; $A13 &amp; ""'""),"""")"),13.0)</f>
        <v>13</v>
      </c>
      <c r="AB13" s="16" t="str">
        <f>IFERROR(__xludf.DUMMYFUNCTION("IFERROR(QUERY(Conscrito!$A$3:$CU112, ""SELECT CQ WHERE B = '"" &amp; $A13 &amp; ""'""),"""")"),"Tenho dúvida")</f>
        <v>Tenho dúvida</v>
      </c>
      <c r="AC13" s="16">
        <v>2.0</v>
      </c>
      <c r="AD13" s="16">
        <v>610.0</v>
      </c>
      <c r="AE13" s="21" t="s">
        <v>152</v>
      </c>
    </row>
    <row r="14">
      <c r="A14" s="15" t="s">
        <v>153</v>
      </c>
      <c r="B14" s="16">
        <v>3.20004188626E11</v>
      </c>
      <c r="C14" s="17">
        <v>44586.0</v>
      </c>
      <c r="D14" s="18">
        <v>0.375</v>
      </c>
      <c r="E14" s="19" t="s">
        <v>35</v>
      </c>
      <c r="F14" s="19" t="s">
        <v>36</v>
      </c>
      <c r="G14" s="16">
        <v>7.0</v>
      </c>
      <c r="H14" s="19" t="str">
        <f>IFERROR(__xludf.DUMMYFUNCTION("IFERROR(IF(QUERY('S2'!$A$3:$D112, ""SELECT C WHERE A = '"" &amp; $A14 &amp; ""'""),""Averiguar"",""""),"""")"),"")</f>
        <v/>
      </c>
      <c r="I14" s="20" t="str">
        <f>IFERROR(__xludf.DUMMYFUNCTION("IFERROR(QUERY(DBI!$A$2:$Y112, ""SELECT Y WHERE B = '"" &amp; $A14 &amp; ""'""),"""")"),"")</f>
        <v/>
      </c>
      <c r="J14" s="21" t="str">
        <f>IFERROR(__xludf.DUMMYFUNCTION("IFERROR(QUERY(Medico!$A$3:$Q112, ""SELECT P WHERE B = '"" &amp; $A14 &amp; ""'""),"""")"),"Indicado")</f>
        <v>Indicado</v>
      </c>
      <c r="K14" s="22" t="str">
        <f>IFERROR(__xludf.DUMMYFUNCTION("IFERROR(QUERY(Odonto!$A$3:$K112, ""SELECT J WHERE B = '"" &amp; $A14 &amp; ""'""),"""")"),"Indicado")</f>
        <v>Indicado</v>
      </c>
      <c r="L14" s="16" t="s">
        <v>51</v>
      </c>
      <c r="M14" s="23" t="s">
        <v>38</v>
      </c>
      <c r="N14" s="38">
        <v>37277.0</v>
      </c>
      <c r="O14" s="39" t="s">
        <v>39</v>
      </c>
      <c r="P14" s="39" t="s">
        <v>154</v>
      </c>
      <c r="Q14" s="40" t="s">
        <v>155</v>
      </c>
      <c r="R14" s="28" t="s">
        <v>156</v>
      </c>
      <c r="S14" s="28" t="s">
        <v>157</v>
      </c>
      <c r="T14" s="28" t="s">
        <v>158</v>
      </c>
      <c r="U14" s="35" t="s">
        <v>45</v>
      </c>
      <c r="V14" s="41">
        <v>4840070.0</v>
      </c>
      <c r="W14" s="42" t="s">
        <v>159</v>
      </c>
      <c r="X14" s="28" t="s">
        <v>160</v>
      </c>
      <c r="Y14" s="31">
        <f t="shared" si="1"/>
        <v>14</v>
      </c>
      <c r="Z14" s="32" t="s">
        <v>161</v>
      </c>
      <c r="AA14" s="16">
        <f>IFERROR(__xludf.DUMMYFUNCTION("IFERROR(QUERY(Conscrito!$A$3:$CU112, ""SELECT CU WHERE B = '"" &amp; $A14 &amp; ""'""),"""")"),14.0)</f>
        <v>14</v>
      </c>
      <c r="AB14" s="16" t="str">
        <f>IFERROR(__xludf.DUMMYFUNCTION("IFERROR(QUERY(Conscrito!$A$3:$CU112, ""SELECT CQ WHERE B = '"" &amp; $A14 &amp; ""'""),"""")"),"Sim")</f>
        <v>Sim</v>
      </c>
      <c r="AC14" s="16">
        <v>1.0</v>
      </c>
      <c r="AD14" s="16">
        <v>611.0</v>
      </c>
      <c r="AE14" s="21" t="s">
        <v>162</v>
      </c>
    </row>
    <row r="15" hidden="1">
      <c r="A15" s="15" t="s">
        <v>163</v>
      </c>
      <c r="B15" s="16">
        <v>3.20004327807E11</v>
      </c>
      <c r="C15" s="17"/>
      <c r="D15" s="18"/>
      <c r="E15" s="19" t="s">
        <v>73</v>
      </c>
      <c r="F15" s="19" t="s">
        <v>36</v>
      </c>
      <c r="G15" s="16">
        <v>8.0</v>
      </c>
      <c r="H15" s="19" t="str">
        <f>IFERROR(__xludf.DUMMYFUNCTION("IFERROR(IF(QUERY('S2'!$A$3:$D112, ""SELECT C WHERE A = '"" &amp; $A15 &amp; ""'""),""Averiguar"",""""),"""")"),"")</f>
        <v/>
      </c>
      <c r="I15" s="20" t="str">
        <f>IFERROR(__xludf.DUMMYFUNCTION("IFERROR(QUERY(DBI!$A$2:$Y112, ""SELECT Y WHERE B = '"" &amp; $A15 &amp; ""'""),"""")"),"")</f>
        <v/>
      </c>
      <c r="J15" s="21" t="str">
        <f>IFERROR(__xludf.DUMMYFUNCTION("IFERROR(QUERY(Medico!$A$3:$Q112, ""SELECT P WHERE B = '"" &amp; $A15 &amp; ""'""),"""")"),"Indicado")</f>
        <v>Indicado</v>
      </c>
      <c r="K15" s="22" t="str">
        <f>IFERROR(__xludf.DUMMYFUNCTION("IFERROR(QUERY(Odonto!$A$3:$K112, ""SELECT J WHERE B = '"" &amp; $A15 &amp; ""'""),"""")"),"Indicado")</f>
        <v>Indicado</v>
      </c>
      <c r="L15" s="16" t="s">
        <v>51</v>
      </c>
      <c r="M15" s="23" t="s">
        <v>38</v>
      </c>
      <c r="N15" s="38">
        <v>37277.0</v>
      </c>
      <c r="O15" s="39" t="s">
        <v>39</v>
      </c>
      <c r="P15" s="39" t="s">
        <v>164</v>
      </c>
      <c r="Q15" s="40" t="s">
        <v>165</v>
      </c>
      <c r="R15" s="28" t="s">
        <v>166</v>
      </c>
      <c r="S15" s="28" t="s">
        <v>167</v>
      </c>
      <c r="T15" s="28" t="s">
        <v>168</v>
      </c>
      <c r="U15" s="28" t="s">
        <v>45</v>
      </c>
      <c r="V15" s="41">
        <v>4436000.0</v>
      </c>
      <c r="W15" s="42" t="s">
        <v>169</v>
      </c>
      <c r="X15" s="28" t="s">
        <v>170</v>
      </c>
      <c r="Y15" s="31">
        <f t="shared" si="1"/>
        <v>15</v>
      </c>
      <c r="Z15" s="32" t="s">
        <v>171</v>
      </c>
      <c r="AA15" s="16">
        <f>IFERROR(__xludf.DUMMYFUNCTION("IFERROR(QUERY(Conscrito!$A$3:$CU112, ""SELECT CU WHERE B = '"" &amp; $A15 &amp; ""'""),"""")"),15.0)</f>
        <v>15</v>
      </c>
      <c r="AB15" s="16" t="str">
        <f>IFERROR(__xludf.DUMMYFUNCTION("IFERROR(QUERY(Conscrito!$A$3:$CU112, ""SELECT CQ WHERE B = '"" &amp; $A15 &amp; ""'""),"""")"),"Sim")</f>
        <v>Sim</v>
      </c>
      <c r="AC15" s="16">
        <v>2.0</v>
      </c>
      <c r="AD15" s="16">
        <v>612.0</v>
      </c>
      <c r="AE15" s="21" t="s">
        <v>172</v>
      </c>
    </row>
    <row r="16">
      <c r="A16" s="15" t="s">
        <v>173</v>
      </c>
      <c r="B16" s="16">
        <v>3.20004003301E11</v>
      </c>
      <c r="C16" s="17">
        <v>44587.0</v>
      </c>
      <c r="D16" s="18">
        <v>0.4166666666666667</v>
      </c>
      <c r="E16" s="19" t="s">
        <v>35</v>
      </c>
      <c r="F16" s="19" t="s">
        <v>36</v>
      </c>
      <c r="G16" s="16">
        <v>14.0</v>
      </c>
      <c r="H16" s="19" t="str">
        <f>IFERROR(__xludf.DUMMYFUNCTION("IFERROR(IF(QUERY('S2'!$A$3:$D112, ""SELECT C WHERE A = '"" &amp; $A16 &amp; ""'""),""Averiguar"",""""),"""")"),"")</f>
        <v/>
      </c>
      <c r="I16" s="20" t="str">
        <f>IFERROR(__xludf.DUMMYFUNCTION("IFERROR(QUERY(DBI!$A$2:$Y112, ""SELECT Y WHERE B = '"" &amp; $A16 &amp; ""'""),"""")"),"")</f>
        <v/>
      </c>
      <c r="J16" s="21" t="str">
        <f>IFERROR(__xludf.DUMMYFUNCTION("IFERROR(QUERY(Medico!$A$3:$Q112, ""SELECT P WHERE B = '"" &amp; $A16 &amp; ""'""),"""")"),"Indicado")</f>
        <v>Indicado</v>
      </c>
      <c r="K16" s="22" t="str">
        <f>IFERROR(__xludf.DUMMYFUNCTION("IFERROR(QUERY(Odonto!$A$3:$K112, ""SELECT J WHERE B = '"" &amp; $A16 &amp; ""'""),"""")"),"Indicado")</f>
        <v>Indicado</v>
      </c>
      <c r="L16" s="16" t="s">
        <v>37</v>
      </c>
      <c r="M16" s="23" t="s">
        <v>38</v>
      </c>
      <c r="N16" s="38">
        <v>37278.0</v>
      </c>
      <c r="O16" s="39" t="s">
        <v>39</v>
      </c>
      <c r="P16" s="39" t="s">
        <v>174</v>
      </c>
      <c r="Q16" s="40" t="s">
        <v>175</v>
      </c>
      <c r="R16" s="28" t="s">
        <v>176</v>
      </c>
      <c r="S16" s="28" t="s">
        <v>177</v>
      </c>
      <c r="T16" s="28" t="s">
        <v>178</v>
      </c>
      <c r="U16" s="35" t="s">
        <v>45</v>
      </c>
      <c r="V16" s="41">
        <v>8465140.0</v>
      </c>
      <c r="W16" s="42" t="s">
        <v>179</v>
      </c>
      <c r="X16" s="28" t="s">
        <v>180</v>
      </c>
      <c r="Y16" s="31">
        <f t="shared" si="1"/>
        <v>16</v>
      </c>
      <c r="Z16" s="32" t="s">
        <v>181</v>
      </c>
      <c r="AA16" s="16">
        <f>IFERROR(__xludf.DUMMYFUNCTION("IFERROR(QUERY(Conscrito!$A$3:$CU112, ""SELECT CU WHERE B = '"" &amp; $A16 &amp; ""'""),"""")"),16.0)</f>
        <v>16</v>
      </c>
      <c r="AB16" s="16" t="str">
        <f>IFERROR(__xludf.DUMMYFUNCTION("IFERROR(QUERY(Conscrito!$A$3:$CU112, ""SELECT CQ WHERE B = '"" &amp; $A16 &amp; ""'""),"""")"),"Sim")</f>
        <v>Sim</v>
      </c>
      <c r="AC16" s="16">
        <v>2.0</v>
      </c>
      <c r="AD16" s="16">
        <v>613.0</v>
      </c>
      <c r="AE16" s="21" t="s">
        <v>182</v>
      </c>
    </row>
    <row r="17" hidden="1">
      <c r="A17" s="15" t="s">
        <v>183</v>
      </c>
      <c r="B17" s="16">
        <v>3.20003999604E11</v>
      </c>
      <c r="C17" s="17"/>
      <c r="D17" s="18"/>
      <c r="E17" s="19" t="s">
        <v>73</v>
      </c>
      <c r="F17" s="19" t="s">
        <v>36</v>
      </c>
      <c r="G17" s="16">
        <v>19.0</v>
      </c>
      <c r="H17" s="19" t="str">
        <f>IFERROR(__xludf.DUMMYFUNCTION("IFERROR(IF(QUERY('S2'!$A$3:$D112, ""SELECT C WHERE A = '"" &amp; $A17 &amp; ""'""),""Averiguar"",""""),"""")"),"")</f>
        <v/>
      </c>
      <c r="I17" s="20" t="str">
        <f>IFERROR(__xludf.DUMMYFUNCTION("IFERROR(QUERY(DBI!$A$2:$Y112, ""SELECT Y WHERE B = '"" &amp; $A17 &amp; ""'""),"""")"),"")</f>
        <v/>
      </c>
      <c r="J17" s="21" t="str">
        <f>IFERROR(__xludf.DUMMYFUNCTION("IFERROR(QUERY(Medico!$A$3:$Q112, ""SELECT P WHERE B = '"" &amp; $A17 &amp; ""'""),"""")"),"Indicado")</f>
        <v>Indicado</v>
      </c>
      <c r="K17" s="22" t="str">
        <f>IFERROR(__xludf.DUMMYFUNCTION("IFERROR(QUERY(Odonto!$A$3:$K112, ""SELECT J WHERE B = '"" &amp; $A17 &amp; ""'""),"""")"),"Indicado")</f>
        <v>Indicado</v>
      </c>
      <c r="L17" s="16" t="s">
        <v>37</v>
      </c>
      <c r="M17" s="23" t="s">
        <v>38</v>
      </c>
      <c r="N17" s="38">
        <v>37279.0</v>
      </c>
      <c r="O17" s="39" t="s">
        <v>39</v>
      </c>
      <c r="P17" s="39" t="s">
        <v>184</v>
      </c>
      <c r="Q17" s="40" t="s">
        <v>185</v>
      </c>
      <c r="R17" s="28" t="s">
        <v>186</v>
      </c>
      <c r="S17" s="28" t="s">
        <v>187</v>
      </c>
      <c r="T17" s="28" t="s">
        <v>188</v>
      </c>
      <c r="U17" s="35" t="s">
        <v>45</v>
      </c>
      <c r="V17" s="41">
        <v>8440470.0</v>
      </c>
      <c r="W17" s="42" t="s">
        <v>189</v>
      </c>
      <c r="X17" s="28" t="s">
        <v>190</v>
      </c>
      <c r="Y17" s="31">
        <f t="shared" si="1"/>
        <v>17</v>
      </c>
      <c r="Z17" s="32" t="s">
        <v>191</v>
      </c>
      <c r="AA17" s="16">
        <f>IFERROR(__xludf.DUMMYFUNCTION("IFERROR(QUERY(Conscrito!$A$3:$CU112, ""SELECT CU WHERE B = '"" &amp; $A17 &amp; ""'""),"""")"),17.0)</f>
        <v>17</v>
      </c>
      <c r="AB17" s="16" t="str">
        <f>IFERROR(__xludf.DUMMYFUNCTION("IFERROR(QUERY(Conscrito!$A$3:$CU112, ""SELECT CQ WHERE B = '"" &amp; $A17 &amp; ""'""),"""")"),"Sim")</f>
        <v>Sim</v>
      </c>
      <c r="AC17" s="16">
        <v>3.0</v>
      </c>
      <c r="AD17" s="16">
        <v>614.0</v>
      </c>
      <c r="AE17" s="21" t="s">
        <v>192</v>
      </c>
    </row>
    <row r="18">
      <c r="A18" s="15" t="s">
        <v>193</v>
      </c>
      <c r="B18" s="16">
        <v>3.2000403047E11</v>
      </c>
      <c r="C18" s="17">
        <v>44588.0</v>
      </c>
      <c r="D18" s="18">
        <v>0.4583333333333333</v>
      </c>
      <c r="E18" s="19" t="s">
        <v>35</v>
      </c>
      <c r="F18" s="19" t="s">
        <v>36</v>
      </c>
      <c r="G18" s="16">
        <v>18.0</v>
      </c>
      <c r="H18" s="19" t="str">
        <f>IFERROR(__xludf.DUMMYFUNCTION("IFERROR(IF(QUERY('S2'!$A$3:$D112, ""SELECT C WHERE A = '"" &amp; $A18 &amp; ""'""),""Averiguar"",""""),"""")"),"")</f>
        <v/>
      </c>
      <c r="I18" s="20" t="str">
        <f>IFERROR(__xludf.DUMMYFUNCTION("IFERROR(QUERY(DBI!$A$2:$Y112, ""SELECT Y WHERE B = '"" &amp; $A18 &amp; ""'""),"""")"),"")</f>
        <v/>
      </c>
      <c r="J18" s="21" t="str">
        <f>IFERROR(__xludf.DUMMYFUNCTION("IFERROR(QUERY(Medico!$A$3:$Q112, ""SELECT P WHERE B = '"" &amp; $A18 &amp; ""'""),"""")"),"Indicado")</f>
        <v>Indicado</v>
      </c>
      <c r="K18" s="22" t="str">
        <f>IFERROR(__xludf.DUMMYFUNCTION("IFERROR(QUERY(Odonto!$A$3:$K112, ""SELECT J WHERE B = '"" &amp; $A18 &amp; ""'""),"""")"),"Indicado")</f>
        <v>Indicado</v>
      </c>
      <c r="L18" s="16" t="s">
        <v>84</v>
      </c>
      <c r="M18" s="23" t="s">
        <v>38</v>
      </c>
      <c r="N18" s="38">
        <v>37281.0</v>
      </c>
      <c r="O18" s="39" t="s">
        <v>39</v>
      </c>
      <c r="P18" s="39" t="s">
        <v>194</v>
      </c>
      <c r="Q18" s="40" t="s">
        <v>195</v>
      </c>
      <c r="R18" s="28" t="s">
        <v>196</v>
      </c>
      <c r="S18" s="28" t="s">
        <v>197</v>
      </c>
      <c r="T18" s="28" t="s">
        <v>198</v>
      </c>
      <c r="U18" s="35" t="s">
        <v>45</v>
      </c>
      <c r="V18" s="41">
        <v>3279175.0</v>
      </c>
      <c r="W18" s="42" t="s">
        <v>199</v>
      </c>
      <c r="X18" s="28" t="s">
        <v>200</v>
      </c>
      <c r="Y18" s="31">
        <f t="shared" si="1"/>
        <v>18</v>
      </c>
      <c r="Z18" s="32" t="s">
        <v>201</v>
      </c>
      <c r="AA18" s="16">
        <f>IFERROR(__xludf.DUMMYFUNCTION("IFERROR(QUERY(Conscrito!$A$3:$CU112, ""SELECT CU WHERE B = '"" &amp; $A18 &amp; ""'""),"""")"),18.0)</f>
        <v>18</v>
      </c>
      <c r="AB18" s="16" t="str">
        <f>IFERROR(__xludf.DUMMYFUNCTION("IFERROR(QUERY(Conscrito!$A$3:$CU112, ""SELECT CQ WHERE B = '"" &amp; $A18 &amp; ""'""),"""")"),"Não")</f>
        <v>Não</v>
      </c>
      <c r="AC18" s="16">
        <v>3.0</v>
      </c>
      <c r="AD18" s="16">
        <v>615.0</v>
      </c>
      <c r="AE18" s="21" t="s">
        <v>202</v>
      </c>
    </row>
    <row r="19">
      <c r="A19" s="15" t="s">
        <v>203</v>
      </c>
      <c r="B19" s="16">
        <v>3.20004058799E11</v>
      </c>
      <c r="C19" s="17">
        <v>44589.0</v>
      </c>
      <c r="D19" s="18">
        <v>0.3333333333333333</v>
      </c>
      <c r="E19" s="19" t="s">
        <v>35</v>
      </c>
      <c r="F19" s="19" t="s">
        <v>36</v>
      </c>
      <c r="G19" s="16">
        <v>2.0</v>
      </c>
      <c r="H19" s="19" t="str">
        <f>IFERROR(__xludf.DUMMYFUNCTION("IFERROR(IF(QUERY('S2'!$A$3:$D112, ""SELECT C WHERE A = '"" &amp; $A19 &amp; ""'""),""Averiguar"",""""),"""")"),"")</f>
        <v/>
      </c>
      <c r="I19" s="20" t="str">
        <f>IFERROR(__xludf.DUMMYFUNCTION("IFERROR(QUERY(DBI!$A$2:$Y112, ""SELECT Y WHERE B = '"" &amp; $A19 &amp; ""'""),"""")"),"")</f>
        <v/>
      </c>
      <c r="J19" s="21" t="str">
        <f>IFERROR(__xludf.DUMMYFUNCTION("IFERROR(QUERY(Medico!$A$3:$Q112, ""SELECT P WHERE B = '"" &amp; $A19 &amp; ""'""),"""")"),"Indicado")</f>
        <v>Indicado</v>
      </c>
      <c r="K19" s="22" t="str">
        <f>IFERROR(__xludf.DUMMYFUNCTION("IFERROR(QUERY(Odonto!$A$3:$K112, ""SELECT J WHERE B = '"" &amp; $A19 &amp; ""'""),"""")"),"Indicado")</f>
        <v>Indicado</v>
      </c>
      <c r="L19" s="16" t="s">
        <v>51</v>
      </c>
      <c r="M19" s="23" t="s">
        <v>38</v>
      </c>
      <c r="N19" s="38">
        <v>37283.0</v>
      </c>
      <c r="O19" s="39" t="s">
        <v>204</v>
      </c>
      <c r="P19" s="39" t="s">
        <v>205</v>
      </c>
      <c r="Q19" s="40" t="s">
        <v>206</v>
      </c>
      <c r="R19" s="28" t="s">
        <v>207</v>
      </c>
      <c r="S19" s="28" t="s">
        <v>208</v>
      </c>
      <c r="T19" s="28" t="s">
        <v>209</v>
      </c>
      <c r="U19" s="28" t="s">
        <v>45</v>
      </c>
      <c r="V19" s="41">
        <v>9930640.0</v>
      </c>
      <c r="W19" s="42" t="s">
        <v>210</v>
      </c>
      <c r="X19" s="28" t="s">
        <v>211</v>
      </c>
      <c r="Y19" s="31">
        <f t="shared" si="1"/>
        <v>19</v>
      </c>
      <c r="Z19" s="32" t="s">
        <v>212</v>
      </c>
      <c r="AA19" s="16">
        <f>IFERROR(__xludf.DUMMYFUNCTION("IFERROR(QUERY(Conscrito!$A$3:$CU112, ""SELECT CU WHERE B = '"" &amp; $A19 &amp; ""'""),"""")"),19.0)</f>
        <v>19</v>
      </c>
      <c r="AB19" s="16" t="str">
        <f>IFERROR(__xludf.DUMMYFUNCTION("IFERROR(QUERY(Conscrito!$A$3:$CU112, ""SELECT CQ WHERE B = '"" &amp; $A19 &amp; ""'""),"""")"),"Sim")</f>
        <v>Sim</v>
      </c>
      <c r="AC19" s="16">
        <v>1.0</v>
      </c>
      <c r="AD19" s="16">
        <v>616.0</v>
      </c>
      <c r="AE19" s="21" t="s">
        <v>213</v>
      </c>
    </row>
    <row r="20" hidden="1">
      <c r="A20" s="15" t="s">
        <v>214</v>
      </c>
      <c r="B20" s="16">
        <v>3.20004133617E11</v>
      </c>
      <c r="C20" s="17"/>
      <c r="D20" s="18"/>
      <c r="E20" s="19" t="s">
        <v>73</v>
      </c>
      <c r="F20" s="19" t="s">
        <v>36</v>
      </c>
      <c r="G20" s="16">
        <v>17.0</v>
      </c>
      <c r="H20" s="19" t="str">
        <f>IFERROR(__xludf.DUMMYFUNCTION("IFERROR(IF(QUERY('S2'!$A$3:$D112, ""SELECT C WHERE A = '"" &amp; $A20 &amp; ""'""),""Averiguar"",""""),"""")"),"")</f>
        <v/>
      </c>
      <c r="I20" s="20" t="str">
        <f>IFERROR(__xludf.DUMMYFUNCTION("IFERROR(QUERY(DBI!$A$2:$Y112, ""SELECT Y WHERE B = '"" &amp; $A20 &amp; ""'""),"""")"),"")</f>
        <v/>
      </c>
      <c r="J20" s="21" t="str">
        <f>IFERROR(__xludf.DUMMYFUNCTION("IFERROR(QUERY(Medico!$A$3:$Q112, ""SELECT P WHERE B = '"" &amp; $A20 &amp; ""'""),"""")"),"Indicado")</f>
        <v>Indicado</v>
      </c>
      <c r="K20" s="22" t="str">
        <f>IFERROR(__xludf.DUMMYFUNCTION("IFERROR(QUERY(Odonto!$A$3:$K112, ""SELECT J WHERE B = '"" &amp; $A20 &amp; ""'""),"""")"),"Indicado")</f>
        <v>Indicado</v>
      </c>
      <c r="L20" s="16" t="s">
        <v>84</v>
      </c>
      <c r="M20" s="23" t="s">
        <v>38</v>
      </c>
      <c r="N20" s="38">
        <v>37284.0</v>
      </c>
      <c r="O20" s="39" t="s">
        <v>39</v>
      </c>
      <c r="P20" s="39" t="s">
        <v>215</v>
      </c>
      <c r="Q20" s="40" t="s">
        <v>216</v>
      </c>
      <c r="R20" s="28" t="s">
        <v>217</v>
      </c>
      <c r="S20" s="28" t="s">
        <v>218</v>
      </c>
      <c r="T20" s="28" t="s">
        <v>219</v>
      </c>
      <c r="U20" s="28" t="s">
        <v>45</v>
      </c>
      <c r="V20" s="41">
        <v>4185000.0</v>
      </c>
      <c r="W20" s="42" t="s">
        <v>220</v>
      </c>
      <c r="X20" s="28" t="s">
        <v>221</v>
      </c>
      <c r="Y20" s="31">
        <f t="shared" si="1"/>
        <v>20</v>
      </c>
      <c r="Z20" s="32" t="s">
        <v>222</v>
      </c>
      <c r="AA20" s="16">
        <f>IFERROR(__xludf.DUMMYFUNCTION("IFERROR(QUERY(Conscrito!$A$3:$CU112, ""SELECT CU WHERE B = '"" &amp; $A20 &amp; ""'""),"""")"),20.0)</f>
        <v>20</v>
      </c>
      <c r="AB20" s="16" t="str">
        <f>IFERROR(__xludf.DUMMYFUNCTION("IFERROR(QUERY(Conscrito!$A$3:$CU112, ""SELECT CQ WHERE B = '"" &amp; $A20 &amp; ""'""),"""")"),"Sim")</f>
        <v>Sim</v>
      </c>
      <c r="AC20" s="16">
        <v>2.0</v>
      </c>
      <c r="AD20" s="16">
        <v>617.0</v>
      </c>
      <c r="AE20" s="21" t="s">
        <v>223</v>
      </c>
    </row>
    <row r="21" hidden="1">
      <c r="A21" s="15" t="s">
        <v>224</v>
      </c>
      <c r="B21" s="16">
        <v>3.20004310979E11</v>
      </c>
      <c r="C21" s="17"/>
      <c r="D21" s="18"/>
      <c r="E21" s="19" t="s">
        <v>73</v>
      </c>
      <c r="F21" s="19" t="s">
        <v>36</v>
      </c>
      <c r="G21" s="16">
        <v>19.0</v>
      </c>
      <c r="H21" s="19" t="str">
        <f>IFERROR(__xludf.DUMMYFUNCTION("IFERROR(IF(QUERY('S2'!$A$3:$D112, ""SELECT C WHERE A = '"" &amp; $A21 &amp; ""'""),""Averiguar"",""""),"""")"),"")</f>
        <v/>
      </c>
      <c r="I21" s="20" t="str">
        <f>IFERROR(__xludf.DUMMYFUNCTION("IFERROR(QUERY(DBI!$A$2:$Y112, ""SELECT Y WHERE B = '"" &amp; $A21 &amp; ""'""),"""")"),"")</f>
        <v/>
      </c>
      <c r="J21" s="21" t="str">
        <f>IFERROR(__xludf.DUMMYFUNCTION("IFERROR(QUERY(Medico!$A$3:$Q112, ""SELECT P WHERE B = '"" &amp; $A21 &amp; ""'""),"""")"),"Indicado")</f>
        <v>Indicado</v>
      </c>
      <c r="K21" s="22" t="str">
        <f>IFERROR(__xludf.DUMMYFUNCTION("IFERROR(QUERY(Odonto!$A$3:$K112, ""SELECT J WHERE B = '"" &amp; $A21 &amp; ""'""),"""")"),"Indicado")</f>
        <v>Indicado</v>
      </c>
      <c r="L21" s="16" t="s">
        <v>84</v>
      </c>
      <c r="M21" s="23" t="s">
        <v>38</v>
      </c>
      <c r="N21" s="38">
        <v>37284.0</v>
      </c>
      <c r="O21" s="39" t="s">
        <v>39</v>
      </c>
      <c r="P21" s="39" t="s">
        <v>225</v>
      </c>
      <c r="Q21" s="40" t="s">
        <v>226</v>
      </c>
      <c r="R21" s="28" t="s">
        <v>227</v>
      </c>
      <c r="S21" s="28" t="s">
        <v>228</v>
      </c>
      <c r="T21" s="28" t="s">
        <v>229</v>
      </c>
      <c r="U21" s="35" t="s">
        <v>45</v>
      </c>
      <c r="V21" s="41">
        <v>5432020.0</v>
      </c>
      <c r="W21" s="42" t="s">
        <v>230</v>
      </c>
      <c r="X21" s="28" t="s">
        <v>231</v>
      </c>
      <c r="Y21" s="31">
        <f t="shared" si="1"/>
        <v>21</v>
      </c>
      <c r="Z21" s="32" t="s">
        <v>232</v>
      </c>
      <c r="AA21" s="16">
        <f>IFERROR(__xludf.DUMMYFUNCTION("IFERROR(QUERY(Conscrito!$A$3:$CU112, ""SELECT CU WHERE B = '"" &amp; $A21 &amp; ""'""),"""")"),21.0)</f>
        <v>21</v>
      </c>
      <c r="AB21" s="16" t="str">
        <f>IFERROR(__xludf.DUMMYFUNCTION("IFERROR(QUERY(Conscrito!$A$3:$CU112, ""SELECT CQ WHERE B = '"" &amp; $A21 &amp; ""'""),"""")"),"Não")</f>
        <v>Não</v>
      </c>
      <c r="AC21" s="16">
        <v>3.0</v>
      </c>
      <c r="AD21" s="16">
        <v>618.0</v>
      </c>
      <c r="AE21" s="21" t="s">
        <v>233</v>
      </c>
    </row>
    <row r="22" hidden="1">
      <c r="A22" s="15" t="s">
        <v>234</v>
      </c>
      <c r="B22" s="16">
        <v>3.20004333621E11</v>
      </c>
      <c r="C22" s="17"/>
      <c r="D22" s="18"/>
      <c r="E22" s="19" t="s">
        <v>73</v>
      </c>
      <c r="F22" s="19" t="s">
        <v>36</v>
      </c>
      <c r="G22" s="16">
        <v>7.0</v>
      </c>
      <c r="H22" s="19" t="str">
        <f>IFERROR(__xludf.DUMMYFUNCTION("IFERROR(IF(QUERY('S2'!$A$3:$D112, ""SELECT C WHERE A = '"" &amp; $A22 &amp; ""'""),""Averiguar"",""""),"""")"),"")</f>
        <v/>
      </c>
      <c r="I22" s="20" t="str">
        <f>IFERROR(__xludf.DUMMYFUNCTION("IFERROR(QUERY(DBI!$A$2:$Y112, ""SELECT Y WHERE B = '"" &amp; $A22 &amp; ""'""),"""")"),"")</f>
        <v/>
      </c>
      <c r="J22" s="21" t="str">
        <f>IFERROR(__xludf.DUMMYFUNCTION("IFERROR(QUERY(Medico!$A$3:$Q112, ""SELECT P WHERE B = '"" &amp; $A22 &amp; ""'""),"""")"),"Indicado")</f>
        <v>Indicado</v>
      </c>
      <c r="K22" s="22" t="str">
        <f>IFERROR(__xludf.DUMMYFUNCTION("IFERROR(QUERY(Odonto!$A$3:$K112, ""SELECT J WHERE B = '"" &amp; $A22 &amp; ""'""),"""")"),"Indicado")</f>
        <v>Indicado</v>
      </c>
      <c r="L22" s="16" t="s">
        <v>37</v>
      </c>
      <c r="M22" s="23" t="s">
        <v>38</v>
      </c>
      <c r="N22" s="38">
        <v>37285.0</v>
      </c>
      <c r="O22" s="39" t="s">
        <v>39</v>
      </c>
      <c r="P22" s="39" t="s">
        <v>235</v>
      </c>
      <c r="Q22" s="40" t="s">
        <v>236</v>
      </c>
      <c r="R22" s="28" t="s">
        <v>237</v>
      </c>
      <c r="S22" s="28" t="s">
        <v>238</v>
      </c>
      <c r="T22" s="28" t="s">
        <v>239</v>
      </c>
      <c r="U22" s="28" t="s">
        <v>45</v>
      </c>
      <c r="V22" s="41">
        <v>5759000.0</v>
      </c>
      <c r="W22" s="42" t="s">
        <v>240</v>
      </c>
      <c r="X22" s="28" t="s">
        <v>241</v>
      </c>
      <c r="Y22" s="31">
        <f t="shared" si="1"/>
        <v>22</v>
      </c>
      <c r="Z22" s="32" t="s">
        <v>242</v>
      </c>
      <c r="AA22" s="16">
        <f>IFERROR(__xludf.DUMMYFUNCTION("IFERROR(QUERY(Conscrito!$A$3:$CU112, ""SELECT CU WHERE B = '"" &amp; $A22 &amp; ""'""),"""")"),22.0)</f>
        <v>22</v>
      </c>
      <c r="AB22" s="16" t="str">
        <f>IFERROR(__xludf.DUMMYFUNCTION("IFERROR(QUERY(Conscrito!$A$3:$CU112, ""SELECT CQ WHERE B = '"" &amp; $A22 &amp; ""'""),"""")"),"Sim")</f>
        <v>Sim</v>
      </c>
      <c r="AC22" s="16">
        <v>1.0</v>
      </c>
      <c r="AD22" s="16">
        <v>619.0</v>
      </c>
      <c r="AE22" s="21" t="s">
        <v>243</v>
      </c>
    </row>
    <row r="23" hidden="1">
      <c r="A23" s="15" t="s">
        <v>244</v>
      </c>
      <c r="B23" s="16">
        <v>3.20004278306E11</v>
      </c>
      <c r="C23" s="17"/>
      <c r="D23" s="18"/>
      <c r="E23" s="19" t="s">
        <v>73</v>
      </c>
      <c r="F23" s="19" t="s">
        <v>36</v>
      </c>
      <c r="G23" s="16">
        <v>16.0</v>
      </c>
      <c r="H23" s="19" t="str">
        <f>IFERROR(__xludf.DUMMYFUNCTION("IFERROR(IF(QUERY('S2'!$A$3:$D112, ""SELECT C WHERE A = '"" &amp; $A23 &amp; ""'""),""Averiguar"",""""),"""")"),"")</f>
        <v/>
      </c>
      <c r="I23" s="20" t="str">
        <f>IFERROR(__xludf.DUMMYFUNCTION("IFERROR(QUERY(DBI!$A$2:$Y112, ""SELECT Y WHERE B = '"" &amp; $A23 &amp; ""'""),"""")"),"")</f>
        <v/>
      </c>
      <c r="J23" s="21" t="str">
        <f>IFERROR(__xludf.DUMMYFUNCTION("IFERROR(QUERY(Medico!$A$3:$Q112, ""SELECT P WHERE B = '"" &amp; $A23 &amp; ""'""),"""")"),"Indicado")</f>
        <v>Indicado</v>
      </c>
      <c r="K23" s="22" t="str">
        <f>IFERROR(__xludf.DUMMYFUNCTION("IFERROR(QUERY(Odonto!$A$3:$K112, ""SELECT J WHERE B = '"" &amp; $A23 &amp; ""'""),"""")"),"Indicado")</f>
        <v>Indicado</v>
      </c>
      <c r="L23" s="16" t="s">
        <v>51</v>
      </c>
      <c r="M23" s="23" t="s">
        <v>38</v>
      </c>
      <c r="N23" s="38">
        <v>37285.0</v>
      </c>
      <c r="O23" s="39" t="s">
        <v>39</v>
      </c>
      <c r="P23" s="39" t="s">
        <v>245</v>
      </c>
      <c r="Q23" s="40" t="s">
        <v>246</v>
      </c>
      <c r="R23" s="28" t="s">
        <v>247</v>
      </c>
      <c r="S23" s="28" t="s">
        <v>248</v>
      </c>
      <c r="T23" s="28" t="s">
        <v>249</v>
      </c>
      <c r="U23" s="28" t="s">
        <v>45</v>
      </c>
      <c r="V23" s="41">
        <v>4917180.0</v>
      </c>
      <c r="W23" s="42" t="s">
        <v>250</v>
      </c>
      <c r="X23" s="28" t="s">
        <v>251</v>
      </c>
      <c r="Y23" s="31">
        <f t="shared" si="1"/>
        <v>23</v>
      </c>
      <c r="Z23" s="32" t="s">
        <v>252</v>
      </c>
      <c r="AA23" s="16">
        <f>IFERROR(__xludf.DUMMYFUNCTION("IFERROR(QUERY(Conscrito!$A$3:$CU112, ""SELECT CU WHERE B = '"" &amp; $A23 &amp; ""'""),"""")"),23.0)</f>
        <v>23</v>
      </c>
      <c r="AB23" s="16" t="str">
        <f>IFERROR(__xludf.DUMMYFUNCTION("IFERROR(QUERY(Conscrito!$A$3:$CU112, ""SELECT CQ WHERE B = '"" &amp; $A23 &amp; ""'""),"""")"),"Não")</f>
        <v>Não</v>
      </c>
      <c r="AC23" s="16">
        <v>3.0</v>
      </c>
      <c r="AD23" s="16">
        <v>620.0</v>
      </c>
      <c r="AE23" s="21" t="s">
        <v>253</v>
      </c>
    </row>
    <row r="24" hidden="1">
      <c r="A24" s="15" t="s">
        <v>254</v>
      </c>
      <c r="B24" s="16">
        <v>3.20004042957E11</v>
      </c>
      <c r="C24" s="17"/>
      <c r="D24" s="18"/>
      <c r="E24" s="19" t="s">
        <v>73</v>
      </c>
      <c r="F24" s="19" t="s">
        <v>36</v>
      </c>
      <c r="G24" s="16">
        <v>15.0</v>
      </c>
      <c r="H24" s="19" t="str">
        <f>IFERROR(__xludf.DUMMYFUNCTION("IFERROR(IF(QUERY('S2'!$A$3:$D112, ""SELECT C WHERE A = '"" &amp; $A24 &amp; ""'""),""Averiguar"",""""),"""")"),"")</f>
        <v/>
      </c>
      <c r="I24" s="20" t="str">
        <f>IFERROR(__xludf.DUMMYFUNCTION("IFERROR(QUERY(DBI!$A$2:$Y112, ""SELECT Y WHERE B = '"" &amp; $A24 &amp; ""'""),"""")"),"")</f>
        <v/>
      </c>
      <c r="J24" s="21" t="str">
        <f>IFERROR(__xludf.DUMMYFUNCTION("IFERROR(QUERY(Medico!$A$3:$Q112, ""SELECT P WHERE B = '"" &amp; $A24 &amp; ""'""),"""")"),"Parcialmente")</f>
        <v>Parcialmente</v>
      </c>
      <c r="K24" s="22" t="str">
        <f>IFERROR(__xludf.DUMMYFUNCTION("IFERROR(QUERY(Odonto!$A$3:$K112, ""SELECT J WHERE B = '"" &amp; $A24 &amp; ""'""),"""")"),"Indicado")</f>
        <v>Indicado</v>
      </c>
      <c r="L24" s="16" t="s">
        <v>84</v>
      </c>
      <c r="M24" s="23" t="s">
        <v>38</v>
      </c>
      <c r="N24" s="38">
        <v>37286.0</v>
      </c>
      <c r="O24" s="39" t="s">
        <v>39</v>
      </c>
      <c r="P24" s="39" t="s">
        <v>255</v>
      </c>
      <c r="Q24" s="40" t="s">
        <v>256</v>
      </c>
      <c r="R24" s="28" t="s">
        <v>257</v>
      </c>
      <c r="S24" s="28" t="s">
        <v>258</v>
      </c>
      <c r="T24" s="28" t="s">
        <v>259</v>
      </c>
      <c r="U24" s="35" t="s">
        <v>45</v>
      </c>
      <c r="V24" s="41">
        <v>4962000.0</v>
      </c>
      <c r="W24" s="42" t="s">
        <v>260</v>
      </c>
      <c r="X24" s="28" t="s">
        <v>261</v>
      </c>
      <c r="Y24" s="31">
        <f t="shared" si="1"/>
        <v>24</v>
      </c>
      <c r="Z24" s="32" t="s">
        <v>262</v>
      </c>
      <c r="AA24" s="16">
        <f>IFERROR(__xludf.DUMMYFUNCTION("IFERROR(QUERY(Conscrito!$A$3:$CU112, ""SELECT CU WHERE B = '"" &amp; $A24 &amp; ""'""),"""")"),24.0)</f>
        <v>24</v>
      </c>
      <c r="AB24" s="16" t="str">
        <f>IFERROR(__xludf.DUMMYFUNCTION("IFERROR(QUERY(Conscrito!$A$3:$CU112, ""SELECT CQ WHERE B = '"" &amp; $A24 &amp; ""'""),"""")"),"Sim")</f>
        <v>Sim</v>
      </c>
      <c r="AC24" s="16">
        <v>2.0</v>
      </c>
      <c r="AD24" s="16">
        <v>621.0</v>
      </c>
      <c r="AE24" s="21" t="s">
        <v>263</v>
      </c>
    </row>
    <row r="25">
      <c r="A25" s="15" t="s">
        <v>264</v>
      </c>
      <c r="B25" s="16">
        <v>3.20004218493E11</v>
      </c>
      <c r="C25" s="17">
        <v>44590.0</v>
      </c>
      <c r="D25" s="18">
        <v>0.375</v>
      </c>
      <c r="E25" s="19" t="s">
        <v>35</v>
      </c>
      <c r="F25" s="19" t="s">
        <v>36</v>
      </c>
      <c r="G25" s="16">
        <v>7.0</v>
      </c>
      <c r="H25" s="19" t="str">
        <f>IFERROR(__xludf.DUMMYFUNCTION("IFERROR(IF(QUERY('S2'!$A$3:$D112, ""SELECT C WHERE A = '"" &amp; $A25 &amp; ""'""),""Averiguar"",""""),"""")"),"")</f>
        <v/>
      </c>
      <c r="I25" s="20" t="str">
        <f>IFERROR(__xludf.DUMMYFUNCTION("IFERROR(QUERY(DBI!$A$2:$Y112, ""SELECT Y WHERE B = '"" &amp; $A25 &amp; ""'""),"""")"),"")</f>
        <v/>
      </c>
      <c r="J25" s="21" t="str">
        <f>IFERROR(__xludf.DUMMYFUNCTION("IFERROR(QUERY(Medico!$A$3:$Q112, ""SELECT P WHERE B = '"" &amp; $A25 &amp; ""'""),"""")"),"Indicado")</f>
        <v>Indicado</v>
      </c>
      <c r="K25" s="22" t="str">
        <f>IFERROR(__xludf.DUMMYFUNCTION("IFERROR(QUERY(Odonto!$A$3:$K112, ""SELECT J WHERE B = '"" &amp; $A25 &amp; ""'""),"""")"),"Indicado")</f>
        <v>Indicado</v>
      </c>
      <c r="L25" s="16" t="s">
        <v>84</v>
      </c>
      <c r="M25" s="23" t="s">
        <v>38</v>
      </c>
      <c r="N25" s="38">
        <v>37287.0</v>
      </c>
      <c r="O25" s="39" t="s">
        <v>39</v>
      </c>
      <c r="P25" s="39" t="s">
        <v>265</v>
      </c>
      <c r="Q25" s="40" t="s">
        <v>266</v>
      </c>
      <c r="R25" s="28" t="s">
        <v>267</v>
      </c>
      <c r="S25" s="28" t="s">
        <v>268</v>
      </c>
      <c r="T25" s="28" t="s">
        <v>269</v>
      </c>
      <c r="U25" s="35" t="s">
        <v>45</v>
      </c>
      <c r="V25" s="41">
        <v>8290480.0</v>
      </c>
      <c r="W25" s="42" t="s">
        <v>270</v>
      </c>
      <c r="X25" s="28" t="s">
        <v>271</v>
      </c>
      <c r="Y25" s="31">
        <f t="shared" si="1"/>
        <v>25</v>
      </c>
      <c r="Z25" s="32" t="s">
        <v>272</v>
      </c>
      <c r="AA25" s="16">
        <f>IFERROR(__xludf.DUMMYFUNCTION("IFERROR(QUERY(Conscrito!$A$3:$CU112, ""SELECT CU WHERE B = '"" &amp; $A25 &amp; ""'""),"""")"),25.0)</f>
        <v>25</v>
      </c>
      <c r="AB25" s="16" t="str">
        <f>IFERROR(__xludf.DUMMYFUNCTION("IFERROR(QUERY(Conscrito!$A$3:$CU112, ""SELECT CQ WHERE B = '"" &amp; $A25 &amp; ""'""),"""")"),"Sim")</f>
        <v>Sim</v>
      </c>
      <c r="AC25" s="16">
        <v>1.0</v>
      </c>
      <c r="AD25" s="16">
        <v>622.0</v>
      </c>
      <c r="AE25" s="21" t="s">
        <v>273</v>
      </c>
    </row>
    <row r="26">
      <c r="A26" s="15" t="s">
        <v>274</v>
      </c>
      <c r="B26" s="16">
        <v>3.20004039298E11</v>
      </c>
      <c r="C26" s="17">
        <v>44591.0</v>
      </c>
      <c r="D26" s="18">
        <v>0.4166666666666667</v>
      </c>
      <c r="E26" s="19" t="s">
        <v>35</v>
      </c>
      <c r="F26" s="19" t="s">
        <v>36</v>
      </c>
      <c r="G26" s="16">
        <v>14.0</v>
      </c>
      <c r="H26" s="19" t="str">
        <f>IFERROR(__xludf.DUMMYFUNCTION("IFERROR(IF(QUERY('S2'!$A$3:$D112, ""SELECT C WHERE A = '"" &amp; $A26 &amp; ""'""),""Averiguar"",""""),"""")"),"")</f>
        <v/>
      </c>
      <c r="I26" s="20" t="str">
        <f>IFERROR(__xludf.DUMMYFUNCTION("IFERROR(QUERY(DBI!$A$2:$Y112, ""SELECT Y WHERE B = '"" &amp; $A26 &amp; ""'""),"""")"),"")</f>
        <v/>
      </c>
      <c r="J26" s="21" t="str">
        <f>IFERROR(__xludf.DUMMYFUNCTION("IFERROR(QUERY(Medico!$A$3:$Q112, ""SELECT P WHERE B = '"" &amp; $A26 &amp; ""'""),"""")"),"Indicado")</f>
        <v>Indicado</v>
      </c>
      <c r="K26" s="22" t="str">
        <f>IFERROR(__xludf.DUMMYFUNCTION("IFERROR(QUERY(Odonto!$A$3:$K112, ""SELECT J WHERE B = '"" &amp; $A26 &amp; ""'""),"""")"),"Indicado")</f>
        <v>Indicado</v>
      </c>
      <c r="L26" s="16" t="s">
        <v>37</v>
      </c>
      <c r="M26" s="23" t="s">
        <v>38</v>
      </c>
      <c r="N26" s="38">
        <v>37288.0</v>
      </c>
      <c r="O26" s="39" t="s">
        <v>39</v>
      </c>
      <c r="P26" s="39" t="s">
        <v>275</v>
      </c>
      <c r="Q26" s="40" t="s">
        <v>276</v>
      </c>
      <c r="R26" s="28" t="s">
        <v>277</v>
      </c>
      <c r="S26" s="28" t="s">
        <v>278</v>
      </c>
      <c r="T26" s="28" t="s">
        <v>279</v>
      </c>
      <c r="U26" s="28" t="s">
        <v>45</v>
      </c>
      <c r="V26" s="41">
        <v>3282000.0</v>
      </c>
      <c r="W26" s="42" t="s">
        <v>280</v>
      </c>
      <c r="X26" s="28" t="s">
        <v>281</v>
      </c>
      <c r="Y26" s="31">
        <f t="shared" si="1"/>
        <v>26</v>
      </c>
      <c r="Z26" s="32" t="s">
        <v>282</v>
      </c>
      <c r="AA26" s="16">
        <f>IFERROR(__xludf.DUMMYFUNCTION("IFERROR(QUERY(Conscrito!$A$3:$CU112, ""SELECT CU WHERE B = '"" &amp; $A26 &amp; ""'""),"""")"),26.0)</f>
        <v>26</v>
      </c>
      <c r="AB26" s="16" t="str">
        <f>IFERROR(__xludf.DUMMYFUNCTION("IFERROR(QUERY(Conscrito!$A$3:$CU112, ""SELECT CQ WHERE B = '"" &amp; $A26 &amp; ""'""),"""")"),"Sim")</f>
        <v>Sim</v>
      </c>
      <c r="AC26" s="16">
        <v>2.0</v>
      </c>
      <c r="AD26" s="16">
        <v>623.0</v>
      </c>
      <c r="AE26" s="21" t="s">
        <v>283</v>
      </c>
    </row>
    <row r="27">
      <c r="A27" s="15" t="s">
        <v>284</v>
      </c>
      <c r="B27" s="16">
        <v>3.20004231782E11</v>
      </c>
      <c r="C27" s="17">
        <v>44592.0</v>
      </c>
      <c r="D27" s="18">
        <v>0.4583333333333333</v>
      </c>
      <c r="E27" s="19" t="s">
        <v>35</v>
      </c>
      <c r="F27" s="19" t="s">
        <v>36</v>
      </c>
      <c r="G27" s="16">
        <v>7.0</v>
      </c>
      <c r="H27" s="19" t="str">
        <f>IFERROR(__xludf.DUMMYFUNCTION("IFERROR(IF(QUERY('S2'!$A$3:$D112, ""SELECT C WHERE A = '"" &amp; $A27 &amp; ""'""),""Averiguar"",""""),"""")"),"")</f>
        <v/>
      </c>
      <c r="I27" s="20" t="str">
        <f>IFERROR(__xludf.DUMMYFUNCTION("IFERROR(QUERY(DBI!$A$2:$Y112, ""SELECT Y WHERE B = '"" &amp; $A27 &amp; ""'""),"""")"),"")</f>
        <v/>
      </c>
      <c r="J27" s="21" t="str">
        <f>IFERROR(__xludf.DUMMYFUNCTION("IFERROR(QUERY(Medico!$A$3:$Q112, ""SELECT P WHERE B = '"" &amp; $A27 &amp; ""'""),"""")"),"Indicado")</f>
        <v>Indicado</v>
      </c>
      <c r="K27" s="22" t="str">
        <f>IFERROR(__xludf.DUMMYFUNCTION("IFERROR(QUERY(Odonto!$A$3:$K112, ""SELECT J WHERE B = '"" &amp; $A27 &amp; ""'""),"""")"),"Indicado")</f>
        <v>Indicado</v>
      </c>
      <c r="L27" s="16" t="s">
        <v>51</v>
      </c>
      <c r="M27" s="23" t="s">
        <v>38</v>
      </c>
      <c r="N27" s="38">
        <v>37290.0</v>
      </c>
      <c r="O27" s="39" t="s">
        <v>39</v>
      </c>
      <c r="P27" s="39" t="s">
        <v>285</v>
      </c>
      <c r="Q27" s="40" t="s">
        <v>286</v>
      </c>
      <c r="R27" s="28" t="s">
        <v>287</v>
      </c>
      <c r="S27" s="28" t="s">
        <v>288</v>
      </c>
      <c r="T27" s="28" t="s">
        <v>289</v>
      </c>
      <c r="U27" s="28" t="s">
        <v>45</v>
      </c>
      <c r="V27" s="41">
        <v>3387005.0</v>
      </c>
      <c r="W27" s="42" t="s">
        <v>290</v>
      </c>
      <c r="X27" s="28" t="s">
        <v>291</v>
      </c>
      <c r="Y27" s="31">
        <f t="shared" si="1"/>
        <v>27</v>
      </c>
      <c r="Z27" s="32" t="s">
        <v>292</v>
      </c>
      <c r="AA27" s="16">
        <f>IFERROR(__xludf.DUMMYFUNCTION("IFERROR(QUERY(Conscrito!$A$3:$CU112, ""SELECT CU WHERE B = '"" &amp; $A27 &amp; ""'""),"""")"),27.0)</f>
        <v>27</v>
      </c>
      <c r="AB27" s="16" t="str">
        <f>IFERROR(__xludf.DUMMYFUNCTION("IFERROR(QUERY(Conscrito!$A$3:$CU112, ""SELECT CQ WHERE B = '"" &amp; $A27 &amp; ""'""),"""")"),"Sim")</f>
        <v>Sim</v>
      </c>
      <c r="AC27" s="16">
        <v>2.0</v>
      </c>
      <c r="AD27" s="16">
        <v>624.0</v>
      </c>
      <c r="AE27" s="21" t="s">
        <v>293</v>
      </c>
    </row>
    <row r="28">
      <c r="A28" s="15" t="s">
        <v>294</v>
      </c>
      <c r="B28" s="16">
        <v>3.20004166663E11</v>
      </c>
      <c r="C28" s="17">
        <v>44593.0</v>
      </c>
      <c r="D28" s="18">
        <v>0.3333333333333333</v>
      </c>
      <c r="E28" s="19" t="s">
        <v>35</v>
      </c>
      <c r="F28" s="19" t="s">
        <v>36</v>
      </c>
      <c r="G28" s="16">
        <v>15.0</v>
      </c>
      <c r="H28" s="19" t="str">
        <f>IFERROR(__xludf.DUMMYFUNCTION("IFERROR(IF(QUERY('S2'!$A$3:$D112, ""SELECT C WHERE A = '"" &amp; $A28 &amp; ""'""),""Averiguar"",""""),"""")"),"")</f>
        <v/>
      </c>
      <c r="I28" s="20" t="str">
        <f>IFERROR(__xludf.DUMMYFUNCTION("IFERROR(QUERY(DBI!$A$2:$Y112, ""SELECT Y WHERE B = '"" &amp; $A28 &amp; ""'""),"""")"),"")</f>
        <v/>
      </c>
      <c r="J28" s="21" t="str">
        <f>IFERROR(__xludf.DUMMYFUNCTION("IFERROR(QUERY(Medico!$A$3:$Q112, ""SELECT P WHERE B = '"" &amp; $A28 &amp; ""'""),"""")"),"Indicado")</f>
        <v>Indicado</v>
      </c>
      <c r="K28" s="22" t="str">
        <f>IFERROR(__xludf.DUMMYFUNCTION("IFERROR(QUERY(Odonto!$A$3:$K112, ""SELECT J WHERE B = '"" &amp; $A28 &amp; ""'""),"""")"),"Indicado")</f>
        <v>Indicado</v>
      </c>
      <c r="L28" s="16" t="s">
        <v>37</v>
      </c>
      <c r="M28" s="23" t="s">
        <v>38</v>
      </c>
      <c r="N28" s="38">
        <v>37292.0</v>
      </c>
      <c r="O28" s="39" t="s">
        <v>39</v>
      </c>
      <c r="P28" s="39" t="s">
        <v>295</v>
      </c>
      <c r="Q28" s="40" t="s">
        <v>296</v>
      </c>
      <c r="R28" s="28" t="s">
        <v>297</v>
      </c>
      <c r="S28" s="28" t="s">
        <v>298</v>
      </c>
      <c r="T28" s="28" t="s">
        <v>299</v>
      </c>
      <c r="U28" s="35" t="s">
        <v>45</v>
      </c>
      <c r="V28" s="41">
        <v>2365054.0</v>
      </c>
      <c r="W28" s="42" t="s">
        <v>300</v>
      </c>
      <c r="X28" s="28" t="s">
        <v>301</v>
      </c>
      <c r="Y28" s="31">
        <f t="shared" si="1"/>
        <v>28</v>
      </c>
      <c r="Z28" s="32" t="s">
        <v>302</v>
      </c>
      <c r="AA28" s="16">
        <f>IFERROR(__xludf.DUMMYFUNCTION("IFERROR(QUERY(Conscrito!$A$3:$CU112, ""SELECT CU WHERE B = '"" &amp; $A28 &amp; ""'""),"""")"),28.0)</f>
        <v>28</v>
      </c>
      <c r="AB28" s="16" t="str">
        <f>IFERROR(__xludf.DUMMYFUNCTION("IFERROR(QUERY(Conscrito!$A$3:$CU112, ""SELECT CQ WHERE B = '"" &amp; $A28 &amp; ""'""),"""")"),"Sim")</f>
        <v>Sim</v>
      </c>
      <c r="AC28" s="16">
        <v>2.0</v>
      </c>
      <c r="AD28" s="16">
        <v>625.0</v>
      </c>
      <c r="AE28" s="21" t="s">
        <v>303</v>
      </c>
    </row>
    <row r="29">
      <c r="A29" s="15" t="s">
        <v>304</v>
      </c>
      <c r="B29" s="16">
        <v>3.20004290149E11</v>
      </c>
      <c r="C29" s="17">
        <v>44594.0</v>
      </c>
      <c r="D29" s="18">
        <v>0.375</v>
      </c>
      <c r="E29" s="19" t="s">
        <v>35</v>
      </c>
      <c r="F29" s="19" t="s">
        <v>36</v>
      </c>
      <c r="G29" s="16">
        <v>4.0</v>
      </c>
      <c r="H29" s="19" t="str">
        <f>IFERROR(__xludf.DUMMYFUNCTION("IFERROR(IF(QUERY('S2'!$A$3:$D112, ""SELECT C WHERE A = '"" &amp; $A29 &amp; ""'""),""Averiguar"",""""),"""")"),"")</f>
        <v/>
      </c>
      <c r="I29" s="20" t="str">
        <f>IFERROR(__xludf.DUMMYFUNCTION("IFERROR(QUERY(DBI!$A$2:$Y112, ""SELECT Y WHERE B = '"" &amp; $A29 &amp; ""'""),"""")"),"")</f>
        <v/>
      </c>
      <c r="J29" s="21" t="str">
        <f>IFERROR(__xludf.DUMMYFUNCTION("IFERROR(QUERY(Medico!$A$3:$Q112, ""SELECT P WHERE B = '"" &amp; $A29 &amp; ""'""),"""")"),"Indicado")</f>
        <v>Indicado</v>
      </c>
      <c r="K29" s="22" t="str">
        <f>IFERROR(__xludf.DUMMYFUNCTION("IFERROR(QUERY(Odonto!$A$3:$K112, ""SELECT J WHERE B = '"" &amp; $A29 &amp; ""'""),"""")"),"Indicado")</f>
        <v>Indicado</v>
      </c>
      <c r="L29" s="16" t="s">
        <v>51</v>
      </c>
      <c r="M29" s="23" t="s">
        <v>38</v>
      </c>
      <c r="N29" s="38">
        <v>37293.0</v>
      </c>
      <c r="O29" s="39" t="s">
        <v>305</v>
      </c>
      <c r="P29" s="39" t="s">
        <v>306</v>
      </c>
      <c r="Q29" s="40" t="s">
        <v>307</v>
      </c>
      <c r="R29" s="28" t="s">
        <v>308</v>
      </c>
      <c r="S29" s="28" t="s">
        <v>309</v>
      </c>
      <c r="T29" s="28" t="s">
        <v>310</v>
      </c>
      <c r="U29" s="35" t="s">
        <v>45</v>
      </c>
      <c r="V29" s="41">
        <v>4011060.0</v>
      </c>
      <c r="W29" s="42" t="s">
        <v>311</v>
      </c>
      <c r="X29" s="28" t="s">
        <v>312</v>
      </c>
      <c r="Y29" s="31">
        <f t="shared" si="1"/>
        <v>29</v>
      </c>
      <c r="Z29" s="32" t="s">
        <v>313</v>
      </c>
      <c r="AA29" s="16">
        <f>IFERROR(__xludf.DUMMYFUNCTION("IFERROR(QUERY(Conscrito!$A$3:$CU112, ""SELECT CU WHERE B = '"" &amp; $A29 &amp; ""'""),"""")"),29.0)</f>
        <v>29</v>
      </c>
      <c r="AB29" s="16" t="str">
        <f>IFERROR(__xludf.DUMMYFUNCTION("IFERROR(QUERY(Conscrito!$A$3:$CU112, ""SELECT CQ WHERE B = '"" &amp; $A29 &amp; ""'""),"""")"),"Sim")</f>
        <v>Sim</v>
      </c>
      <c r="AC29" s="16">
        <v>1.0</v>
      </c>
      <c r="AD29" s="16">
        <v>626.0</v>
      </c>
      <c r="AE29" s="21" t="s">
        <v>314</v>
      </c>
    </row>
    <row r="30">
      <c r="A30" s="15" t="s">
        <v>315</v>
      </c>
      <c r="B30" s="16">
        <v>3.20004090851E11</v>
      </c>
      <c r="C30" s="17">
        <v>44595.0</v>
      </c>
      <c r="D30" s="18">
        <v>0.4166666666666667</v>
      </c>
      <c r="E30" s="19" t="s">
        <v>35</v>
      </c>
      <c r="F30" s="19" t="s">
        <v>36</v>
      </c>
      <c r="G30" s="16">
        <v>5.0</v>
      </c>
      <c r="H30" s="19" t="str">
        <f>IFERROR(__xludf.DUMMYFUNCTION("IFERROR(IF(QUERY('S2'!$A$3:$D112, ""SELECT C WHERE A = '"" &amp; $A30 &amp; ""'""),""Averiguar"",""""),"""")"),"")</f>
        <v/>
      </c>
      <c r="I30" s="20" t="str">
        <f>IFERROR(__xludf.DUMMYFUNCTION("IFERROR(QUERY(DBI!$A$2:$Y112, ""SELECT Y WHERE B = '"" &amp; $A30 &amp; ""'""),"""")"),"")</f>
        <v/>
      </c>
      <c r="J30" s="21" t="str">
        <f>IFERROR(__xludf.DUMMYFUNCTION("IFERROR(QUERY(Medico!$A$3:$Q112, ""SELECT P WHERE B = '"" &amp; $A30 &amp; ""'""),"""")"),"Indicado")</f>
        <v>Indicado</v>
      </c>
      <c r="K30" s="22" t="str">
        <f>IFERROR(__xludf.DUMMYFUNCTION("IFERROR(QUERY(Odonto!$A$3:$K112, ""SELECT J WHERE B = '"" &amp; $A30 &amp; ""'""),"""")"),"Indicado")</f>
        <v>Indicado</v>
      </c>
      <c r="L30" s="16" t="s">
        <v>37</v>
      </c>
      <c r="M30" s="23" t="s">
        <v>38</v>
      </c>
      <c r="N30" s="38">
        <v>37296.0</v>
      </c>
      <c r="O30" s="39" t="s">
        <v>316</v>
      </c>
      <c r="P30" s="39" t="s">
        <v>317</v>
      </c>
      <c r="Q30" s="40" t="s">
        <v>318</v>
      </c>
      <c r="R30" s="28" t="s">
        <v>319</v>
      </c>
      <c r="S30" s="28" t="s">
        <v>320</v>
      </c>
      <c r="T30" s="28" t="s">
        <v>321</v>
      </c>
      <c r="U30" s="35" t="s">
        <v>45</v>
      </c>
      <c r="V30" s="41">
        <v>3924040.0</v>
      </c>
      <c r="W30" s="42" t="s">
        <v>322</v>
      </c>
      <c r="X30" s="28" t="s">
        <v>323</v>
      </c>
      <c r="Y30" s="31">
        <f t="shared" si="1"/>
        <v>30</v>
      </c>
      <c r="Z30" s="32" t="s">
        <v>324</v>
      </c>
      <c r="AA30" s="16">
        <f>IFERROR(__xludf.DUMMYFUNCTION("IFERROR(QUERY(Conscrito!$A$3:$CU112, ""SELECT CU WHERE B = '"" &amp; $A30 &amp; ""'""),"""")"),30.0)</f>
        <v>30</v>
      </c>
      <c r="AB30" s="16" t="str">
        <f>IFERROR(__xludf.DUMMYFUNCTION("IFERROR(QUERY(Conscrito!$A$3:$CU112, ""SELECT CQ WHERE B = '"" &amp; $A30 &amp; ""'""),"""")"),"Sim")</f>
        <v>Sim</v>
      </c>
      <c r="AC30" s="16">
        <v>1.0</v>
      </c>
      <c r="AD30" s="16">
        <v>627.0</v>
      </c>
      <c r="AE30" s="21" t="s">
        <v>325</v>
      </c>
    </row>
    <row r="31">
      <c r="A31" s="15" t="s">
        <v>326</v>
      </c>
      <c r="B31" s="16">
        <v>3.20004582894E11</v>
      </c>
      <c r="C31" s="17">
        <v>44596.0</v>
      </c>
      <c r="D31" s="18">
        <v>0.4583333333333333</v>
      </c>
      <c r="E31" s="19" t="s">
        <v>35</v>
      </c>
      <c r="F31" s="19" t="s">
        <v>36</v>
      </c>
      <c r="G31" s="16">
        <v>10.0</v>
      </c>
      <c r="H31" s="19" t="str">
        <f>IFERROR(__xludf.DUMMYFUNCTION("IFERROR(IF(QUERY('S2'!$A$3:$D112, ""SELECT C WHERE A = '"" &amp; $A31 &amp; ""'""),""Averiguar"",""""),"""")"),"")</f>
        <v/>
      </c>
      <c r="I31" s="20" t="str">
        <f>IFERROR(__xludf.DUMMYFUNCTION("IFERROR(QUERY(DBI!$A$2:$Y112, ""SELECT Y WHERE B = '"" &amp; $A31 &amp; ""'""),"""")"),"")</f>
        <v/>
      </c>
      <c r="J31" s="21" t="str">
        <f>IFERROR(__xludf.DUMMYFUNCTION("IFERROR(QUERY(Medico!$A$3:$Q112, ""SELECT P WHERE B = '"" &amp; $A31 &amp; ""'""),"""")"),"Indicado")</f>
        <v>Indicado</v>
      </c>
      <c r="K31" s="22" t="str">
        <f>IFERROR(__xludf.DUMMYFUNCTION("IFERROR(QUERY(Odonto!$A$3:$K112, ""SELECT J WHERE B = '"" &amp; $A31 &amp; ""'""),"""")"),"Indicado")</f>
        <v>Indicado</v>
      </c>
      <c r="L31" s="16" t="s">
        <v>51</v>
      </c>
      <c r="M31" s="23" t="s">
        <v>38</v>
      </c>
      <c r="N31" s="38">
        <v>37298.0</v>
      </c>
      <c r="O31" s="39" t="s">
        <v>39</v>
      </c>
      <c r="P31" s="39" t="s">
        <v>327</v>
      </c>
      <c r="Q31" s="40" t="s">
        <v>328</v>
      </c>
      <c r="R31" s="28" t="s">
        <v>329</v>
      </c>
      <c r="S31" s="28" t="s">
        <v>330</v>
      </c>
      <c r="T31" s="28" t="s">
        <v>331</v>
      </c>
      <c r="U31" s="35" t="s">
        <v>45</v>
      </c>
      <c r="V31" s="41">
        <v>4165150.0</v>
      </c>
      <c r="W31" s="42" t="s">
        <v>332</v>
      </c>
      <c r="X31" s="28" t="s">
        <v>333</v>
      </c>
      <c r="Y31" s="31">
        <f t="shared" si="1"/>
        <v>31</v>
      </c>
      <c r="Z31" s="32" t="s">
        <v>334</v>
      </c>
      <c r="AA31" s="16">
        <f>IFERROR(__xludf.DUMMYFUNCTION("IFERROR(QUERY(Conscrito!$A$3:$CU112, ""SELECT CU WHERE B = '"" &amp; $A31 &amp; ""'""),"""")"),31.0)</f>
        <v>31</v>
      </c>
      <c r="AB31" s="16" t="str">
        <f>IFERROR(__xludf.DUMMYFUNCTION("IFERROR(QUERY(Conscrito!$A$3:$CU112, ""SELECT CQ WHERE B = '"" &amp; $A31 &amp; ""'""),"""")"),"Sim")</f>
        <v>Sim</v>
      </c>
      <c r="AC31" s="16">
        <v>2.0</v>
      </c>
      <c r="AD31" s="16">
        <v>628.0</v>
      </c>
      <c r="AE31" s="21" t="s">
        <v>335</v>
      </c>
    </row>
    <row r="32">
      <c r="A32" s="15" t="s">
        <v>336</v>
      </c>
      <c r="B32" s="16">
        <v>3.20004522886E11</v>
      </c>
      <c r="C32" s="17">
        <v>44597.0</v>
      </c>
      <c r="D32" s="18">
        <v>0.3333333333333333</v>
      </c>
      <c r="E32" s="19" t="s">
        <v>35</v>
      </c>
      <c r="F32" s="19" t="s">
        <v>36</v>
      </c>
      <c r="G32" s="16">
        <v>4.0</v>
      </c>
      <c r="H32" s="19" t="str">
        <f>IFERROR(__xludf.DUMMYFUNCTION("IFERROR(IF(QUERY('S2'!$A$3:$D112, ""SELECT C WHERE A = '"" &amp; $A32 &amp; ""'""),""Averiguar"",""""),"""")"),"")</f>
        <v/>
      </c>
      <c r="I32" s="20" t="str">
        <f>IFERROR(__xludf.DUMMYFUNCTION("IFERROR(QUERY(DBI!$A$2:$Y112, ""SELECT Y WHERE B = '"" &amp; $A32 &amp; ""'""),"""")"),"")</f>
        <v/>
      </c>
      <c r="J32" s="21" t="str">
        <f>IFERROR(__xludf.DUMMYFUNCTION("IFERROR(QUERY(Medico!$A$3:$Q112, ""SELECT P WHERE B = '"" &amp; $A32 &amp; ""'""),"""")"),"Indicado")</f>
        <v>Indicado</v>
      </c>
      <c r="K32" s="22" t="str">
        <f>IFERROR(__xludf.DUMMYFUNCTION("IFERROR(QUERY(Odonto!$A$3:$K112, ""SELECT J WHERE B = '"" &amp; $A32 &amp; ""'""),"""")"),"Indicado")</f>
        <v>Indicado</v>
      </c>
      <c r="L32" s="16" t="s">
        <v>51</v>
      </c>
      <c r="M32" s="23" t="s">
        <v>38</v>
      </c>
      <c r="N32" s="38">
        <v>37299.0</v>
      </c>
      <c r="O32" s="39" t="s">
        <v>39</v>
      </c>
      <c r="P32" s="39" t="s">
        <v>337</v>
      </c>
      <c r="Q32" s="40" t="s">
        <v>338</v>
      </c>
      <c r="R32" s="28" t="s">
        <v>339</v>
      </c>
      <c r="S32" s="28" t="s">
        <v>340</v>
      </c>
      <c r="T32" s="28" t="s">
        <v>341</v>
      </c>
      <c r="U32" s="35" t="s">
        <v>45</v>
      </c>
      <c r="V32" s="41">
        <v>4125040.0</v>
      </c>
      <c r="W32" s="42" t="s">
        <v>342</v>
      </c>
      <c r="X32" s="28" t="s">
        <v>343</v>
      </c>
      <c r="Y32" s="31">
        <f t="shared" si="1"/>
        <v>32</v>
      </c>
      <c r="Z32" s="32" t="s">
        <v>344</v>
      </c>
      <c r="AA32" s="16">
        <f>IFERROR(__xludf.DUMMYFUNCTION("IFERROR(QUERY(Conscrito!$A$3:$CU112, ""SELECT CU WHERE B = '"" &amp; $A32 &amp; ""'""),"""")"),32.0)</f>
        <v>32</v>
      </c>
      <c r="AB32" s="16" t="str">
        <f>IFERROR(__xludf.DUMMYFUNCTION("IFERROR(QUERY(Conscrito!$A$3:$CU112, ""SELECT CQ WHERE B = '"" &amp; $A32 &amp; ""'""),"""")"),"Sim")</f>
        <v>Sim</v>
      </c>
      <c r="AC32" s="16">
        <v>1.0</v>
      </c>
      <c r="AD32" s="16">
        <v>629.0</v>
      </c>
      <c r="AE32" s="21" t="s">
        <v>345</v>
      </c>
    </row>
    <row r="33">
      <c r="A33" s="15" t="s">
        <v>346</v>
      </c>
      <c r="B33" s="16">
        <v>3.20004104653E11</v>
      </c>
      <c r="C33" s="17">
        <v>44598.0</v>
      </c>
      <c r="D33" s="18">
        <v>0.375</v>
      </c>
      <c r="E33" s="19" t="s">
        <v>35</v>
      </c>
      <c r="F33" s="19" t="s">
        <v>36</v>
      </c>
      <c r="G33" s="16">
        <v>15.0</v>
      </c>
      <c r="H33" s="19" t="str">
        <f>IFERROR(__xludf.DUMMYFUNCTION("IFERROR(IF(QUERY('S2'!$A$3:$D112, ""SELECT C WHERE A = '"" &amp; $A33 &amp; ""'""),""Averiguar"",""""),"""")"),"")</f>
        <v/>
      </c>
      <c r="I33" s="20" t="str">
        <f>IFERROR(__xludf.DUMMYFUNCTION("IFERROR(QUERY(DBI!$A$2:$Y112, ""SELECT Y WHERE B = '"" &amp; $A33 &amp; ""'""),"""")"),"")</f>
        <v/>
      </c>
      <c r="J33" s="21" t="str">
        <f>IFERROR(__xludf.DUMMYFUNCTION("IFERROR(QUERY(Medico!$A$3:$Q112, ""SELECT P WHERE B = '"" &amp; $A33 &amp; ""'""),"""")"),"Indicado")</f>
        <v>Indicado</v>
      </c>
      <c r="K33" s="22" t="str">
        <f>IFERROR(__xludf.DUMMYFUNCTION("IFERROR(QUERY(Odonto!$A$3:$K112, ""SELECT J WHERE B = '"" &amp; $A33 &amp; ""'""),"""")"),"Indicado")</f>
        <v>Indicado</v>
      </c>
      <c r="L33" s="16" t="s">
        <v>84</v>
      </c>
      <c r="M33" s="23" t="s">
        <v>38</v>
      </c>
      <c r="N33" s="38">
        <v>37307.0</v>
      </c>
      <c r="O33" s="39" t="s">
        <v>39</v>
      </c>
      <c r="P33" s="39" t="s">
        <v>347</v>
      </c>
      <c r="Q33" s="40" t="s">
        <v>348</v>
      </c>
      <c r="R33" s="28" t="s">
        <v>349</v>
      </c>
      <c r="S33" s="28" t="s">
        <v>350</v>
      </c>
      <c r="T33" s="28" t="s">
        <v>351</v>
      </c>
      <c r="U33" s="35" t="s">
        <v>45</v>
      </c>
      <c r="V33" s="41">
        <v>4328050.0</v>
      </c>
      <c r="W33" s="42" t="s">
        <v>352</v>
      </c>
      <c r="X33" s="28" t="s">
        <v>353</v>
      </c>
      <c r="Y33" s="31">
        <f t="shared" si="1"/>
        <v>33</v>
      </c>
      <c r="Z33" s="32" t="s">
        <v>354</v>
      </c>
      <c r="AA33" s="16">
        <f>IFERROR(__xludf.DUMMYFUNCTION("IFERROR(QUERY(Conscrito!$A$3:$CU112, ""SELECT CU WHERE B = '"" &amp; $A33 &amp; ""'""),"""")"),33.0)</f>
        <v>33</v>
      </c>
      <c r="AB33" s="16" t="str">
        <f>IFERROR(__xludf.DUMMYFUNCTION("IFERROR(QUERY(Conscrito!$A$3:$CU112, ""SELECT CQ WHERE B = '"" &amp; $A33 &amp; ""'""),"""")"),"Sim")</f>
        <v>Sim</v>
      </c>
      <c r="AC33" s="16">
        <v>2.0</v>
      </c>
      <c r="AD33" s="16">
        <v>630.0</v>
      </c>
      <c r="AE33" s="21" t="s">
        <v>355</v>
      </c>
    </row>
    <row r="34">
      <c r="A34" s="15" t="s">
        <v>356</v>
      </c>
      <c r="B34" s="16">
        <v>3.20004155671E11</v>
      </c>
      <c r="C34" s="17">
        <v>44599.0</v>
      </c>
      <c r="D34" s="18">
        <v>0.4166666666666667</v>
      </c>
      <c r="E34" s="19" t="s">
        <v>35</v>
      </c>
      <c r="F34" s="19" t="s">
        <v>36</v>
      </c>
      <c r="G34" s="16">
        <v>2.0</v>
      </c>
      <c r="H34" s="19" t="str">
        <f>IFERROR(__xludf.DUMMYFUNCTION("IFERROR(IF(QUERY('S2'!$A$3:$D112, ""SELECT C WHERE A = '"" &amp; $A34 &amp; ""'""),""Averiguar"",""""),"""")"),"")</f>
        <v/>
      </c>
      <c r="I34" s="20" t="str">
        <f>IFERROR(__xludf.DUMMYFUNCTION("IFERROR(QUERY(DBI!$A$2:$Y112, ""SELECT Y WHERE B = '"" &amp; $A34 &amp; ""'""),"""")"),"")</f>
        <v/>
      </c>
      <c r="J34" s="21" t="str">
        <f>IFERROR(__xludf.DUMMYFUNCTION("IFERROR(QUERY(Medico!$A$3:$Q112, ""SELECT P WHERE B = '"" &amp; $A34 &amp; ""'""),"""")"),"Indicado")</f>
        <v>Indicado</v>
      </c>
      <c r="K34" s="22" t="str">
        <f>IFERROR(__xludf.DUMMYFUNCTION("IFERROR(QUERY(Odonto!$A$3:$K112, ""SELECT J WHERE B = '"" &amp; $A34 &amp; ""'""),"""")"),"Indicado")</f>
        <v>Indicado</v>
      </c>
      <c r="L34" s="16" t="s">
        <v>51</v>
      </c>
      <c r="M34" s="23" t="s">
        <v>38</v>
      </c>
      <c r="N34" s="38">
        <v>37310.0</v>
      </c>
      <c r="O34" s="39" t="s">
        <v>39</v>
      </c>
      <c r="P34" s="39" t="s">
        <v>357</v>
      </c>
      <c r="Q34" s="40" t="s">
        <v>358</v>
      </c>
      <c r="R34" s="28" t="s">
        <v>359</v>
      </c>
      <c r="S34" s="28" t="s">
        <v>360</v>
      </c>
      <c r="T34" s="28" t="s">
        <v>361</v>
      </c>
      <c r="U34" s="35" t="s">
        <v>45</v>
      </c>
      <c r="V34" s="41">
        <v>4474160.0</v>
      </c>
      <c r="W34" s="42" t="s">
        <v>362</v>
      </c>
      <c r="X34" s="28" t="s">
        <v>363</v>
      </c>
      <c r="Y34" s="31">
        <f t="shared" si="1"/>
        <v>34</v>
      </c>
      <c r="Z34" s="32" t="s">
        <v>364</v>
      </c>
      <c r="AA34" s="16">
        <f>IFERROR(__xludf.DUMMYFUNCTION("IFERROR(QUERY(Conscrito!$A$3:$CU112, ""SELECT CU WHERE B = '"" &amp; $A34 &amp; ""'""),"""")"),34.0)</f>
        <v>34</v>
      </c>
      <c r="AB34" s="16" t="str">
        <f>IFERROR(__xludf.DUMMYFUNCTION("IFERROR(QUERY(Conscrito!$A$3:$CU112, ""SELECT CQ WHERE B = '"" &amp; $A34 &amp; ""'""),"""")"),"Sim")</f>
        <v>Sim</v>
      </c>
      <c r="AC34" s="16">
        <v>1.0</v>
      </c>
      <c r="AD34" s="16">
        <v>631.0</v>
      </c>
      <c r="AE34" s="21" t="s">
        <v>365</v>
      </c>
    </row>
    <row r="35">
      <c r="A35" s="15" t="s">
        <v>366</v>
      </c>
      <c r="B35" s="16">
        <v>3.20004357718E11</v>
      </c>
      <c r="C35" s="17">
        <v>44600.0</v>
      </c>
      <c r="D35" s="18">
        <v>0.4583333333333333</v>
      </c>
      <c r="E35" s="19" t="s">
        <v>35</v>
      </c>
      <c r="F35" s="19" t="s">
        <v>36</v>
      </c>
      <c r="G35" s="16">
        <v>7.0</v>
      </c>
      <c r="H35" s="19" t="str">
        <f>IFERROR(__xludf.DUMMYFUNCTION("IFERROR(IF(QUERY('S2'!$A$3:$D112, ""SELECT C WHERE A = '"" &amp; $A35 &amp; ""'""),""Averiguar"",""""),"""")"),"")</f>
        <v/>
      </c>
      <c r="I35" s="20" t="str">
        <f>IFERROR(__xludf.DUMMYFUNCTION("IFERROR(QUERY(DBI!$A$2:$Y112, ""SELECT Y WHERE B = '"" &amp; $A35 &amp; ""'""),"""")"),"")</f>
        <v/>
      </c>
      <c r="J35" s="21" t="str">
        <f>IFERROR(__xludf.DUMMYFUNCTION("IFERROR(QUERY(Medico!$A$3:$Q112, ""SELECT P WHERE B = '"" &amp; $A35 &amp; ""'""),"""")"),"Indicado")</f>
        <v>Indicado</v>
      </c>
      <c r="K35" s="22" t="str">
        <f>IFERROR(__xludf.DUMMYFUNCTION("IFERROR(QUERY(Odonto!$A$3:$K112, ""SELECT J WHERE B = '"" &amp; $A35 &amp; ""'""),"""")"),"Indicado")</f>
        <v>Indicado</v>
      </c>
      <c r="L35" s="16" t="s">
        <v>37</v>
      </c>
      <c r="M35" s="23" t="s">
        <v>38</v>
      </c>
      <c r="N35" s="38">
        <v>37310.0</v>
      </c>
      <c r="O35" s="39" t="s">
        <v>39</v>
      </c>
      <c r="P35" s="39" t="s">
        <v>367</v>
      </c>
      <c r="Q35" s="40" t="s">
        <v>368</v>
      </c>
      <c r="R35" s="28" t="s">
        <v>369</v>
      </c>
      <c r="S35" s="28" t="s">
        <v>370</v>
      </c>
      <c r="T35" s="28" t="s">
        <v>371</v>
      </c>
      <c r="U35" s="28" t="s">
        <v>45</v>
      </c>
      <c r="V35" s="41">
        <v>4156040.0</v>
      </c>
      <c r="W35" s="42" t="s">
        <v>372</v>
      </c>
      <c r="X35" s="28" t="s">
        <v>373</v>
      </c>
      <c r="Y35" s="31">
        <f t="shared" si="1"/>
        <v>35</v>
      </c>
      <c r="Z35" s="32" t="s">
        <v>374</v>
      </c>
      <c r="AA35" s="16">
        <f>IFERROR(__xludf.DUMMYFUNCTION("IFERROR(QUERY(Conscrito!$A$3:$CU112, ""SELECT CU WHERE B = '"" &amp; $A35 &amp; ""'""),"""")"),35.0)</f>
        <v>35</v>
      </c>
      <c r="AB35" s="16" t="str">
        <f>IFERROR(__xludf.DUMMYFUNCTION("IFERROR(QUERY(Conscrito!$A$3:$CU112, ""SELECT CQ WHERE B = '"" &amp; $A35 &amp; ""'""),"""")"),"Sim")</f>
        <v>Sim</v>
      </c>
      <c r="AC35" s="16">
        <v>1.0</v>
      </c>
      <c r="AD35" s="16">
        <v>632.0</v>
      </c>
      <c r="AE35" s="21" t="s">
        <v>375</v>
      </c>
    </row>
    <row r="36">
      <c r="A36" s="15" t="s">
        <v>376</v>
      </c>
      <c r="B36" s="16">
        <v>3.20004235731E11</v>
      </c>
      <c r="C36" s="17">
        <v>44601.0</v>
      </c>
      <c r="D36" s="18">
        <v>0.3333333333333333</v>
      </c>
      <c r="E36" s="19" t="s">
        <v>35</v>
      </c>
      <c r="F36" s="19" t="s">
        <v>36</v>
      </c>
      <c r="G36" s="16">
        <v>9.0</v>
      </c>
      <c r="H36" s="19" t="str">
        <f>IFERROR(__xludf.DUMMYFUNCTION("IFERROR(IF(QUERY('S2'!$A$3:$D112, ""SELECT C WHERE A = '"" &amp; $A36 &amp; ""'""),""Averiguar"",""""),"""")"),"")</f>
        <v/>
      </c>
      <c r="I36" s="20" t="str">
        <f>IFERROR(__xludf.DUMMYFUNCTION("IFERROR(QUERY(DBI!$A$2:$Y112, ""SELECT Y WHERE B = '"" &amp; $A36 &amp; ""'""),"""")"),"")</f>
        <v/>
      </c>
      <c r="J36" s="21" t="str">
        <f>IFERROR(__xludf.DUMMYFUNCTION("IFERROR(QUERY(Medico!$A$3:$Q112, ""SELECT P WHERE B = '"" &amp; $A36 &amp; ""'""),"""")"),"Indicado")</f>
        <v>Indicado</v>
      </c>
      <c r="K36" s="22" t="str">
        <f>IFERROR(__xludf.DUMMYFUNCTION("IFERROR(QUERY(Odonto!$A$3:$K112, ""SELECT J WHERE B = '"" &amp; $A36 &amp; ""'""),"""")"),"Indicado")</f>
        <v>Indicado</v>
      </c>
      <c r="L36" s="16" t="s">
        <v>84</v>
      </c>
      <c r="M36" s="23" t="s">
        <v>38</v>
      </c>
      <c r="N36" s="38">
        <v>37310.0</v>
      </c>
      <c r="O36" s="39" t="s">
        <v>39</v>
      </c>
      <c r="P36" s="39" t="s">
        <v>377</v>
      </c>
      <c r="Q36" s="40" t="s">
        <v>378</v>
      </c>
      <c r="R36" s="28" t="s">
        <v>379</v>
      </c>
      <c r="S36" s="28" t="s">
        <v>380</v>
      </c>
      <c r="T36" s="28" t="s">
        <v>381</v>
      </c>
      <c r="U36" s="28" t="s">
        <v>45</v>
      </c>
      <c r="V36" s="41">
        <v>4691030.0</v>
      </c>
      <c r="W36" s="42" t="s">
        <v>382</v>
      </c>
      <c r="X36" s="28" t="s">
        <v>383</v>
      </c>
      <c r="Y36" s="31">
        <f t="shared" si="1"/>
        <v>36</v>
      </c>
      <c r="Z36" s="32" t="s">
        <v>384</v>
      </c>
      <c r="AA36" s="16">
        <f>IFERROR(__xludf.DUMMYFUNCTION("IFERROR(QUERY(Conscrito!$A$3:$CU112, ""SELECT CU WHERE B = '"" &amp; $A36 &amp; ""'""),"""")"),36.0)</f>
        <v>36</v>
      </c>
      <c r="AB36" s="16" t="str">
        <f>IFERROR(__xludf.DUMMYFUNCTION("IFERROR(QUERY(Conscrito!$A$3:$CU112, ""SELECT CQ WHERE B = '"" &amp; $A36 &amp; ""'""),"""")"),"Não")</f>
        <v>Não</v>
      </c>
      <c r="AC36" s="16">
        <v>1.0</v>
      </c>
      <c r="AD36" s="16">
        <v>633.0</v>
      </c>
      <c r="AE36" s="21" t="s">
        <v>385</v>
      </c>
    </row>
    <row r="37">
      <c r="A37" s="15" t="s">
        <v>386</v>
      </c>
      <c r="B37" s="16">
        <v>3.20004083644E11</v>
      </c>
      <c r="C37" s="17">
        <v>44602.0</v>
      </c>
      <c r="D37" s="18">
        <v>0.375</v>
      </c>
      <c r="E37" s="19" t="s">
        <v>35</v>
      </c>
      <c r="F37" s="19" t="s">
        <v>36</v>
      </c>
      <c r="G37" s="16">
        <v>4.0</v>
      </c>
      <c r="H37" s="19" t="str">
        <f>IFERROR(__xludf.DUMMYFUNCTION("IFERROR(IF(QUERY('S2'!$A$3:$D112, ""SELECT C WHERE A = '"" &amp; $A37 &amp; ""'""),""Averiguar"",""""),"""")"),"")</f>
        <v/>
      </c>
      <c r="I37" s="20" t="str">
        <f>IFERROR(__xludf.DUMMYFUNCTION("IFERROR(QUERY(DBI!$A$2:$Y112, ""SELECT Y WHERE B = '"" &amp; $A37 &amp; ""'""),"""")"),"")</f>
        <v/>
      </c>
      <c r="J37" s="21" t="str">
        <f>IFERROR(__xludf.DUMMYFUNCTION("IFERROR(QUERY(Medico!$A$3:$Q112, ""SELECT P WHERE B = '"" &amp; $A37 &amp; ""'""),"""")"),"Indicado")</f>
        <v>Indicado</v>
      </c>
      <c r="K37" s="22" t="str">
        <f>IFERROR(__xludf.DUMMYFUNCTION("IFERROR(QUERY(Odonto!$A$3:$K112, ""SELECT J WHERE B = '"" &amp; $A37 &amp; ""'""),"""")"),"Indicado")</f>
        <v>Indicado</v>
      </c>
      <c r="L37" s="16" t="s">
        <v>37</v>
      </c>
      <c r="M37" s="23" t="s">
        <v>38</v>
      </c>
      <c r="N37" s="38">
        <v>37311.0</v>
      </c>
      <c r="O37" s="39" t="s">
        <v>39</v>
      </c>
      <c r="P37" s="39" t="s">
        <v>387</v>
      </c>
      <c r="Q37" s="40" t="s">
        <v>388</v>
      </c>
      <c r="R37" s="28" t="s">
        <v>389</v>
      </c>
      <c r="S37" s="28" t="s">
        <v>390</v>
      </c>
      <c r="T37" s="28" t="s">
        <v>391</v>
      </c>
      <c r="U37" s="28" t="s">
        <v>45</v>
      </c>
      <c r="V37" s="41">
        <v>4952010.0</v>
      </c>
      <c r="W37" s="42" t="s">
        <v>392</v>
      </c>
      <c r="X37" s="28" t="s">
        <v>393</v>
      </c>
      <c r="Y37" s="31">
        <f t="shared" si="1"/>
        <v>37</v>
      </c>
      <c r="Z37" s="32" t="s">
        <v>394</v>
      </c>
      <c r="AA37" s="16">
        <f>IFERROR(__xludf.DUMMYFUNCTION("IFERROR(QUERY(Conscrito!$A$3:$CU112, ""SELECT CU WHERE B = '"" &amp; $A37 &amp; ""'""),"""")"),37.0)</f>
        <v>37</v>
      </c>
      <c r="AB37" s="16" t="str">
        <f>IFERROR(__xludf.DUMMYFUNCTION("IFERROR(QUERY(Conscrito!$A$3:$CU112, ""SELECT CQ WHERE B = '"" &amp; $A37 &amp; ""'""),"""")"),"Sim")</f>
        <v>Sim</v>
      </c>
      <c r="AC37" s="16">
        <v>1.0</v>
      </c>
      <c r="AD37" s="16">
        <v>634.0</v>
      </c>
      <c r="AE37" s="21" t="s">
        <v>395</v>
      </c>
    </row>
    <row r="38" hidden="1">
      <c r="A38" s="15" t="s">
        <v>396</v>
      </c>
      <c r="B38" s="16">
        <v>3.20004076444E11</v>
      </c>
      <c r="C38" s="17"/>
      <c r="D38" s="18"/>
      <c r="E38" s="19" t="s">
        <v>73</v>
      </c>
      <c r="F38" s="19" t="s">
        <v>36</v>
      </c>
      <c r="G38" s="16">
        <v>7.0</v>
      </c>
      <c r="H38" s="19" t="str">
        <f>IFERROR(__xludf.DUMMYFUNCTION("IFERROR(IF(QUERY('S2'!$A$3:$D112, ""SELECT C WHERE A = '"" &amp; $A38 &amp; ""'""),""Averiguar"",""""),"""")"),"")</f>
        <v/>
      </c>
      <c r="I38" s="20" t="str">
        <f>IFERROR(__xludf.DUMMYFUNCTION("IFERROR(QUERY(DBI!$A$2:$Y112, ""SELECT Y WHERE B = '"" &amp; $A38 &amp; ""'""),"""")"),"")</f>
        <v/>
      </c>
      <c r="J38" s="21" t="str">
        <f>IFERROR(__xludf.DUMMYFUNCTION("IFERROR(QUERY(Medico!$A$3:$Q112, ""SELECT P WHERE B = '"" &amp; $A38 &amp; ""'""),"""")"),"Indicado")</f>
        <v>Indicado</v>
      </c>
      <c r="K38" s="22" t="str">
        <f>IFERROR(__xludf.DUMMYFUNCTION("IFERROR(QUERY(Odonto!$A$3:$K112, ""SELECT J WHERE B = '"" &amp; $A38 &amp; ""'""),"""")"),"Indicado")</f>
        <v>Indicado</v>
      </c>
      <c r="L38" s="16" t="s">
        <v>37</v>
      </c>
      <c r="M38" s="23" t="s">
        <v>38</v>
      </c>
      <c r="N38" s="38">
        <v>37312.0</v>
      </c>
      <c r="O38" s="39" t="s">
        <v>39</v>
      </c>
      <c r="P38" s="39" t="s">
        <v>397</v>
      </c>
      <c r="Q38" s="40" t="s">
        <v>398</v>
      </c>
      <c r="R38" s="28" t="s">
        <v>399</v>
      </c>
      <c r="S38" s="28" t="s">
        <v>400</v>
      </c>
      <c r="T38" s="28" t="s">
        <v>401</v>
      </c>
      <c r="U38" s="28" t="s">
        <v>45</v>
      </c>
      <c r="V38" s="41">
        <v>1511010.0</v>
      </c>
      <c r="W38" s="42" t="s">
        <v>402</v>
      </c>
      <c r="X38" s="28" t="s">
        <v>403</v>
      </c>
      <c r="Y38" s="31">
        <f t="shared" si="1"/>
        <v>38</v>
      </c>
      <c r="Z38" s="32" t="s">
        <v>404</v>
      </c>
      <c r="AA38" s="16">
        <f>IFERROR(__xludf.DUMMYFUNCTION("IFERROR(QUERY(Conscrito!$A$3:$CU112, ""SELECT CU WHERE B = '"" &amp; $A38 &amp; ""'""),"""")"),38.0)</f>
        <v>38</v>
      </c>
      <c r="AB38" s="16" t="str">
        <f>IFERROR(__xludf.DUMMYFUNCTION("IFERROR(QUERY(Conscrito!$A$3:$CU112, ""SELECT CQ WHERE B = '"" &amp; $A38 &amp; ""'""),"""")"),"Sim")</f>
        <v>Sim</v>
      </c>
      <c r="AC38" s="16">
        <v>1.0</v>
      </c>
      <c r="AD38" s="16">
        <v>635.0</v>
      </c>
      <c r="AE38" s="21" t="s">
        <v>405</v>
      </c>
    </row>
    <row r="39" hidden="1">
      <c r="A39" s="15" t="s">
        <v>406</v>
      </c>
      <c r="B39" s="16">
        <v>3.20004089999E11</v>
      </c>
      <c r="C39" s="17"/>
      <c r="D39" s="18"/>
      <c r="E39" s="19" t="s">
        <v>73</v>
      </c>
      <c r="F39" s="19" t="s">
        <v>36</v>
      </c>
      <c r="G39" s="16">
        <v>19.0</v>
      </c>
      <c r="H39" s="19" t="str">
        <f>IFERROR(__xludf.DUMMYFUNCTION("IFERROR(IF(QUERY('S2'!$A$3:$D112, ""SELECT C WHERE A = '"" &amp; $A39 &amp; ""'""),""Averiguar"",""""),"""")"),"")</f>
        <v/>
      </c>
      <c r="I39" s="20" t="str">
        <f>IFERROR(__xludf.DUMMYFUNCTION("IFERROR(QUERY(DBI!$A$2:$Y112, ""SELECT Y WHERE B = '"" &amp; $A39 &amp; ""'""),"""")"),"")</f>
        <v/>
      </c>
      <c r="J39" s="21" t="str">
        <f>IFERROR(__xludf.DUMMYFUNCTION("IFERROR(QUERY(Medico!$A$3:$Q112, ""SELECT P WHERE B = '"" &amp; $A39 &amp; ""'""),"""")"),"Indicado")</f>
        <v>Indicado</v>
      </c>
      <c r="K39" s="22" t="str">
        <f>IFERROR(__xludf.DUMMYFUNCTION("IFERROR(QUERY(Odonto!$A$3:$K112, ""SELECT J WHERE B = '"" &amp; $A39 &amp; ""'""),"""")"),"Indicado")</f>
        <v>Indicado</v>
      </c>
      <c r="L39" s="16" t="s">
        <v>37</v>
      </c>
      <c r="M39" s="23" t="s">
        <v>38</v>
      </c>
      <c r="N39" s="38">
        <v>37321.0</v>
      </c>
      <c r="O39" s="39" t="s">
        <v>39</v>
      </c>
      <c r="P39" s="39" t="s">
        <v>407</v>
      </c>
      <c r="Q39" s="40" t="s">
        <v>408</v>
      </c>
      <c r="R39" s="28" t="s">
        <v>409</v>
      </c>
      <c r="S39" s="28" t="s">
        <v>410</v>
      </c>
      <c r="T39" s="28" t="s">
        <v>411</v>
      </c>
      <c r="U39" s="28" t="s">
        <v>45</v>
      </c>
      <c r="V39" s="41">
        <v>4413050.0</v>
      </c>
      <c r="W39" s="42" t="s">
        <v>412</v>
      </c>
      <c r="X39" s="28" t="s">
        <v>413</v>
      </c>
      <c r="Y39" s="31">
        <f t="shared" si="1"/>
        <v>39</v>
      </c>
      <c r="Z39" s="32" t="s">
        <v>414</v>
      </c>
      <c r="AA39" s="16">
        <f>IFERROR(__xludf.DUMMYFUNCTION("IFERROR(QUERY(Conscrito!$A$3:$CU112, ""SELECT CU WHERE B = '"" &amp; $A39 &amp; ""'""),"""")"),39.0)</f>
        <v>39</v>
      </c>
      <c r="AB39" s="16" t="str">
        <f>IFERROR(__xludf.DUMMYFUNCTION("IFERROR(QUERY(Conscrito!$A$3:$CU112, ""SELECT CQ WHERE B = '"" &amp; $A39 &amp; ""'""),"""")"),"Sim")</f>
        <v>Sim</v>
      </c>
      <c r="AC39" s="16">
        <v>3.0</v>
      </c>
      <c r="AD39" s="16">
        <v>636.0</v>
      </c>
      <c r="AE39" s="21" t="s">
        <v>415</v>
      </c>
    </row>
    <row r="40">
      <c r="A40" s="15" t="s">
        <v>416</v>
      </c>
      <c r="B40" s="16">
        <v>3.20004022895E11</v>
      </c>
      <c r="C40" s="17">
        <v>44603.0</v>
      </c>
      <c r="D40" s="18">
        <v>0.4166666666666667</v>
      </c>
      <c r="E40" s="19" t="s">
        <v>35</v>
      </c>
      <c r="F40" s="19" t="s">
        <v>36</v>
      </c>
      <c r="G40" s="16">
        <v>3.0</v>
      </c>
      <c r="H40" s="19" t="str">
        <f>IFERROR(__xludf.DUMMYFUNCTION("IFERROR(IF(QUERY('S2'!$A$3:$D112, ""SELECT C WHERE A = '"" &amp; $A40 &amp; ""'""),""Averiguar"",""""),"""")"),"")</f>
        <v/>
      </c>
      <c r="I40" s="20" t="str">
        <f>IFERROR(__xludf.DUMMYFUNCTION("IFERROR(QUERY(DBI!$A$2:$Y112, ""SELECT Y WHERE B = '"" &amp; $A40 &amp; ""'""),"""")"),"")</f>
        <v/>
      </c>
      <c r="J40" s="21" t="str">
        <f>IFERROR(__xludf.DUMMYFUNCTION("IFERROR(QUERY(Medico!$A$3:$Q112, ""SELECT P WHERE B = '"" &amp; $A40 &amp; ""'""),"""")"),"Indicado")</f>
        <v>Indicado</v>
      </c>
      <c r="K40" s="22" t="str">
        <f>IFERROR(__xludf.DUMMYFUNCTION("IFERROR(QUERY(Odonto!$A$3:$K112, ""SELECT J WHERE B = '"" &amp; $A40 &amp; ""'""),"""")"),"Indicado")</f>
        <v>Indicado</v>
      </c>
      <c r="L40" s="16" t="s">
        <v>51</v>
      </c>
      <c r="M40" s="23" t="s">
        <v>38</v>
      </c>
      <c r="N40" s="38">
        <v>37323.0</v>
      </c>
      <c r="O40" s="39" t="s">
        <v>417</v>
      </c>
      <c r="P40" s="39" t="s">
        <v>418</v>
      </c>
      <c r="Q40" s="40" t="s">
        <v>419</v>
      </c>
      <c r="R40" s="28" t="s">
        <v>420</v>
      </c>
      <c r="S40" s="28" t="s">
        <v>421</v>
      </c>
      <c r="T40" s="28" t="s">
        <v>422</v>
      </c>
      <c r="U40" s="28" t="s">
        <v>45</v>
      </c>
      <c r="V40" s="41">
        <v>4167030.0</v>
      </c>
      <c r="W40" s="42"/>
      <c r="X40" s="28" t="s">
        <v>423</v>
      </c>
      <c r="Y40" s="31">
        <f t="shared" si="1"/>
        <v>40</v>
      </c>
      <c r="Z40" s="32" t="s">
        <v>424</v>
      </c>
      <c r="AA40" s="16">
        <f>IFERROR(__xludf.DUMMYFUNCTION("IFERROR(QUERY(Conscrito!$A$3:$CU112, ""SELECT CU WHERE B = '"" &amp; $A40 &amp; ""'""),"""")"),40.0)</f>
        <v>40</v>
      </c>
      <c r="AB40" s="16" t="str">
        <f>IFERROR(__xludf.DUMMYFUNCTION("IFERROR(QUERY(Conscrito!$A$3:$CU112, ""SELECT CQ WHERE B = '"" &amp; $A40 &amp; ""'""),"""")"),"Sim")</f>
        <v>Sim</v>
      </c>
      <c r="AC40" s="16">
        <v>1.0</v>
      </c>
      <c r="AD40" s="16">
        <v>637.0</v>
      </c>
      <c r="AE40" s="21" t="s">
        <v>425</v>
      </c>
    </row>
    <row r="41">
      <c r="A41" s="15" t="s">
        <v>426</v>
      </c>
      <c r="B41" s="16">
        <v>3.20004104668E11</v>
      </c>
      <c r="C41" s="17">
        <v>44604.0</v>
      </c>
      <c r="D41" s="18">
        <v>0.4583333333333333</v>
      </c>
      <c r="E41" s="19" t="s">
        <v>35</v>
      </c>
      <c r="F41" s="19" t="s">
        <v>36</v>
      </c>
      <c r="G41" s="16">
        <v>6.0</v>
      </c>
      <c r="H41" s="19" t="str">
        <f>IFERROR(__xludf.DUMMYFUNCTION("IFERROR(IF(QUERY('S2'!$A$3:$D112, ""SELECT C WHERE A = '"" &amp; $A41 &amp; ""'""),""Averiguar"",""""),"""")"),"")</f>
        <v/>
      </c>
      <c r="I41" s="20" t="str">
        <f>IFERROR(__xludf.DUMMYFUNCTION("IFERROR(QUERY(DBI!$A$2:$Y112, ""SELECT Y WHERE B = '"" &amp; $A41 &amp; ""'""),"""")"),"")</f>
        <v/>
      </c>
      <c r="J41" s="21" t="str">
        <f>IFERROR(__xludf.DUMMYFUNCTION("IFERROR(QUERY(Medico!$A$3:$Q112, ""SELECT P WHERE B = '"" &amp; $A41 &amp; ""'""),"""")"),"Indicado")</f>
        <v>Indicado</v>
      </c>
      <c r="K41" s="22" t="str">
        <f>IFERROR(__xludf.DUMMYFUNCTION("IFERROR(QUERY(Odonto!$A$3:$K112, ""SELECT J WHERE B = '"" &amp; $A41 &amp; ""'""),"""")"),"Indicado")</f>
        <v>Indicado</v>
      </c>
      <c r="L41" s="16" t="s">
        <v>51</v>
      </c>
      <c r="M41" s="23" t="s">
        <v>38</v>
      </c>
      <c r="N41" s="38">
        <v>37324.0</v>
      </c>
      <c r="O41" s="39" t="s">
        <v>39</v>
      </c>
      <c r="P41" s="39" t="s">
        <v>427</v>
      </c>
      <c r="Q41" s="40" t="s">
        <v>428</v>
      </c>
      <c r="R41" s="28" t="s">
        <v>429</v>
      </c>
      <c r="S41" s="28" t="s">
        <v>430</v>
      </c>
      <c r="T41" s="28" t="s">
        <v>431</v>
      </c>
      <c r="U41" s="28" t="s">
        <v>45</v>
      </c>
      <c r="V41" s="41">
        <v>3125040.0</v>
      </c>
      <c r="W41" s="42" t="s">
        <v>432</v>
      </c>
      <c r="X41" s="28" t="s">
        <v>433</v>
      </c>
      <c r="Y41" s="31">
        <f t="shared" si="1"/>
        <v>41</v>
      </c>
      <c r="Z41" s="32" t="s">
        <v>434</v>
      </c>
      <c r="AA41" s="16">
        <f>IFERROR(__xludf.DUMMYFUNCTION("IFERROR(QUERY(Conscrito!$A$3:$CU112, ""SELECT CU WHERE B = '"" &amp; $A41 &amp; ""'""),"""")"),41.0)</f>
        <v>41</v>
      </c>
      <c r="AB41" s="16" t="str">
        <f>IFERROR(__xludf.DUMMYFUNCTION("IFERROR(QUERY(Conscrito!$A$3:$CU112, ""SELECT CQ WHERE B = '"" &amp; $A41 &amp; ""'""),"""")"),"Sim")</f>
        <v>Sim</v>
      </c>
      <c r="AC41" s="16">
        <v>1.0</v>
      </c>
      <c r="AD41" s="16">
        <v>638.0</v>
      </c>
      <c r="AE41" s="21" t="s">
        <v>435</v>
      </c>
    </row>
    <row r="42">
      <c r="A42" s="15" t="s">
        <v>436</v>
      </c>
      <c r="B42" s="16">
        <v>3.20004335625E11</v>
      </c>
      <c r="C42" s="17">
        <v>44605.0</v>
      </c>
      <c r="D42" s="18">
        <v>0.3333333333333333</v>
      </c>
      <c r="E42" s="19" t="s">
        <v>35</v>
      </c>
      <c r="F42" s="19" t="s">
        <v>36</v>
      </c>
      <c r="G42" s="16">
        <v>19.0</v>
      </c>
      <c r="H42" s="19" t="str">
        <f>IFERROR(__xludf.DUMMYFUNCTION("IFERROR(IF(QUERY('S2'!$A$3:$D112, ""SELECT C WHERE A = '"" &amp; $A42 &amp; ""'""),""Averiguar"",""""),"""")"),"")</f>
        <v/>
      </c>
      <c r="I42" s="20" t="str">
        <f>IFERROR(__xludf.DUMMYFUNCTION("IFERROR(QUERY(DBI!$A$2:$Y112, ""SELECT Y WHERE B = '"" &amp; $A42 &amp; ""'""),"""")"),"")</f>
        <v/>
      </c>
      <c r="J42" s="21" t="str">
        <f>IFERROR(__xludf.DUMMYFUNCTION("IFERROR(QUERY(Medico!$A$3:$Q112, ""SELECT P WHERE B = '"" &amp; $A42 &amp; ""'""),"""")"),"Indicado")</f>
        <v>Indicado</v>
      </c>
      <c r="K42" s="22" t="str">
        <f>IFERROR(__xludf.DUMMYFUNCTION("IFERROR(QUERY(Odonto!$A$3:$K112, ""SELECT J WHERE B = '"" &amp; $A42 &amp; ""'""),"""")"),"Indicado")</f>
        <v>Indicado</v>
      </c>
      <c r="L42" s="16" t="s">
        <v>51</v>
      </c>
      <c r="M42" s="23" t="s">
        <v>38</v>
      </c>
      <c r="N42" s="38">
        <v>37333.0</v>
      </c>
      <c r="O42" s="39" t="s">
        <v>39</v>
      </c>
      <c r="P42" s="39" t="s">
        <v>437</v>
      </c>
      <c r="Q42" s="40" t="s">
        <v>438</v>
      </c>
      <c r="R42" s="28" t="s">
        <v>439</v>
      </c>
      <c r="S42" s="28" t="s">
        <v>440</v>
      </c>
      <c r="T42" s="28" t="s">
        <v>441</v>
      </c>
      <c r="U42" s="28" t="s">
        <v>45</v>
      </c>
      <c r="V42" s="41">
        <v>4812370.0</v>
      </c>
      <c r="W42" s="42" t="s">
        <v>442</v>
      </c>
      <c r="X42" s="28" t="s">
        <v>443</v>
      </c>
      <c r="Y42" s="31">
        <f t="shared" si="1"/>
        <v>42</v>
      </c>
      <c r="Z42" s="32" t="s">
        <v>444</v>
      </c>
      <c r="AA42" s="16">
        <f>IFERROR(__xludf.DUMMYFUNCTION("IFERROR(QUERY(Conscrito!$A$3:$CU112, ""SELECT CU WHERE B = '"" &amp; $A42 &amp; ""'""),"""")"),42.0)</f>
        <v>42</v>
      </c>
      <c r="AB42" s="16" t="str">
        <f>IFERROR(__xludf.DUMMYFUNCTION("IFERROR(QUERY(Conscrito!$A$3:$CU112, ""SELECT CQ WHERE B = '"" &amp; $A42 &amp; ""'""),"""")"),"Sim.")</f>
        <v>Sim.</v>
      </c>
      <c r="AC42" s="16">
        <v>3.0</v>
      </c>
      <c r="AD42" s="16">
        <v>639.0</v>
      </c>
      <c r="AE42" s="21" t="s">
        <v>445</v>
      </c>
    </row>
    <row r="43">
      <c r="A43" s="15" t="s">
        <v>446</v>
      </c>
      <c r="B43" s="16">
        <v>3.2000408133E11</v>
      </c>
      <c r="C43" s="17">
        <v>44606.0</v>
      </c>
      <c r="D43" s="18">
        <v>0.375</v>
      </c>
      <c r="E43" s="19" t="s">
        <v>35</v>
      </c>
      <c r="F43" s="19" t="s">
        <v>36</v>
      </c>
      <c r="G43" s="16">
        <v>18.0</v>
      </c>
      <c r="H43" s="19" t="str">
        <f>IFERROR(__xludf.DUMMYFUNCTION("IFERROR(IF(QUERY('S2'!$A$3:$D112, ""SELECT C WHERE A = '"" &amp; $A43 &amp; ""'""),""Averiguar"",""""),"""")"),"")</f>
        <v/>
      </c>
      <c r="I43" s="20" t="str">
        <f>IFERROR(__xludf.DUMMYFUNCTION("IFERROR(QUERY(DBI!$A$2:$Y112, ""SELECT Y WHERE B = '"" &amp; $A43 &amp; ""'""),"""")"),"")</f>
        <v/>
      </c>
      <c r="J43" s="21" t="str">
        <f>IFERROR(__xludf.DUMMYFUNCTION("IFERROR(QUERY(Medico!$A$3:$Q112, ""SELECT P WHERE B = '"" &amp; $A43 &amp; ""'""),"""")"),"Indicado")</f>
        <v>Indicado</v>
      </c>
      <c r="K43" s="22" t="str">
        <f>IFERROR(__xludf.DUMMYFUNCTION("IFERROR(QUERY(Odonto!$A$3:$K112, ""SELECT J WHERE B = '"" &amp; $A43 &amp; ""'""),"""")"),"Indicado")</f>
        <v>Indicado</v>
      </c>
      <c r="L43" s="16" t="s">
        <v>37</v>
      </c>
      <c r="M43" s="23" t="s">
        <v>38</v>
      </c>
      <c r="N43" s="38">
        <v>37334.0</v>
      </c>
      <c r="O43" s="39" t="s">
        <v>39</v>
      </c>
      <c r="P43" s="39" t="s">
        <v>447</v>
      </c>
      <c r="Q43" s="40" t="s">
        <v>448</v>
      </c>
      <c r="R43" s="28" t="s">
        <v>449</v>
      </c>
      <c r="S43" s="28" t="s">
        <v>450</v>
      </c>
      <c r="T43" s="28" t="s">
        <v>451</v>
      </c>
      <c r="U43" s="28" t="s">
        <v>45</v>
      </c>
      <c r="V43" s="41">
        <v>3704000.0</v>
      </c>
      <c r="W43" s="42" t="s">
        <v>452</v>
      </c>
      <c r="X43" s="28" t="s">
        <v>453</v>
      </c>
      <c r="Y43" s="31">
        <f t="shared" si="1"/>
        <v>43</v>
      </c>
      <c r="Z43" s="32" t="s">
        <v>454</v>
      </c>
      <c r="AA43" s="16">
        <f>IFERROR(__xludf.DUMMYFUNCTION("IFERROR(QUERY(Conscrito!$A$3:$CU112, ""SELECT CU WHERE B = '"" &amp; $A43 &amp; ""'""),"""")"),43.0)</f>
        <v>43</v>
      </c>
      <c r="AB43" s="16" t="str">
        <f>IFERROR(__xludf.DUMMYFUNCTION("IFERROR(QUERY(Conscrito!$A$3:$CU112, ""SELECT CQ WHERE B = '"" &amp; $A43 &amp; ""'""),"""")"),"Sim")</f>
        <v>Sim</v>
      </c>
      <c r="AC43" s="16">
        <v>3.0</v>
      </c>
      <c r="AD43" s="16">
        <v>640.0</v>
      </c>
      <c r="AE43" s="21" t="s">
        <v>455</v>
      </c>
    </row>
    <row r="44">
      <c r="A44" s="15" t="s">
        <v>456</v>
      </c>
      <c r="B44" s="16">
        <v>3.20004155189E11</v>
      </c>
      <c r="C44" s="17">
        <v>44607.0</v>
      </c>
      <c r="D44" s="18">
        <v>0.4166666666666667</v>
      </c>
      <c r="E44" s="19" t="s">
        <v>35</v>
      </c>
      <c r="F44" s="19" t="s">
        <v>36</v>
      </c>
      <c r="G44" s="16">
        <v>21.0</v>
      </c>
      <c r="H44" s="19" t="str">
        <f>IFERROR(__xludf.DUMMYFUNCTION("IFERROR(IF(QUERY('S2'!$A$3:$D112, ""SELECT C WHERE A = '"" &amp; $A44 &amp; ""'""),""Averiguar"",""""),"""")"),"")</f>
        <v/>
      </c>
      <c r="I44" s="20" t="str">
        <f>IFERROR(__xludf.DUMMYFUNCTION("IFERROR(QUERY(DBI!$A$2:$Y112, ""SELECT Y WHERE B = '"" &amp; $A44 &amp; ""'""),"""")"),"")</f>
        <v/>
      </c>
      <c r="J44" s="21" t="str">
        <f>IFERROR(__xludf.DUMMYFUNCTION("IFERROR(QUERY(Medico!$A$3:$Q112, ""SELECT P WHERE B = '"" &amp; $A44 &amp; ""'""),"""")"),"Parcialmente")</f>
        <v>Parcialmente</v>
      </c>
      <c r="K44" s="22" t="str">
        <f>IFERROR(__xludf.DUMMYFUNCTION("IFERROR(QUERY(Odonto!$A$3:$K112, ""SELECT J WHERE B = '"" &amp; $A44 &amp; ""'""),"""")"),"Indicado")</f>
        <v>Indicado</v>
      </c>
      <c r="L44" s="16" t="s">
        <v>84</v>
      </c>
      <c r="M44" s="23" t="s">
        <v>38</v>
      </c>
      <c r="N44" s="38">
        <v>37337.0</v>
      </c>
      <c r="O44" s="39" t="s">
        <v>39</v>
      </c>
      <c r="P44" s="39" t="s">
        <v>457</v>
      </c>
      <c r="Q44" s="40" t="s">
        <v>458</v>
      </c>
      <c r="R44" s="28" t="s">
        <v>459</v>
      </c>
      <c r="S44" s="28" t="s">
        <v>460</v>
      </c>
      <c r="T44" s="28" t="s">
        <v>461</v>
      </c>
      <c r="U44" s="28" t="s">
        <v>45</v>
      </c>
      <c r="V44" s="41">
        <v>4084070.0</v>
      </c>
      <c r="W44" s="42" t="s">
        <v>462</v>
      </c>
      <c r="X44" s="28" t="s">
        <v>463</v>
      </c>
      <c r="Y44" s="31">
        <f t="shared" si="1"/>
        <v>44</v>
      </c>
      <c r="Z44" s="32" t="s">
        <v>464</v>
      </c>
      <c r="AA44" s="16">
        <f>IFERROR(__xludf.DUMMYFUNCTION("IFERROR(QUERY(Conscrito!$A$3:$CU112, ""SELECT CU WHERE B = '"" &amp; $A44 &amp; ""'""),"""")"),44.0)</f>
        <v>44</v>
      </c>
      <c r="AB44" s="16" t="str">
        <f>IFERROR(__xludf.DUMMYFUNCTION("IFERROR(QUERY(Conscrito!$A$3:$CU112, ""SELECT CQ WHERE B = '"" &amp; $A44 &amp; ""'""),"""")"),"Sim")</f>
        <v>Sim</v>
      </c>
      <c r="AC44" s="16">
        <v>3.0</v>
      </c>
      <c r="AD44" s="16">
        <v>641.0</v>
      </c>
      <c r="AE44" s="21" t="s">
        <v>465</v>
      </c>
    </row>
    <row r="45">
      <c r="A45" s="15" t="s">
        <v>466</v>
      </c>
      <c r="B45" s="16">
        <v>3.20004049666E11</v>
      </c>
      <c r="C45" s="17">
        <v>44608.0</v>
      </c>
      <c r="D45" s="18">
        <v>0.4583333333333333</v>
      </c>
      <c r="E45" s="19" t="s">
        <v>35</v>
      </c>
      <c r="F45" s="19" t="s">
        <v>36</v>
      </c>
      <c r="G45" s="16">
        <v>4.0</v>
      </c>
      <c r="H45" s="19" t="str">
        <f>IFERROR(__xludf.DUMMYFUNCTION("IFERROR(IF(QUERY('S2'!$A$3:$D112, ""SELECT C WHERE A = '"" &amp; $A45 &amp; ""'""),""Averiguar"",""""),"""")"),"")</f>
        <v/>
      </c>
      <c r="I45" s="20" t="str">
        <f>IFERROR(__xludf.DUMMYFUNCTION("IFERROR(QUERY(DBI!$A$2:$Y112, ""SELECT Y WHERE B = '"" &amp; $A45 &amp; ""'""),"""")"),"")</f>
        <v/>
      </c>
      <c r="J45" s="21" t="str">
        <f>IFERROR(__xludf.DUMMYFUNCTION("IFERROR(QUERY(Medico!$A$3:$Q112, ""SELECT P WHERE B = '"" &amp; $A45 &amp; ""'""),"""")"),"Indicado")</f>
        <v>Indicado</v>
      </c>
      <c r="K45" s="22" t="str">
        <f>IFERROR(__xludf.DUMMYFUNCTION("IFERROR(QUERY(Odonto!$A$3:$K112, ""SELECT J WHERE B = '"" &amp; $A45 &amp; ""'""),"""")"),"Indicado")</f>
        <v>Indicado</v>
      </c>
      <c r="L45" s="16" t="s">
        <v>51</v>
      </c>
      <c r="M45" s="23" t="s">
        <v>38</v>
      </c>
      <c r="N45" s="38">
        <v>37341.0</v>
      </c>
      <c r="O45" s="39" t="s">
        <v>39</v>
      </c>
      <c r="P45" s="39" t="s">
        <v>467</v>
      </c>
      <c r="Q45" s="40" t="s">
        <v>468</v>
      </c>
      <c r="R45" s="28" t="s">
        <v>469</v>
      </c>
      <c r="S45" s="28" t="s">
        <v>470</v>
      </c>
      <c r="T45" s="28" t="s">
        <v>471</v>
      </c>
      <c r="U45" s="28" t="s">
        <v>45</v>
      </c>
      <c r="V45" s="41">
        <v>4853184.0</v>
      </c>
      <c r="W45" s="42" t="s">
        <v>472</v>
      </c>
      <c r="X45" s="28" t="s">
        <v>473</v>
      </c>
      <c r="Y45" s="31">
        <f t="shared" si="1"/>
        <v>45</v>
      </c>
      <c r="Z45" s="32" t="s">
        <v>474</v>
      </c>
      <c r="AA45" s="16">
        <f>IFERROR(__xludf.DUMMYFUNCTION("IFERROR(QUERY(Conscrito!$A$3:$CU112, ""SELECT CU WHERE B = '"" &amp; $A45 &amp; ""'""),"""")"),45.0)</f>
        <v>45</v>
      </c>
      <c r="AB45" s="16" t="str">
        <f>IFERROR(__xludf.DUMMYFUNCTION("IFERROR(QUERY(Conscrito!$A$3:$CU112, ""SELECT CQ WHERE B = '"" &amp; $A45 &amp; ""'""),"""")"),"Sim")</f>
        <v>Sim</v>
      </c>
      <c r="AC45" s="16">
        <v>1.0</v>
      </c>
      <c r="AD45" s="16">
        <v>642.0</v>
      </c>
      <c r="AE45" s="21" t="s">
        <v>475</v>
      </c>
    </row>
    <row r="46">
      <c r="A46" s="15" t="s">
        <v>476</v>
      </c>
      <c r="B46" s="16">
        <v>3.20004117691E11</v>
      </c>
      <c r="C46" s="17">
        <v>44609.0</v>
      </c>
      <c r="D46" s="18">
        <v>0.3333333333333333</v>
      </c>
      <c r="E46" s="19" t="s">
        <v>35</v>
      </c>
      <c r="F46" s="19" t="s">
        <v>36</v>
      </c>
      <c r="G46" s="16">
        <v>9.0</v>
      </c>
      <c r="H46" s="19" t="str">
        <f>IFERROR(__xludf.DUMMYFUNCTION("IFERROR(IF(QUERY('S2'!$A$3:$D112, ""SELECT C WHERE A = '"" &amp; $A46 &amp; ""'""),""Averiguar"",""""),"""")"),"")</f>
        <v/>
      </c>
      <c r="I46" s="20" t="str">
        <f>IFERROR(__xludf.DUMMYFUNCTION("IFERROR(QUERY(DBI!$A$2:$Y112, ""SELECT Y WHERE B = '"" &amp; $A46 &amp; ""'""),"""")"),"")</f>
        <v/>
      </c>
      <c r="J46" s="21" t="str">
        <f>IFERROR(__xludf.DUMMYFUNCTION("IFERROR(QUERY(Medico!$A$3:$Q112, ""SELECT P WHERE B = '"" &amp; $A46 &amp; ""'""),"""")"),"Parcialmente")</f>
        <v>Parcialmente</v>
      </c>
      <c r="K46" s="22" t="str">
        <f>IFERROR(__xludf.DUMMYFUNCTION("IFERROR(QUERY(Odonto!$A$3:$K112, ""SELECT J WHERE B = '"" &amp; $A46 &amp; ""'""),"""")"),"Indicado")</f>
        <v>Indicado</v>
      </c>
      <c r="L46" s="16" t="s">
        <v>51</v>
      </c>
      <c r="M46" s="23" t="s">
        <v>38</v>
      </c>
      <c r="N46" s="38">
        <v>37341.0</v>
      </c>
      <c r="O46" s="39" t="s">
        <v>39</v>
      </c>
      <c r="P46" s="39" t="s">
        <v>477</v>
      </c>
      <c r="Q46" s="40" t="s">
        <v>478</v>
      </c>
      <c r="R46" s="28" t="s">
        <v>479</v>
      </c>
      <c r="S46" s="28" t="s">
        <v>480</v>
      </c>
      <c r="T46" s="28" t="s">
        <v>481</v>
      </c>
      <c r="U46" s="28" t="s">
        <v>45</v>
      </c>
      <c r="V46" s="41">
        <v>4846665.0</v>
      </c>
      <c r="W46" s="42" t="s">
        <v>482</v>
      </c>
      <c r="X46" s="28" t="s">
        <v>483</v>
      </c>
      <c r="Y46" s="31">
        <f t="shared" si="1"/>
        <v>46</v>
      </c>
      <c r="Z46" s="32" t="s">
        <v>484</v>
      </c>
      <c r="AA46" s="16">
        <f>IFERROR(__xludf.DUMMYFUNCTION("IFERROR(QUERY(Conscrito!$A$3:$CU112, ""SELECT CU WHERE B = '"" &amp; $A46 &amp; ""'""),"""")"),46.0)</f>
        <v>46</v>
      </c>
      <c r="AB46" s="16" t="str">
        <f>IFERROR(__xludf.DUMMYFUNCTION("IFERROR(QUERY(Conscrito!$A$3:$CU112, ""SELECT CQ WHERE B = '"" &amp; $A46 &amp; ""'""),"""")"),"Não")</f>
        <v>Não</v>
      </c>
      <c r="AC46" s="16">
        <v>2.0</v>
      </c>
      <c r="AD46" s="16">
        <v>643.0</v>
      </c>
      <c r="AE46" s="21" t="s">
        <v>485</v>
      </c>
    </row>
    <row r="47">
      <c r="A47" s="15" t="s">
        <v>486</v>
      </c>
      <c r="B47" s="16">
        <v>3.20004006413E11</v>
      </c>
      <c r="C47" s="17">
        <v>44610.0</v>
      </c>
      <c r="D47" s="18">
        <v>0.375</v>
      </c>
      <c r="E47" s="19" t="s">
        <v>35</v>
      </c>
      <c r="F47" s="19" t="s">
        <v>36</v>
      </c>
      <c r="G47" s="16">
        <v>15.0</v>
      </c>
      <c r="H47" s="19" t="str">
        <f>IFERROR(__xludf.DUMMYFUNCTION("IFERROR(IF(QUERY('S2'!$A$3:$D112, ""SELECT C WHERE A = '"" &amp; $A47 &amp; ""'""),""Averiguar"",""""),"""")"),"")</f>
        <v/>
      </c>
      <c r="I47" s="20" t="str">
        <f>IFERROR(__xludf.DUMMYFUNCTION("IFERROR(QUERY(DBI!$A$2:$Y112, ""SELECT Y WHERE B = '"" &amp; $A47 &amp; ""'""),"""")"),"")</f>
        <v/>
      </c>
      <c r="J47" s="21" t="str">
        <f>IFERROR(__xludf.DUMMYFUNCTION("IFERROR(QUERY(Medico!$A$3:$Q112, ""SELECT P WHERE B = '"" &amp; $A47 &amp; ""'""),"""")"),"Indicado")</f>
        <v>Indicado</v>
      </c>
      <c r="K47" s="22" t="str">
        <f>IFERROR(__xludf.DUMMYFUNCTION("IFERROR(QUERY(Odonto!$A$3:$K112, ""SELECT J WHERE B = '"" &amp; $A47 &amp; ""'""),"""")"),"Indicado")</f>
        <v>Indicado</v>
      </c>
      <c r="L47" s="16" t="s">
        <v>37</v>
      </c>
      <c r="M47" s="23" t="s">
        <v>38</v>
      </c>
      <c r="N47" s="38">
        <v>37343.0</v>
      </c>
      <c r="O47" s="39" t="s">
        <v>204</v>
      </c>
      <c r="P47" s="39" t="s">
        <v>487</v>
      </c>
      <c r="Q47" s="40" t="s">
        <v>488</v>
      </c>
      <c r="R47" s="28" t="s">
        <v>489</v>
      </c>
      <c r="S47" s="28" t="s">
        <v>490</v>
      </c>
      <c r="T47" s="28" t="s">
        <v>491</v>
      </c>
      <c r="U47" s="28" t="s">
        <v>492</v>
      </c>
      <c r="V47" s="41">
        <v>9930550.0</v>
      </c>
      <c r="W47" s="42" t="s">
        <v>493</v>
      </c>
      <c r="X47" s="28" t="s">
        <v>494</v>
      </c>
      <c r="Y47" s="31">
        <f t="shared" si="1"/>
        <v>47</v>
      </c>
      <c r="Z47" s="32" t="s">
        <v>495</v>
      </c>
      <c r="AA47" s="16">
        <f>IFERROR(__xludf.DUMMYFUNCTION("IFERROR(QUERY(Conscrito!$A$3:$CU112, ""SELECT CU WHERE B = '"" &amp; $A47 &amp; ""'""),"""")"),47.0)</f>
        <v>47</v>
      </c>
      <c r="AB47" s="16" t="str">
        <f>IFERROR(__xludf.DUMMYFUNCTION("IFERROR(QUERY(Conscrito!$A$3:$CU112, ""SELECT CQ WHERE B = '"" &amp; $A47 &amp; ""'""),"""")"),"Sim")</f>
        <v>Sim</v>
      </c>
      <c r="AC47" s="16">
        <v>2.0</v>
      </c>
      <c r="AD47" s="16">
        <v>644.0</v>
      </c>
      <c r="AE47" s="21" t="s">
        <v>496</v>
      </c>
    </row>
    <row r="48">
      <c r="A48" s="15" t="s">
        <v>497</v>
      </c>
      <c r="B48" s="16">
        <v>3.20004029713E11</v>
      </c>
      <c r="C48" s="17">
        <v>44611.0</v>
      </c>
      <c r="D48" s="18">
        <v>0.4166666666666667</v>
      </c>
      <c r="E48" s="19" t="s">
        <v>35</v>
      </c>
      <c r="F48" s="19" t="s">
        <v>36</v>
      </c>
      <c r="G48" s="16">
        <v>15.0</v>
      </c>
      <c r="H48" s="19" t="str">
        <f>IFERROR(__xludf.DUMMYFUNCTION("IFERROR(IF(QUERY('S2'!$A$3:$D112, ""SELECT C WHERE A = '"" &amp; $A48 &amp; ""'""),""Averiguar"",""""),"""")"),"")</f>
        <v/>
      </c>
      <c r="I48" s="20" t="str">
        <f>IFERROR(__xludf.DUMMYFUNCTION("IFERROR(QUERY(DBI!$A$2:$Y112, ""SELECT Y WHERE B = '"" &amp; $A48 &amp; ""'""),"""")"),"")</f>
        <v/>
      </c>
      <c r="J48" s="21" t="str">
        <f>IFERROR(__xludf.DUMMYFUNCTION("IFERROR(QUERY(Medico!$A$3:$Q112, ""SELECT P WHERE B = '"" &amp; $A48 &amp; ""'""),"""")"),"Indicado")</f>
        <v>Indicado</v>
      </c>
      <c r="K48" s="22" t="str">
        <f>IFERROR(__xludf.DUMMYFUNCTION("IFERROR(QUERY(Odonto!$A$3:$K112, ""SELECT J WHERE B = '"" &amp; $A48 &amp; ""'""),"""")"),"Indicado")</f>
        <v>Indicado</v>
      </c>
      <c r="L48" s="16" t="s">
        <v>37</v>
      </c>
      <c r="M48" s="23" t="s">
        <v>38</v>
      </c>
      <c r="N48" s="38">
        <v>37344.0</v>
      </c>
      <c r="O48" s="39" t="s">
        <v>498</v>
      </c>
      <c r="P48" s="39" t="s">
        <v>499</v>
      </c>
      <c r="Q48" s="40" t="s">
        <v>500</v>
      </c>
      <c r="R48" s="28" t="s">
        <v>501</v>
      </c>
      <c r="S48" s="28" t="s">
        <v>502</v>
      </c>
      <c r="T48" s="28" t="s">
        <v>503</v>
      </c>
      <c r="U48" s="28" t="s">
        <v>45</v>
      </c>
      <c r="V48" s="41">
        <v>9971360.0</v>
      </c>
      <c r="W48" s="42" t="s">
        <v>504</v>
      </c>
      <c r="X48" s="28" t="s">
        <v>505</v>
      </c>
      <c r="Y48" s="31">
        <f t="shared" si="1"/>
        <v>48</v>
      </c>
      <c r="Z48" s="32" t="s">
        <v>506</v>
      </c>
      <c r="AA48" s="16">
        <f>IFERROR(__xludf.DUMMYFUNCTION("IFERROR(QUERY(Conscrito!$A$3:$CU112, ""SELECT CU WHERE B = '"" &amp; $A48 &amp; ""'""),"""")"),48.0)</f>
        <v>48</v>
      </c>
      <c r="AB48" s="16" t="str">
        <f>IFERROR(__xludf.DUMMYFUNCTION("IFERROR(QUERY(Conscrito!$A$3:$CU112, ""SELECT CQ WHERE B = '"" &amp; $A48 &amp; ""'""),"""")"),"Sim")</f>
        <v>Sim</v>
      </c>
      <c r="AC48" s="16">
        <v>2.0</v>
      </c>
      <c r="AD48" s="16">
        <v>645.0</v>
      </c>
      <c r="AE48" s="21" t="s">
        <v>507</v>
      </c>
    </row>
    <row r="49">
      <c r="A49" s="15" t="s">
        <v>508</v>
      </c>
      <c r="B49" s="16">
        <v>3.20004059727E11</v>
      </c>
      <c r="C49" s="17">
        <v>44612.0</v>
      </c>
      <c r="D49" s="18">
        <v>0.4583333333333333</v>
      </c>
      <c r="E49" s="19" t="s">
        <v>35</v>
      </c>
      <c r="F49" s="19" t="s">
        <v>36</v>
      </c>
      <c r="G49" s="16">
        <v>11.0</v>
      </c>
      <c r="H49" s="19" t="str">
        <f>IFERROR(__xludf.DUMMYFUNCTION("IFERROR(IF(QUERY('S2'!$A$3:$D112, ""SELECT C WHERE A = '"" &amp; $A49 &amp; ""'""),""Averiguar"",""""),"""")"),"")</f>
        <v/>
      </c>
      <c r="I49" s="20" t="str">
        <f>IFERROR(__xludf.DUMMYFUNCTION("IFERROR(QUERY(DBI!$A$2:$Y112, ""SELECT Y WHERE B = '"" &amp; $A49 &amp; ""'""),"""")"),"")</f>
        <v/>
      </c>
      <c r="J49" s="21" t="str">
        <f>IFERROR(__xludf.DUMMYFUNCTION("IFERROR(QUERY(Medico!$A$3:$Q112, ""SELECT P WHERE B = '"" &amp; $A49 &amp; ""'""),"""")"),"Indicado")</f>
        <v>Indicado</v>
      </c>
      <c r="K49" s="22" t="str">
        <f>IFERROR(__xludf.DUMMYFUNCTION("IFERROR(QUERY(Odonto!$A$3:$K112, ""SELECT J WHERE B = '"" &amp; $A49 &amp; ""'""),"""")"),"Indicado")</f>
        <v>Indicado</v>
      </c>
      <c r="L49" s="16" t="s">
        <v>37</v>
      </c>
      <c r="M49" s="23" t="s">
        <v>38</v>
      </c>
      <c r="N49" s="38">
        <v>37346.0</v>
      </c>
      <c r="O49" s="39" t="s">
        <v>39</v>
      </c>
      <c r="P49" s="39" t="s">
        <v>509</v>
      </c>
      <c r="Q49" s="40" t="s">
        <v>510</v>
      </c>
      <c r="R49" s="28" t="s">
        <v>511</v>
      </c>
      <c r="S49" s="28" t="s">
        <v>512</v>
      </c>
      <c r="T49" s="28" t="s">
        <v>513</v>
      </c>
      <c r="U49" s="28" t="s">
        <v>45</v>
      </c>
      <c r="V49" s="41">
        <v>9914040.0</v>
      </c>
      <c r="W49" s="42" t="s">
        <v>514</v>
      </c>
      <c r="X49" s="28" t="s">
        <v>515</v>
      </c>
      <c r="Y49" s="31">
        <f t="shared" si="1"/>
        <v>49</v>
      </c>
      <c r="Z49" s="32" t="s">
        <v>516</v>
      </c>
      <c r="AA49" s="16">
        <f>IFERROR(__xludf.DUMMYFUNCTION("IFERROR(QUERY(Conscrito!$A$3:$CU112, ""SELECT CU WHERE B = '"" &amp; $A49 &amp; ""'""),"""")"),49.0)</f>
        <v>49</v>
      </c>
      <c r="AB49" s="16" t="str">
        <f>IFERROR(__xludf.DUMMYFUNCTION("IFERROR(QUERY(Conscrito!$A$3:$CU112, ""SELECT CQ WHERE B = '"" &amp; $A49 &amp; ""'""),"""")"),"Não")</f>
        <v>Não</v>
      </c>
      <c r="AC49" s="16">
        <v>2.0</v>
      </c>
      <c r="AD49" s="16">
        <v>646.0</v>
      </c>
      <c r="AE49" s="21" t="s">
        <v>517</v>
      </c>
    </row>
    <row r="50">
      <c r="A50" s="45" t="s">
        <v>518</v>
      </c>
      <c r="B50" s="46">
        <v>3.2000456351E11</v>
      </c>
      <c r="C50" s="17">
        <v>44613.0</v>
      </c>
      <c r="D50" s="18">
        <v>0.3333333333333333</v>
      </c>
      <c r="E50" s="19" t="s">
        <v>35</v>
      </c>
      <c r="F50" s="19" t="s">
        <v>36</v>
      </c>
      <c r="G50" s="16">
        <v>13.0</v>
      </c>
      <c r="H50" s="19" t="str">
        <f>IFERROR(__xludf.DUMMYFUNCTION("IFERROR(IF(QUERY('S2'!$A$3:$D112, ""SELECT C WHERE A = '"" &amp; $A50 &amp; ""'""),""Averiguar"",""""),"""")"),"")</f>
        <v/>
      </c>
      <c r="I50" s="20" t="str">
        <f>IFERROR(__xludf.DUMMYFUNCTION("IFERROR(QUERY(DBI!$A$2:$Y112, ""SELECT Y WHERE B = '"" &amp; $A50 &amp; ""'""),"""")"),"")</f>
        <v/>
      </c>
      <c r="J50" s="21" t="str">
        <f>IFERROR(__xludf.DUMMYFUNCTION("IFERROR(QUERY(Medico!$A$3:$Q112, ""SELECT P WHERE B = '"" &amp; $A50 &amp; ""'""),"""")"),"Indicado")</f>
        <v>Indicado</v>
      </c>
      <c r="K50" s="22" t="str">
        <f>IFERROR(__xludf.DUMMYFUNCTION("IFERROR(QUERY(Odonto!$A$3:$K112, ""SELECT J WHERE B = '"" &amp; $A50 &amp; ""'""),"""")"),"Indicado")</f>
        <v>Indicado</v>
      </c>
      <c r="L50" s="16" t="s">
        <v>84</v>
      </c>
      <c r="M50" s="23" t="s">
        <v>38</v>
      </c>
      <c r="N50" s="38">
        <v>37350.0</v>
      </c>
      <c r="O50" s="39" t="s">
        <v>39</v>
      </c>
      <c r="P50" s="39" t="s">
        <v>519</v>
      </c>
      <c r="Q50" s="40" t="s">
        <v>520</v>
      </c>
      <c r="R50" s="28" t="s">
        <v>521</v>
      </c>
      <c r="S50" s="28" t="s">
        <v>522</v>
      </c>
      <c r="T50" s="28" t="s">
        <v>523</v>
      </c>
      <c r="U50" s="28" t="s">
        <v>45</v>
      </c>
      <c r="V50" s="41">
        <v>2734000.0</v>
      </c>
      <c r="W50" s="42" t="s">
        <v>524</v>
      </c>
      <c r="X50" s="28" t="s">
        <v>525</v>
      </c>
      <c r="Y50" s="31">
        <f t="shared" si="1"/>
        <v>50</v>
      </c>
      <c r="Z50" s="32" t="s">
        <v>526</v>
      </c>
      <c r="AA50" s="16">
        <f>IFERROR(__xludf.DUMMYFUNCTION("IFERROR(QUERY(Conscrito!$A$3:$CU112, ""SELECT CU WHERE B = '"" &amp; $A50 &amp; ""'""),"""")"),50.0)</f>
        <v>50</v>
      </c>
      <c r="AB50" s="16" t="str">
        <f>IFERROR(__xludf.DUMMYFUNCTION("IFERROR(QUERY(Conscrito!$A$3:$CU112, ""SELECT CQ WHERE B = '"" &amp; $A50 &amp; ""'""),"""")"),"Sim")</f>
        <v>Sim</v>
      </c>
      <c r="AC50" s="16">
        <v>2.0</v>
      </c>
      <c r="AD50" s="16">
        <v>647.0</v>
      </c>
      <c r="AE50" s="21" t="s">
        <v>527</v>
      </c>
    </row>
    <row r="51">
      <c r="A51" s="15" t="s">
        <v>528</v>
      </c>
      <c r="B51" s="16">
        <v>3.20004057202E11</v>
      </c>
      <c r="C51" s="17">
        <v>44614.0</v>
      </c>
      <c r="D51" s="18">
        <v>0.375</v>
      </c>
      <c r="E51" s="19" t="s">
        <v>35</v>
      </c>
      <c r="F51" s="19" t="s">
        <v>36</v>
      </c>
      <c r="G51" s="16">
        <v>13.0</v>
      </c>
      <c r="H51" s="19" t="str">
        <f>IFERROR(__xludf.DUMMYFUNCTION("IFERROR(IF(QUERY('S2'!$A$3:$D112, ""SELECT C WHERE A = '"" &amp; $A51 &amp; ""'""),""Averiguar"",""""),"""")"),"")</f>
        <v/>
      </c>
      <c r="I51" s="20" t="str">
        <f>IFERROR(__xludf.DUMMYFUNCTION("IFERROR(QUERY(DBI!$A$2:$Y112, ""SELECT Y WHERE B = '"" &amp; $A51 &amp; ""'""),"""")"),"")</f>
        <v/>
      </c>
      <c r="J51" s="21" t="str">
        <f>IFERROR(__xludf.DUMMYFUNCTION("IFERROR(QUERY(Medico!$A$3:$Q112, ""SELECT P WHERE B = '"" &amp; $A51 &amp; ""'""),"""")"),"Indicado")</f>
        <v>Indicado</v>
      </c>
      <c r="K51" s="22" t="str">
        <f>IFERROR(__xludf.DUMMYFUNCTION("IFERROR(QUERY(Odonto!$A$3:$K112, ""SELECT J WHERE B = '"" &amp; $A51 &amp; ""'""),"""")"),"Indicado")</f>
        <v>Indicado</v>
      </c>
      <c r="L51" s="16" t="s">
        <v>51</v>
      </c>
      <c r="M51" s="23" t="s">
        <v>38</v>
      </c>
      <c r="N51" s="38">
        <v>37358.0</v>
      </c>
      <c r="O51" s="39" t="s">
        <v>39</v>
      </c>
      <c r="P51" s="39" t="s">
        <v>529</v>
      </c>
      <c r="Q51" s="40" t="s">
        <v>530</v>
      </c>
      <c r="R51" s="28" t="s">
        <v>531</v>
      </c>
      <c r="S51" s="28" t="s">
        <v>532</v>
      </c>
      <c r="T51" s="28" t="s">
        <v>533</v>
      </c>
      <c r="U51" s="28" t="s">
        <v>45</v>
      </c>
      <c r="V51" s="41">
        <v>4429150.0</v>
      </c>
      <c r="W51" s="42" t="s">
        <v>534</v>
      </c>
      <c r="X51" s="28" t="s">
        <v>535</v>
      </c>
      <c r="Y51" s="31">
        <f t="shared" si="1"/>
        <v>51</v>
      </c>
      <c r="Z51" s="32" t="s">
        <v>536</v>
      </c>
      <c r="AA51" s="16">
        <f>IFERROR(__xludf.DUMMYFUNCTION("IFERROR(QUERY(Conscrito!$A$3:$CU112, ""SELECT CU WHERE B = '"" &amp; $A51 &amp; ""'""),"""")"),51.0)</f>
        <v>51</v>
      </c>
      <c r="AB51" s="16" t="str">
        <f>IFERROR(__xludf.DUMMYFUNCTION("IFERROR(QUERY(Conscrito!$A$3:$CU112, ""SELECT CQ WHERE B = '"" &amp; $A51 &amp; ""'""),"""")"),"Sim")</f>
        <v>Sim</v>
      </c>
      <c r="AC51" s="16">
        <v>2.0</v>
      </c>
      <c r="AD51" s="16">
        <v>648.0</v>
      </c>
      <c r="AE51" s="21" t="s">
        <v>537</v>
      </c>
    </row>
    <row r="52">
      <c r="A52" s="15" t="s">
        <v>538</v>
      </c>
      <c r="B52" s="16">
        <v>3.20004207965E11</v>
      </c>
      <c r="C52" s="17">
        <v>44615.0</v>
      </c>
      <c r="D52" s="18">
        <v>0.4166666666666667</v>
      </c>
      <c r="E52" s="19" t="s">
        <v>35</v>
      </c>
      <c r="F52" s="19" t="s">
        <v>36</v>
      </c>
      <c r="G52" s="16">
        <v>21.0</v>
      </c>
      <c r="H52" s="19" t="str">
        <f>IFERROR(__xludf.DUMMYFUNCTION("IFERROR(IF(QUERY('S2'!$A$3:$D112, ""SELECT C WHERE A = '"" &amp; $A52 &amp; ""'""),""Averiguar"",""""),"""")"),"")</f>
        <v/>
      </c>
      <c r="I52" s="20" t="str">
        <f>IFERROR(__xludf.DUMMYFUNCTION("IFERROR(QUERY(DBI!$A$2:$Y112, ""SELECT Y WHERE B = '"" &amp; $A52 &amp; ""'""),"""")"),"")</f>
        <v/>
      </c>
      <c r="J52" s="21" t="str">
        <f>IFERROR(__xludf.DUMMYFUNCTION("IFERROR(QUERY(Medico!$A$3:$Q112, ""SELECT P WHERE B = '"" &amp; $A52 &amp; ""'""),"""")"),"Indicado")</f>
        <v>Indicado</v>
      </c>
      <c r="K52" s="22" t="str">
        <f>IFERROR(__xludf.DUMMYFUNCTION("IFERROR(QUERY(Odonto!$A$3:$K112, ""SELECT J WHERE B = '"" &amp; $A52 &amp; ""'""),"""")"),"Indicado")</f>
        <v>Indicado</v>
      </c>
      <c r="L52" s="16" t="s">
        <v>37</v>
      </c>
      <c r="M52" s="23" t="s">
        <v>38</v>
      </c>
      <c r="N52" s="38">
        <v>37361.0</v>
      </c>
      <c r="O52" s="39" t="s">
        <v>39</v>
      </c>
      <c r="P52" s="39" t="s">
        <v>539</v>
      </c>
      <c r="Q52" s="40" t="s">
        <v>540</v>
      </c>
      <c r="R52" s="28" t="s">
        <v>541</v>
      </c>
      <c r="S52" s="28" t="s">
        <v>542</v>
      </c>
      <c r="T52" s="28" t="s">
        <v>543</v>
      </c>
      <c r="U52" s="28" t="s">
        <v>45</v>
      </c>
      <c r="V52" s="41">
        <v>4949020.0</v>
      </c>
      <c r="W52" s="42" t="s">
        <v>544</v>
      </c>
      <c r="X52" s="28" t="s">
        <v>545</v>
      </c>
      <c r="Y52" s="31">
        <f t="shared" si="1"/>
        <v>52</v>
      </c>
      <c r="Z52" s="32" t="s">
        <v>546</v>
      </c>
      <c r="AA52" s="16">
        <f>IFERROR(__xludf.DUMMYFUNCTION("IFERROR(QUERY(Conscrito!$A$3:$CU112, ""SELECT CU WHERE B = '"" &amp; $A52 &amp; ""'""),"""")"),52.0)</f>
        <v>52</v>
      </c>
      <c r="AB52" s="16" t="str">
        <f>IFERROR(__xludf.DUMMYFUNCTION("IFERROR(QUERY(Conscrito!$A$3:$CU112, ""SELECT CQ WHERE B = '"" &amp; $A52 &amp; ""'""),"""")"),"Sim")</f>
        <v>Sim</v>
      </c>
      <c r="AC52" s="16">
        <v>3.0</v>
      </c>
      <c r="AD52" s="16">
        <v>649.0</v>
      </c>
      <c r="AE52" s="21" t="s">
        <v>547</v>
      </c>
    </row>
    <row r="53">
      <c r="A53" s="15" t="s">
        <v>548</v>
      </c>
      <c r="B53" s="16">
        <v>3.20004104424E11</v>
      </c>
      <c r="C53" s="17">
        <v>44616.0</v>
      </c>
      <c r="D53" s="18">
        <v>0.4583333333333333</v>
      </c>
      <c r="E53" s="19" t="s">
        <v>35</v>
      </c>
      <c r="F53" s="19" t="s">
        <v>36</v>
      </c>
      <c r="G53" s="16">
        <v>20.0</v>
      </c>
      <c r="H53" s="19" t="str">
        <f>IFERROR(__xludf.DUMMYFUNCTION("IFERROR(IF(QUERY('S2'!$A$3:$D112, ""SELECT C WHERE A = '"" &amp; $A53 &amp; ""'""),""Averiguar"",""""),"""")"),"")</f>
        <v/>
      </c>
      <c r="I53" s="20" t="str">
        <f>IFERROR(__xludf.DUMMYFUNCTION("IFERROR(QUERY(DBI!$A$2:$Y112, ""SELECT Y WHERE B = '"" &amp; $A53 &amp; ""'""),"""")"),"")</f>
        <v/>
      </c>
      <c r="J53" s="21" t="str">
        <f>IFERROR(__xludf.DUMMYFUNCTION("IFERROR(QUERY(Medico!$A$3:$Q112, ""SELECT P WHERE B = '"" &amp; $A53 &amp; ""'""),"""")"),"Parcialmente")</f>
        <v>Parcialmente</v>
      </c>
      <c r="K53" s="22" t="str">
        <f>IFERROR(__xludf.DUMMYFUNCTION("IFERROR(QUERY(Odonto!$A$3:$K112, ""SELECT J WHERE B = '"" &amp; $A53 &amp; ""'""),"""")"),"Indicado")</f>
        <v>Indicado</v>
      </c>
      <c r="L53" s="16" t="s">
        <v>51</v>
      </c>
      <c r="M53" s="23" t="s">
        <v>38</v>
      </c>
      <c r="N53" s="38">
        <v>37362.0</v>
      </c>
      <c r="O53" s="39" t="s">
        <v>39</v>
      </c>
      <c r="P53" s="39" t="s">
        <v>549</v>
      </c>
      <c r="Q53" s="40" t="s">
        <v>550</v>
      </c>
      <c r="R53" s="28" t="s">
        <v>551</v>
      </c>
      <c r="S53" s="28" t="s">
        <v>552</v>
      </c>
      <c r="T53" s="28" t="s">
        <v>553</v>
      </c>
      <c r="U53" s="28" t="s">
        <v>45</v>
      </c>
      <c r="V53" s="41">
        <v>4328030.0</v>
      </c>
      <c r="W53" s="42" t="s">
        <v>554</v>
      </c>
      <c r="X53" s="28" t="s">
        <v>555</v>
      </c>
      <c r="Y53" s="31">
        <f t="shared" si="1"/>
        <v>53</v>
      </c>
      <c r="Z53" s="32" t="s">
        <v>556</v>
      </c>
      <c r="AA53" s="16">
        <f>IFERROR(__xludf.DUMMYFUNCTION("IFERROR(QUERY(Conscrito!$A$3:$CU112, ""SELECT CU WHERE B = '"" &amp; $A53 &amp; ""'""),"""")"),53.0)</f>
        <v>53</v>
      </c>
      <c r="AB53" s="16" t="str">
        <f>IFERROR(__xludf.DUMMYFUNCTION("IFERROR(QUERY(Conscrito!$A$3:$CU112, ""SELECT CQ WHERE B = '"" &amp; $A53 &amp; ""'""),"""")"),"Sim")</f>
        <v>Sim</v>
      </c>
      <c r="AC53" s="16">
        <v>3.0</v>
      </c>
      <c r="AD53" s="16">
        <v>650.0</v>
      </c>
      <c r="AE53" s="21" t="s">
        <v>557</v>
      </c>
    </row>
    <row r="54">
      <c r="A54" s="15" t="s">
        <v>558</v>
      </c>
      <c r="B54" s="16">
        <v>3.20004011058E11</v>
      </c>
      <c r="C54" s="17">
        <v>44617.0</v>
      </c>
      <c r="D54" s="18">
        <v>0.3333333333333333</v>
      </c>
      <c r="E54" s="19" t="s">
        <v>35</v>
      </c>
      <c r="F54" s="19" t="s">
        <v>36</v>
      </c>
      <c r="G54" s="16">
        <v>9.0</v>
      </c>
      <c r="H54" s="19" t="str">
        <f>IFERROR(__xludf.DUMMYFUNCTION("IFERROR(IF(QUERY('S2'!$A$3:$D112, ""SELECT C WHERE A = '"" &amp; $A54 &amp; ""'""),""Averiguar"",""""),"""")"),"")</f>
        <v/>
      </c>
      <c r="I54" s="20" t="str">
        <f>IFERROR(__xludf.DUMMYFUNCTION("IFERROR(QUERY(DBI!$A$2:$Y112, ""SELECT Y WHERE B = '"" &amp; $A54 &amp; ""'""),"""")"),"")</f>
        <v/>
      </c>
      <c r="J54" s="21" t="str">
        <f>IFERROR(__xludf.DUMMYFUNCTION("IFERROR(QUERY(Medico!$A$3:$Q112, ""SELECT P WHERE B = '"" &amp; $A54 &amp; ""'""),"""")"),"Indicado")</f>
        <v>Indicado</v>
      </c>
      <c r="K54" s="22" t="str">
        <f>IFERROR(__xludf.DUMMYFUNCTION("IFERROR(QUERY(Odonto!$A$3:$K112, ""SELECT J WHERE B = '"" &amp; $A54 &amp; ""'""),"""")"),"Indicado")</f>
        <v>Indicado</v>
      </c>
      <c r="L54" s="16" t="s">
        <v>51</v>
      </c>
      <c r="M54" s="23" t="s">
        <v>38</v>
      </c>
      <c r="N54" s="38">
        <v>37363.0</v>
      </c>
      <c r="O54" s="39" t="s">
        <v>39</v>
      </c>
      <c r="P54" s="39" t="s">
        <v>559</v>
      </c>
      <c r="Q54" s="40" t="s">
        <v>560</v>
      </c>
      <c r="R54" s="28" t="s">
        <v>561</v>
      </c>
      <c r="S54" s="28" t="s">
        <v>562</v>
      </c>
      <c r="T54" s="28" t="s">
        <v>563</v>
      </c>
      <c r="U54" s="28" t="s">
        <v>45</v>
      </c>
      <c r="V54" s="41">
        <v>3258000.0</v>
      </c>
      <c r="W54" s="42" t="s">
        <v>564</v>
      </c>
      <c r="X54" s="28" t="s">
        <v>565</v>
      </c>
      <c r="Y54" s="31">
        <f t="shared" si="1"/>
        <v>54</v>
      </c>
      <c r="Z54" s="32" t="s">
        <v>566</v>
      </c>
      <c r="AA54" s="16">
        <f>IFERROR(__xludf.DUMMYFUNCTION("IFERROR(QUERY(Conscrito!$A$3:$CU112, ""SELECT CU WHERE B = '"" &amp; $A54 &amp; ""'""),"""")"),54.0)</f>
        <v>54</v>
      </c>
      <c r="AB54" s="16" t="str">
        <f>IFERROR(__xludf.DUMMYFUNCTION("IFERROR(QUERY(Conscrito!$A$3:$CU112, ""SELECT CQ WHERE B = '"" &amp; $A54 &amp; ""'""),"""")"),"Sim")</f>
        <v>Sim</v>
      </c>
      <c r="AC54" s="16">
        <v>2.0</v>
      </c>
      <c r="AD54" s="16">
        <v>651.0</v>
      </c>
      <c r="AE54" s="21" t="s">
        <v>567</v>
      </c>
    </row>
    <row r="55">
      <c r="A55" s="15" t="s">
        <v>568</v>
      </c>
      <c r="B55" s="16">
        <v>3.20004075796E11</v>
      </c>
      <c r="C55" s="17">
        <v>44618.0</v>
      </c>
      <c r="D55" s="18">
        <v>0.375</v>
      </c>
      <c r="E55" s="19" t="s">
        <v>35</v>
      </c>
      <c r="F55" s="19" t="s">
        <v>36</v>
      </c>
      <c r="G55" s="16">
        <v>7.0</v>
      </c>
      <c r="H55" s="19" t="str">
        <f>IFERROR(__xludf.DUMMYFUNCTION("IFERROR(IF(QUERY('S2'!$A$3:$D112, ""SELECT C WHERE A = '"" &amp; $A55 &amp; ""'""),""Averiguar"",""""),"""")"),"")</f>
        <v/>
      </c>
      <c r="I55" s="20" t="str">
        <f>IFERROR(__xludf.DUMMYFUNCTION("IFERROR(QUERY(DBI!$A$2:$Y112, ""SELECT Y WHERE B = '"" &amp; $A55 &amp; ""'""),"""")"),"")</f>
        <v/>
      </c>
      <c r="J55" s="21" t="str">
        <f>IFERROR(__xludf.DUMMYFUNCTION("IFERROR(QUERY(Medico!$A$3:$Q112, ""SELECT P WHERE B = '"" &amp; $A55 &amp; ""'""),"""")"),"Indicado")</f>
        <v>Indicado</v>
      </c>
      <c r="K55" s="22" t="str">
        <f>IFERROR(__xludf.DUMMYFUNCTION("IFERROR(QUERY(Odonto!$A$3:$K112, ""SELECT J WHERE B = '"" &amp; $A55 &amp; ""'""),"""")"),"Indicado")</f>
        <v>Indicado</v>
      </c>
      <c r="L55" s="16" t="s">
        <v>51</v>
      </c>
      <c r="M55" s="23" t="s">
        <v>38</v>
      </c>
      <c r="N55" s="38">
        <v>37366.0</v>
      </c>
      <c r="O55" s="39" t="s">
        <v>39</v>
      </c>
      <c r="P55" s="39" t="s">
        <v>569</v>
      </c>
      <c r="Q55" s="40" t="s">
        <v>570</v>
      </c>
      <c r="R55" s="28" t="s">
        <v>571</v>
      </c>
      <c r="S55" s="28" t="s">
        <v>572</v>
      </c>
      <c r="T55" s="28" t="s">
        <v>573</v>
      </c>
      <c r="U55" s="28" t="s">
        <v>45</v>
      </c>
      <c r="V55" s="41">
        <v>3545070.0</v>
      </c>
      <c r="W55" s="42" t="s">
        <v>574</v>
      </c>
      <c r="X55" s="28" t="s">
        <v>575</v>
      </c>
      <c r="Y55" s="31">
        <f t="shared" si="1"/>
        <v>55</v>
      </c>
      <c r="Z55" s="32" t="s">
        <v>576</v>
      </c>
      <c r="AA55" s="16">
        <f>IFERROR(__xludf.DUMMYFUNCTION("IFERROR(QUERY(Conscrito!$A$3:$CU112, ""SELECT CU WHERE B = '"" &amp; $A55 &amp; ""'""),"""")"),55.0)</f>
        <v>55</v>
      </c>
      <c r="AB55" s="16" t="str">
        <f>IFERROR(__xludf.DUMMYFUNCTION("IFERROR(QUERY(Conscrito!$A$3:$CU112, ""SELECT CQ WHERE B = '"" &amp; $A55 &amp; ""'""),"""")"),"Sim")</f>
        <v>Sim</v>
      </c>
      <c r="AC55" s="16">
        <v>1.0</v>
      </c>
      <c r="AD55" s="16">
        <v>652.0</v>
      </c>
      <c r="AE55" s="21" t="s">
        <v>577</v>
      </c>
    </row>
    <row r="56">
      <c r="A56" s="47" t="s">
        <v>578</v>
      </c>
      <c r="B56" s="48">
        <v>3.20004218365E11</v>
      </c>
      <c r="C56" s="17">
        <v>44619.0</v>
      </c>
      <c r="D56" s="18">
        <v>0.4166666666666667</v>
      </c>
      <c r="E56" s="19" t="s">
        <v>35</v>
      </c>
      <c r="F56" s="49" t="s">
        <v>36</v>
      </c>
      <c r="G56" s="48">
        <v>12.0</v>
      </c>
      <c r="H56" s="50" t="str">
        <f>IFERROR(__xludf.DUMMYFUNCTION("IFERROR(IF(QUERY('S2'!$A$3:$D112, ""SELECT C WHERE A = '"" &amp; $A56 &amp; ""'""),""Averiguar"",""""),"""")"),"")</f>
        <v/>
      </c>
      <c r="I56" s="51" t="str">
        <f>IFERROR(__xludf.DUMMYFUNCTION("IFERROR(QUERY(DBI!$A$2:$Y112, ""SELECT Y WHERE B = '"" &amp; $A56 &amp; ""'""),"""")"),"")</f>
        <v/>
      </c>
      <c r="J56" s="50" t="str">
        <f>IFERROR(__xludf.DUMMYFUNCTION("IFERROR(QUERY(Medico!$A$3:$Q112, ""SELECT P WHERE B = '"" &amp; $A56 &amp; ""'""),"""")"),"Indicado")</f>
        <v>Indicado</v>
      </c>
      <c r="K56" s="51" t="str">
        <f>IFERROR(__xludf.DUMMYFUNCTION("IFERROR(QUERY(Odonto!$A$3:$K112, ""SELECT J WHERE B = '"" &amp; $A56 &amp; ""'""),"""")"),"Indicado")</f>
        <v>Indicado</v>
      </c>
      <c r="L56" s="48" t="s">
        <v>84</v>
      </c>
      <c r="M56" s="52" t="s">
        <v>579</v>
      </c>
      <c r="N56" s="53">
        <v>37576.0</v>
      </c>
      <c r="O56" s="54" t="s">
        <v>580</v>
      </c>
      <c r="P56" s="54" t="s">
        <v>581</v>
      </c>
      <c r="Q56" s="55">
        <v>4.7779591808E10</v>
      </c>
      <c r="R56" s="54" t="s">
        <v>582</v>
      </c>
      <c r="S56" s="54" t="s">
        <v>583</v>
      </c>
      <c r="T56" s="56" t="s">
        <v>584</v>
      </c>
      <c r="U56" s="28" t="s">
        <v>45</v>
      </c>
      <c r="V56" s="57">
        <v>5665010.0</v>
      </c>
      <c r="W56" s="58">
        <v>1.1951279575E10</v>
      </c>
      <c r="X56" s="54" t="s">
        <v>585</v>
      </c>
      <c r="Y56" s="59">
        <f t="shared" si="1"/>
        <v>56</v>
      </c>
      <c r="Z56" s="60" t="s">
        <v>586</v>
      </c>
      <c r="AA56" s="16">
        <f>IFERROR(__xludf.DUMMYFUNCTION("IFERROR(QUERY(Conscrito!$A$3:$CU112, ""SELECT CU WHERE B = '"" &amp; $A56 &amp; ""'""),"""")"),56.0)</f>
        <v>56</v>
      </c>
      <c r="AB56" s="16" t="str">
        <f>IFERROR(__xludf.DUMMYFUNCTION("IFERROR(QUERY(Conscrito!$A$3:$CU112, ""SELECT CQ WHERE B = '"" &amp; $A56 &amp; ""'""),"""")"),"Sim")</f>
        <v>Sim</v>
      </c>
      <c r="AC56" s="16">
        <v>1.0</v>
      </c>
      <c r="AD56" s="16">
        <v>653.0</v>
      </c>
      <c r="AE56" s="21" t="s">
        <v>587</v>
      </c>
    </row>
    <row r="57">
      <c r="A57" s="15" t="s">
        <v>588</v>
      </c>
      <c r="B57" s="16">
        <v>3.2000415871E11</v>
      </c>
      <c r="C57" s="17">
        <v>44620.0</v>
      </c>
      <c r="D57" s="18">
        <v>0.4583333333333333</v>
      </c>
      <c r="E57" s="19" t="s">
        <v>35</v>
      </c>
      <c r="F57" s="19" t="s">
        <v>36</v>
      </c>
      <c r="G57" s="16">
        <v>19.0</v>
      </c>
      <c r="H57" s="19" t="str">
        <f>IFERROR(__xludf.DUMMYFUNCTION("IFERROR(IF(QUERY('S2'!$A$3:$D112, ""SELECT C WHERE A = '"" &amp; $A57 &amp; ""'""),""Averiguar"",""""),"""")"),"")</f>
        <v/>
      </c>
      <c r="I57" s="20" t="str">
        <f>IFERROR(__xludf.DUMMYFUNCTION("IFERROR(QUERY(DBI!$A$2:$Y112, ""SELECT Y WHERE B = '"" &amp; $A57 &amp; ""'""),"""")"),"")</f>
        <v/>
      </c>
      <c r="J57" s="21" t="str">
        <f>IFERROR(__xludf.DUMMYFUNCTION("IFERROR(QUERY(Medico!$A$3:$Q112, ""SELECT P WHERE B = '"" &amp; $A57 &amp; ""'""),"""")"),"Indicado")</f>
        <v>Indicado</v>
      </c>
      <c r="K57" s="22" t="str">
        <f>IFERROR(__xludf.DUMMYFUNCTION("IFERROR(QUERY(Odonto!$A$3:$K112, ""SELECT J WHERE B = '"" &amp; $A57 &amp; ""'""),"""")"),"Indicado")</f>
        <v>Indicado</v>
      </c>
      <c r="L57" s="16" t="s">
        <v>84</v>
      </c>
      <c r="M57" s="23" t="s">
        <v>38</v>
      </c>
      <c r="N57" s="38">
        <v>37368.0</v>
      </c>
      <c r="O57" s="39" t="s">
        <v>589</v>
      </c>
      <c r="P57" s="39" t="s">
        <v>590</v>
      </c>
      <c r="Q57" s="40" t="s">
        <v>591</v>
      </c>
      <c r="R57" s="28" t="s">
        <v>592</v>
      </c>
      <c r="S57" s="28" t="s">
        <v>593</v>
      </c>
      <c r="T57" s="28" t="s">
        <v>594</v>
      </c>
      <c r="U57" s="28" t="s">
        <v>45</v>
      </c>
      <c r="V57" s="41">
        <v>4857055.0</v>
      </c>
      <c r="W57" s="42" t="s">
        <v>595</v>
      </c>
      <c r="X57" s="28" t="s">
        <v>596</v>
      </c>
      <c r="Y57" s="31">
        <f t="shared" si="1"/>
        <v>57</v>
      </c>
      <c r="Z57" s="32" t="s">
        <v>597</v>
      </c>
      <c r="AA57" s="16">
        <f>IFERROR(__xludf.DUMMYFUNCTION("IFERROR(QUERY(Conscrito!$A$3:$CU112, ""SELECT CU WHERE B = '"" &amp; $A57 &amp; ""'""),"""")"),57.0)</f>
        <v>57</v>
      </c>
      <c r="AB57" s="16" t="str">
        <f>IFERROR(__xludf.DUMMYFUNCTION("IFERROR(QUERY(Conscrito!$A$3:$CU112, ""SELECT CQ WHERE B = '"" &amp; $A57 &amp; ""'""),"""")"),"Sim")</f>
        <v>Sim</v>
      </c>
      <c r="AC57" s="16">
        <v>3.0</v>
      </c>
      <c r="AD57" s="16">
        <v>654.0</v>
      </c>
      <c r="AE57" s="21" t="s">
        <v>598</v>
      </c>
    </row>
    <row r="58">
      <c r="A58" s="15" t="s">
        <v>599</v>
      </c>
      <c r="B58" s="16">
        <v>3.20004099323E11</v>
      </c>
      <c r="C58" s="17">
        <v>44621.0</v>
      </c>
      <c r="D58" s="18">
        <v>0.3333333333333333</v>
      </c>
      <c r="E58" s="19" t="s">
        <v>35</v>
      </c>
      <c r="F58" s="19" t="s">
        <v>36</v>
      </c>
      <c r="G58" s="16">
        <v>6.0</v>
      </c>
      <c r="H58" s="19" t="str">
        <f>IFERROR(__xludf.DUMMYFUNCTION("IFERROR(IF(QUERY('S2'!$A$3:$D112, ""SELECT C WHERE A = '"" &amp; $A58 &amp; ""'""),""Averiguar"",""""),"""")"),"")</f>
        <v/>
      </c>
      <c r="I58" s="20" t="str">
        <f>IFERROR(__xludf.DUMMYFUNCTION("IFERROR(QUERY(DBI!$A$2:$Y112, ""SELECT Y WHERE B = '"" &amp; $A58 &amp; ""'""),"""")"),"")</f>
        <v/>
      </c>
      <c r="J58" s="21" t="str">
        <f>IFERROR(__xludf.DUMMYFUNCTION("IFERROR(QUERY(Medico!$A$3:$Q112, ""SELECT P WHERE B = '"" &amp; $A58 &amp; ""'""),"""")"),"Indicado")</f>
        <v>Indicado</v>
      </c>
      <c r="K58" s="22" t="str">
        <f>IFERROR(__xludf.DUMMYFUNCTION("IFERROR(QUERY(Odonto!$A$3:$K112, ""SELECT J WHERE B = '"" &amp; $A58 &amp; ""'""),"""")"),"Indicado")</f>
        <v>Indicado</v>
      </c>
      <c r="L58" s="16" t="s">
        <v>37</v>
      </c>
      <c r="M58" s="23" t="s">
        <v>38</v>
      </c>
      <c r="N58" s="38">
        <v>37373.0</v>
      </c>
      <c r="O58" s="39" t="s">
        <v>600</v>
      </c>
      <c r="P58" s="39" t="s">
        <v>601</v>
      </c>
      <c r="Q58" s="40" t="s">
        <v>602</v>
      </c>
      <c r="R58" s="28" t="s">
        <v>603</v>
      </c>
      <c r="S58" s="28" t="s">
        <v>604</v>
      </c>
      <c r="T58" s="28" t="s">
        <v>605</v>
      </c>
      <c r="U58" s="28" t="s">
        <v>45</v>
      </c>
      <c r="V58" s="41">
        <v>4914020.0</v>
      </c>
      <c r="W58" s="42" t="s">
        <v>606</v>
      </c>
      <c r="X58" s="28" t="s">
        <v>607</v>
      </c>
      <c r="Y58" s="31">
        <f t="shared" si="1"/>
        <v>58</v>
      </c>
      <c r="Z58" s="32" t="s">
        <v>608</v>
      </c>
      <c r="AA58" s="16">
        <f>IFERROR(__xludf.DUMMYFUNCTION("IFERROR(QUERY(Conscrito!$A$3:$CU112, ""SELECT CU WHERE B = '"" &amp; $A58 &amp; ""'""),"""")"),58.0)</f>
        <v>58</v>
      </c>
      <c r="AB58" s="16" t="str">
        <f>IFERROR(__xludf.DUMMYFUNCTION("IFERROR(QUERY(Conscrito!$A$3:$CU112, ""SELECT CQ WHERE B = '"" &amp; $A58 &amp; ""'""),"""")"),"Sim")</f>
        <v>Sim</v>
      </c>
      <c r="AC58" s="16">
        <v>1.0</v>
      </c>
      <c r="AD58" s="16">
        <v>655.0</v>
      </c>
      <c r="AE58" s="21" t="s">
        <v>609</v>
      </c>
    </row>
    <row r="59">
      <c r="A59" s="15" t="s">
        <v>610</v>
      </c>
      <c r="B59" s="16">
        <v>3.20004269314E11</v>
      </c>
      <c r="C59" s="17">
        <v>44622.0</v>
      </c>
      <c r="D59" s="18">
        <v>0.375</v>
      </c>
      <c r="E59" s="19" t="s">
        <v>35</v>
      </c>
      <c r="F59" s="19" t="s">
        <v>36</v>
      </c>
      <c r="G59" s="16">
        <v>17.0</v>
      </c>
      <c r="H59" s="19" t="str">
        <f>IFERROR(__xludf.DUMMYFUNCTION("IFERROR(IF(QUERY('S2'!$A$3:$D112, ""SELECT C WHERE A = '"" &amp; $A59 &amp; ""'""),""Averiguar"",""""),"""")"),"")</f>
        <v/>
      </c>
      <c r="I59" s="20" t="str">
        <f>IFERROR(__xludf.DUMMYFUNCTION("IFERROR(QUERY(DBI!$A$2:$Y112, ""SELECT Y WHERE B = '"" &amp; $A59 &amp; ""'""),"""")"),"")</f>
        <v/>
      </c>
      <c r="J59" s="21" t="str">
        <f>IFERROR(__xludf.DUMMYFUNCTION("IFERROR(QUERY(Medico!$A$3:$Q112, ""SELECT P WHERE B = '"" &amp; $A59 &amp; ""'""),"""")"),"Indicado")</f>
        <v>Indicado</v>
      </c>
      <c r="K59" s="22" t="str">
        <f>IFERROR(__xludf.DUMMYFUNCTION("IFERROR(QUERY(Odonto!$A$3:$K112, ""SELECT J WHERE B = '"" &amp; $A59 &amp; ""'""),"""")"),"Indicado")</f>
        <v>Indicado</v>
      </c>
      <c r="L59" s="16" t="s">
        <v>84</v>
      </c>
      <c r="M59" s="23" t="s">
        <v>38</v>
      </c>
      <c r="N59" s="38">
        <v>37374.0</v>
      </c>
      <c r="O59" s="39" t="s">
        <v>39</v>
      </c>
      <c r="P59" s="39" t="s">
        <v>611</v>
      </c>
      <c r="Q59" s="40" t="s">
        <v>612</v>
      </c>
      <c r="R59" s="28" t="s">
        <v>613</v>
      </c>
      <c r="S59" s="28" t="s">
        <v>614</v>
      </c>
      <c r="T59" s="28" t="s">
        <v>615</v>
      </c>
      <c r="U59" s="28" t="s">
        <v>45</v>
      </c>
      <c r="V59" s="41">
        <v>4947000.0</v>
      </c>
      <c r="W59" s="42" t="s">
        <v>616</v>
      </c>
      <c r="X59" s="28" t="s">
        <v>617</v>
      </c>
      <c r="Y59" s="31">
        <f t="shared" si="1"/>
        <v>59</v>
      </c>
      <c r="Z59" s="32" t="s">
        <v>618</v>
      </c>
      <c r="AA59" s="16">
        <f>IFERROR(__xludf.DUMMYFUNCTION("IFERROR(QUERY(Conscrito!$A$3:$CU112, ""SELECT CU WHERE B = '"" &amp; $A59 &amp; ""'""),"""")"),59.0)</f>
        <v>59</v>
      </c>
      <c r="AB59" s="16" t="str">
        <f>IFERROR(__xludf.DUMMYFUNCTION("IFERROR(QUERY(Conscrito!$A$3:$CU112, ""SELECT CQ WHERE B = '"" &amp; $A59 &amp; ""'""),"""")"),"Sim")</f>
        <v>Sim</v>
      </c>
      <c r="AC59" s="16">
        <v>2.0</v>
      </c>
      <c r="AD59" s="16">
        <v>656.0</v>
      </c>
      <c r="AE59" s="21" t="s">
        <v>619</v>
      </c>
    </row>
    <row r="60">
      <c r="A60" s="15" t="s">
        <v>620</v>
      </c>
      <c r="B60" s="16">
        <v>3.20004028854E11</v>
      </c>
      <c r="C60" s="17">
        <v>44623.0</v>
      </c>
      <c r="D60" s="18">
        <v>0.4166666666666667</v>
      </c>
      <c r="E60" s="19" t="s">
        <v>35</v>
      </c>
      <c r="F60" s="19" t="s">
        <v>36</v>
      </c>
      <c r="G60" s="16">
        <v>16.0</v>
      </c>
      <c r="H60" s="19" t="str">
        <f>IFERROR(__xludf.DUMMYFUNCTION("IFERROR(IF(QUERY('S2'!$A$3:$D112, ""SELECT C WHERE A = '"" &amp; $A60 &amp; ""'""),""Averiguar"",""""),"""")"),"")</f>
        <v/>
      </c>
      <c r="I60" s="20" t="str">
        <f>IFERROR(__xludf.DUMMYFUNCTION("IFERROR(QUERY(DBI!$A$2:$Y112, ""SELECT Y WHERE B = '"" &amp; $A60 &amp; ""'""),"""")"),"")</f>
        <v/>
      </c>
      <c r="J60" s="21" t="str">
        <f>IFERROR(__xludf.DUMMYFUNCTION("IFERROR(QUERY(Medico!$A$3:$Q112, ""SELECT P WHERE B = '"" &amp; $A60 &amp; ""'""),"""")"),"Indicado")</f>
        <v>Indicado</v>
      </c>
      <c r="K60" s="22" t="str">
        <f>IFERROR(__xludf.DUMMYFUNCTION("IFERROR(QUERY(Odonto!$A$3:$K112, ""SELECT J WHERE B = '"" &amp; $A60 &amp; ""'""),"""")"),"Indicado")</f>
        <v>Indicado</v>
      </c>
      <c r="L60" s="16" t="s">
        <v>51</v>
      </c>
      <c r="M60" s="23" t="s">
        <v>38</v>
      </c>
      <c r="N60" s="38">
        <v>37381.0</v>
      </c>
      <c r="O60" s="39" t="s">
        <v>39</v>
      </c>
      <c r="P60" s="39" t="s">
        <v>621</v>
      </c>
      <c r="Q60" s="40" t="s">
        <v>622</v>
      </c>
      <c r="R60" s="28" t="s">
        <v>623</v>
      </c>
      <c r="S60" s="28" t="s">
        <v>624</v>
      </c>
      <c r="T60" s="28" t="s">
        <v>625</v>
      </c>
      <c r="U60" s="28" t="s">
        <v>45</v>
      </c>
      <c r="V60" s="41">
        <v>4469125.0</v>
      </c>
      <c r="W60" s="42" t="s">
        <v>626</v>
      </c>
      <c r="X60" s="28" t="s">
        <v>627</v>
      </c>
      <c r="Y60" s="31">
        <f t="shared" si="1"/>
        <v>60</v>
      </c>
      <c r="Z60" s="32" t="s">
        <v>628</v>
      </c>
      <c r="AA60" s="16">
        <f>IFERROR(__xludf.DUMMYFUNCTION("IFERROR(QUERY(Conscrito!$A$3:$CU112, ""SELECT CU WHERE B = '"" &amp; $A60 &amp; ""'""),"""")"),60.0)</f>
        <v>60</v>
      </c>
      <c r="AB60" s="16" t="str">
        <f>IFERROR(__xludf.DUMMYFUNCTION("IFERROR(QUERY(Conscrito!$A$3:$CU112, ""SELECT CQ WHERE B = '"" &amp; $A60 &amp; ""'""),"""")"),"Sim")</f>
        <v>Sim</v>
      </c>
      <c r="AC60" s="16">
        <v>3.0</v>
      </c>
      <c r="AD60" s="16">
        <v>657.0</v>
      </c>
      <c r="AE60" s="21" t="s">
        <v>629</v>
      </c>
    </row>
    <row r="61">
      <c r="A61" s="15" t="s">
        <v>630</v>
      </c>
      <c r="B61" s="16">
        <v>3.20003986933E11</v>
      </c>
      <c r="C61" s="17">
        <v>44624.0</v>
      </c>
      <c r="D61" s="18">
        <v>0.4583333333333333</v>
      </c>
      <c r="E61" s="19" t="s">
        <v>35</v>
      </c>
      <c r="F61" s="19" t="s">
        <v>36</v>
      </c>
      <c r="G61" s="16">
        <v>1.0</v>
      </c>
      <c r="H61" s="19" t="str">
        <f>IFERROR(__xludf.DUMMYFUNCTION("IFERROR(IF(QUERY('S2'!$A$3:$D112, ""SELECT C WHERE A = '"" &amp; $A61 &amp; ""'""),""Averiguar"",""""),"""")"),"")</f>
        <v/>
      </c>
      <c r="I61" s="20" t="str">
        <f>IFERROR(__xludf.DUMMYFUNCTION("IFERROR(QUERY(DBI!$A$2:$Y112, ""SELECT Y WHERE B = '"" &amp; $A61 &amp; ""'""),"""")"),"")</f>
        <v/>
      </c>
      <c r="J61" s="21" t="str">
        <f>IFERROR(__xludf.DUMMYFUNCTION("IFERROR(QUERY(Medico!$A$3:$Q112, ""SELECT P WHERE B = '"" &amp; $A61 &amp; ""'""),"""")"),"Indicado")</f>
        <v>Indicado</v>
      </c>
      <c r="K61" s="22" t="str">
        <f>IFERROR(__xludf.DUMMYFUNCTION("IFERROR(QUERY(Odonto!$A$3:$K112, ""SELECT J WHERE B = '"" &amp; $A61 &amp; ""'""),"""")"),"Indicado")</f>
        <v>Indicado</v>
      </c>
      <c r="L61" s="16" t="s">
        <v>51</v>
      </c>
      <c r="M61" s="23" t="s">
        <v>38</v>
      </c>
      <c r="N61" s="38">
        <v>37382.0</v>
      </c>
      <c r="O61" s="39" t="s">
        <v>39</v>
      </c>
      <c r="P61" s="39" t="s">
        <v>631</v>
      </c>
      <c r="Q61" s="40" t="s">
        <v>632</v>
      </c>
      <c r="R61" s="28" t="s">
        <v>633</v>
      </c>
      <c r="S61" s="28" t="s">
        <v>634</v>
      </c>
      <c r="T61" s="28" t="s">
        <v>635</v>
      </c>
      <c r="U61" s="28" t="s">
        <v>45</v>
      </c>
      <c r="V61" s="61">
        <v>3546000.0</v>
      </c>
      <c r="W61" s="42" t="s">
        <v>636</v>
      </c>
      <c r="X61" s="28" t="s">
        <v>637</v>
      </c>
      <c r="Y61" s="31">
        <f t="shared" si="1"/>
        <v>61</v>
      </c>
      <c r="Z61" s="32" t="s">
        <v>638</v>
      </c>
      <c r="AA61" s="16">
        <f>IFERROR(__xludf.DUMMYFUNCTION("IFERROR(QUERY(Conscrito!$A$3:$CU112, ""SELECT CU WHERE B = '"" &amp; $A61 &amp; ""'""),"""")"),61.0)</f>
        <v>61</v>
      </c>
      <c r="AB61" s="16" t="str">
        <f>IFERROR(__xludf.DUMMYFUNCTION("IFERROR(QUERY(Conscrito!$A$3:$CU112, ""SELECT CQ WHERE B = '"" &amp; $A61 &amp; ""'""),"""")"),"Sim")</f>
        <v>Sim</v>
      </c>
      <c r="AC61" s="16">
        <v>1.0</v>
      </c>
      <c r="AD61" s="16">
        <v>658.0</v>
      </c>
      <c r="AE61" s="21" t="s">
        <v>639</v>
      </c>
    </row>
    <row r="62">
      <c r="A62" s="15" t="s">
        <v>640</v>
      </c>
      <c r="B62" s="16">
        <v>3.20004220529E11</v>
      </c>
      <c r="C62" s="17">
        <v>44625.0</v>
      </c>
      <c r="D62" s="18">
        <v>0.3333333333333333</v>
      </c>
      <c r="E62" s="19" t="s">
        <v>35</v>
      </c>
      <c r="F62" s="19" t="s">
        <v>36</v>
      </c>
      <c r="G62" s="16">
        <v>19.0</v>
      </c>
      <c r="H62" s="19" t="str">
        <f>IFERROR(__xludf.DUMMYFUNCTION("IFERROR(IF(QUERY('S2'!$A$3:$D112, ""SELECT C WHERE A = '"" &amp; $A62 &amp; ""'""),""Averiguar"",""""),"""")"),"")</f>
        <v/>
      </c>
      <c r="I62" s="20" t="str">
        <f>IFERROR(__xludf.DUMMYFUNCTION("IFERROR(QUERY(DBI!$A$2:$Y112, ""SELECT Y WHERE B = '"" &amp; $A62 &amp; ""'""),"""")"),"")</f>
        <v/>
      </c>
      <c r="J62" s="21" t="str">
        <f>IFERROR(__xludf.DUMMYFUNCTION("IFERROR(QUERY(Medico!$A$3:$Q112, ""SELECT P WHERE B = '"" &amp; $A62 &amp; ""'""),"""")"),"Indicado")</f>
        <v>Indicado</v>
      </c>
      <c r="K62" s="22" t="str">
        <f>IFERROR(__xludf.DUMMYFUNCTION("IFERROR(QUERY(Odonto!$A$3:$K112, ""SELECT J WHERE B = '"" &amp; $A62 &amp; ""'""),"""")"),"Indicado")</f>
        <v>Indicado</v>
      </c>
      <c r="L62" s="16" t="s">
        <v>84</v>
      </c>
      <c r="M62" s="23" t="s">
        <v>38</v>
      </c>
      <c r="N62" s="38">
        <v>37391.0</v>
      </c>
      <c r="O62" s="39" t="s">
        <v>39</v>
      </c>
      <c r="P62" s="39" t="s">
        <v>641</v>
      </c>
      <c r="Q62" s="40" t="s">
        <v>642</v>
      </c>
      <c r="R62" s="28" t="s">
        <v>643</v>
      </c>
      <c r="S62" s="28" t="s">
        <v>644</v>
      </c>
      <c r="T62" s="28" t="s">
        <v>645</v>
      </c>
      <c r="U62" s="28" t="s">
        <v>45</v>
      </c>
      <c r="V62" s="41">
        <v>4425000.0</v>
      </c>
      <c r="W62" s="42" t="s">
        <v>646</v>
      </c>
      <c r="X62" s="28" t="s">
        <v>647</v>
      </c>
      <c r="Y62" s="31">
        <f t="shared" si="1"/>
        <v>62</v>
      </c>
      <c r="Z62" s="32" t="s">
        <v>648</v>
      </c>
      <c r="AA62" s="16">
        <f>IFERROR(__xludf.DUMMYFUNCTION("IFERROR(QUERY(Conscrito!$A$3:$CU112, ""SELECT CU WHERE B = '"" &amp; $A62 &amp; ""'""),"""")"),62.0)</f>
        <v>62</v>
      </c>
      <c r="AB62" s="16" t="str">
        <f>IFERROR(__xludf.DUMMYFUNCTION("IFERROR(QUERY(Conscrito!$A$3:$CU112, ""SELECT CQ WHERE B = '"" &amp; $A62 &amp; ""'""),"""")"),"Sim")</f>
        <v>Sim</v>
      </c>
      <c r="AC62" s="16">
        <v>3.0</v>
      </c>
      <c r="AD62" s="16">
        <v>659.0</v>
      </c>
      <c r="AE62" s="21" t="s">
        <v>649</v>
      </c>
    </row>
    <row r="63">
      <c r="A63" s="15" t="s">
        <v>650</v>
      </c>
      <c r="B63" s="16">
        <v>3.20004005998E11</v>
      </c>
      <c r="C63" s="17">
        <v>44626.0</v>
      </c>
      <c r="D63" s="18">
        <v>0.375</v>
      </c>
      <c r="E63" s="19" t="s">
        <v>35</v>
      </c>
      <c r="F63" s="19" t="s">
        <v>36</v>
      </c>
      <c r="G63" s="16">
        <v>17.0</v>
      </c>
      <c r="H63" s="19" t="str">
        <f>IFERROR(__xludf.DUMMYFUNCTION("IFERROR(IF(QUERY('S2'!$A$3:$D112, ""SELECT C WHERE A = '"" &amp; $A63 &amp; ""'""),""Averiguar"",""""),"""")"),"")</f>
        <v/>
      </c>
      <c r="I63" s="20" t="str">
        <f>IFERROR(__xludf.DUMMYFUNCTION("IFERROR(QUERY(DBI!$A$2:$Y112, ""SELECT Y WHERE B = '"" &amp; $A63 &amp; ""'""),"""")"),"")</f>
        <v/>
      </c>
      <c r="J63" s="21" t="str">
        <f>IFERROR(__xludf.DUMMYFUNCTION("IFERROR(QUERY(Medico!$A$3:$Q112, ""SELECT P WHERE B = '"" &amp; $A63 &amp; ""'""),"""")"),"Indicado")</f>
        <v>Indicado</v>
      </c>
      <c r="K63" s="22" t="str">
        <f>IFERROR(__xludf.DUMMYFUNCTION("IFERROR(QUERY(Odonto!$A$3:$K112, ""SELECT J WHERE B = '"" &amp; $A63 &amp; ""'""),"""")"),"Indicado")</f>
        <v>Indicado</v>
      </c>
      <c r="L63" s="16" t="s">
        <v>51</v>
      </c>
      <c r="M63" s="23" t="s">
        <v>38</v>
      </c>
      <c r="N63" s="38">
        <v>37393.0</v>
      </c>
      <c r="O63" s="39" t="s">
        <v>39</v>
      </c>
      <c r="P63" s="39" t="s">
        <v>651</v>
      </c>
      <c r="Q63" s="40" t="s">
        <v>652</v>
      </c>
      <c r="R63" s="28" t="s">
        <v>653</v>
      </c>
      <c r="S63" s="28" t="s">
        <v>654</v>
      </c>
      <c r="T63" s="28" t="s">
        <v>655</v>
      </c>
      <c r="U63" s="28" t="s">
        <v>45</v>
      </c>
      <c r="V63" s="41">
        <v>3729180.0</v>
      </c>
      <c r="W63" s="42" t="s">
        <v>656</v>
      </c>
      <c r="X63" s="28" t="s">
        <v>657</v>
      </c>
      <c r="Y63" s="31">
        <f t="shared" si="1"/>
        <v>63</v>
      </c>
      <c r="Z63" s="32" t="s">
        <v>658</v>
      </c>
      <c r="AA63" s="16">
        <f>IFERROR(__xludf.DUMMYFUNCTION("IFERROR(QUERY(Conscrito!$A$3:$CU112, ""SELECT CU WHERE B = '"" &amp; $A63 &amp; ""'""),"""")"),63.0)</f>
        <v>63</v>
      </c>
      <c r="AB63" s="16" t="str">
        <f>IFERROR(__xludf.DUMMYFUNCTION("IFERROR(QUERY(Conscrito!$A$3:$CU112, ""SELECT CQ WHERE B = '"" &amp; $A63 &amp; ""'""),"""")"),"Sim")</f>
        <v>Sim</v>
      </c>
      <c r="AC63" s="16">
        <v>3.0</v>
      </c>
      <c r="AD63" s="16">
        <v>660.0</v>
      </c>
      <c r="AE63" s="21" t="s">
        <v>659</v>
      </c>
    </row>
    <row r="64">
      <c r="A64" s="15" t="s">
        <v>660</v>
      </c>
      <c r="B64" s="16">
        <v>3.20004302322E11</v>
      </c>
      <c r="C64" s="17">
        <v>44627.0</v>
      </c>
      <c r="D64" s="18">
        <v>0.4166666666666667</v>
      </c>
      <c r="E64" s="19" t="s">
        <v>35</v>
      </c>
      <c r="F64" s="19" t="s">
        <v>36</v>
      </c>
      <c r="G64" s="16">
        <v>8.0</v>
      </c>
      <c r="H64" s="19" t="str">
        <f>IFERROR(__xludf.DUMMYFUNCTION("IFERROR(IF(QUERY('S2'!$A$3:$D112, ""SELECT C WHERE A = '"" &amp; $A64 &amp; ""'""),""Averiguar"",""""),"""")"),"")</f>
        <v/>
      </c>
      <c r="I64" s="20" t="str">
        <f>IFERROR(__xludf.DUMMYFUNCTION("IFERROR(QUERY(DBI!$A$2:$Y112, ""SELECT Y WHERE B = '"" &amp; $A64 &amp; ""'""),"""")"),"")</f>
        <v/>
      </c>
      <c r="J64" s="21" t="str">
        <f>IFERROR(__xludf.DUMMYFUNCTION("IFERROR(QUERY(Medico!$A$3:$Q112, ""SELECT P WHERE B = '"" &amp; $A64 &amp; ""'""),"""")"),"Indicado")</f>
        <v>Indicado</v>
      </c>
      <c r="K64" s="22" t="str">
        <f>IFERROR(__xludf.DUMMYFUNCTION("IFERROR(QUERY(Odonto!$A$3:$K112, ""SELECT J WHERE B = '"" &amp; $A64 &amp; ""'""),"""")"),"Indicado")</f>
        <v>Indicado</v>
      </c>
      <c r="L64" s="16" t="s">
        <v>84</v>
      </c>
      <c r="M64" s="23" t="s">
        <v>38</v>
      </c>
      <c r="N64" s="38">
        <v>37398.0</v>
      </c>
      <c r="O64" s="39" t="s">
        <v>39</v>
      </c>
      <c r="P64" s="39" t="s">
        <v>661</v>
      </c>
      <c r="Q64" s="40" t="s">
        <v>662</v>
      </c>
      <c r="R64" s="28" t="s">
        <v>663</v>
      </c>
      <c r="S64" s="28" t="s">
        <v>664</v>
      </c>
      <c r="T64" s="28" t="s">
        <v>665</v>
      </c>
      <c r="U64" s="28" t="s">
        <v>45</v>
      </c>
      <c r="V64" s="41">
        <v>4195110.0</v>
      </c>
      <c r="W64" s="42" t="s">
        <v>666</v>
      </c>
      <c r="X64" s="28" t="s">
        <v>667</v>
      </c>
      <c r="Y64" s="31">
        <f t="shared" si="1"/>
        <v>64</v>
      </c>
      <c r="Z64" s="32" t="s">
        <v>668</v>
      </c>
      <c r="AA64" s="16">
        <f>IFERROR(__xludf.DUMMYFUNCTION("IFERROR(QUERY(Conscrito!$A$3:$CU112, ""SELECT CU WHERE B = '"" &amp; $A64 &amp; ""'""),"""")"),64.0)</f>
        <v>64</v>
      </c>
      <c r="AB64" s="16" t="str">
        <f>IFERROR(__xludf.DUMMYFUNCTION("IFERROR(QUERY(Conscrito!$A$3:$CU112, ""SELECT CQ WHERE B = '"" &amp; $A64 &amp; ""'""),"""")"),"Sim")</f>
        <v>Sim</v>
      </c>
      <c r="AC64" s="16">
        <v>2.0</v>
      </c>
      <c r="AD64" s="16">
        <v>661.0</v>
      </c>
      <c r="AE64" s="21" t="s">
        <v>669</v>
      </c>
    </row>
    <row r="65">
      <c r="A65" s="15" t="s">
        <v>670</v>
      </c>
      <c r="B65" s="16">
        <v>3.20004333749E11</v>
      </c>
      <c r="C65" s="17">
        <v>44628.0</v>
      </c>
      <c r="D65" s="18">
        <v>0.4583333333333333</v>
      </c>
      <c r="E65" s="19" t="s">
        <v>35</v>
      </c>
      <c r="F65" s="19" t="s">
        <v>36</v>
      </c>
      <c r="G65" s="16">
        <v>5.0</v>
      </c>
      <c r="H65" s="19" t="str">
        <f>IFERROR(__xludf.DUMMYFUNCTION("IFERROR(IF(QUERY('S2'!$A$3:$D112, ""SELECT C WHERE A = '"" &amp; $A65 &amp; ""'""),""Averiguar"",""""),"""")"),"")</f>
        <v/>
      </c>
      <c r="I65" s="20" t="str">
        <f>IFERROR(__xludf.DUMMYFUNCTION("IFERROR(QUERY(DBI!$A$2:$Y112, ""SELECT Y WHERE B = '"" &amp; $A65 &amp; ""'""),"""")"),"")</f>
        <v/>
      </c>
      <c r="J65" s="21" t="str">
        <f>IFERROR(__xludf.DUMMYFUNCTION("IFERROR(QUERY(Medico!$A$3:$Q112, ""SELECT P WHERE B = '"" &amp; $A65 &amp; ""'""),"""")"),"Indicado")</f>
        <v>Indicado</v>
      </c>
      <c r="K65" s="22" t="str">
        <f>IFERROR(__xludf.DUMMYFUNCTION("IFERROR(QUERY(Odonto!$A$3:$K112, ""SELECT J WHERE B = '"" &amp; $A65 &amp; ""'""),"""")"),"Contraindicado")</f>
        <v>Contraindicado</v>
      </c>
      <c r="L65" s="16" t="s">
        <v>37</v>
      </c>
      <c r="M65" s="23" t="s">
        <v>38</v>
      </c>
      <c r="N65" s="38">
        <v>37402.0</v>
      </c>
      <c r="O65" s="39" t="s">
        <v>671</v>
      </c>
      <c r="P65" s="39" t="s">
        <v>672</v>
      </c>
      <c r="Q65" s="40" t="s">
        <v>673</v>
      </c>
      <c r="R65" s="28" t="s">
        <v>674</v>
      </c>
      <c r="S65" s="28" t="s">
        <v>675</v>
      </c>
      <c r="T65" s="28" t="s">
        <v>676</v>
      </c>
      <c r="U65" s="28" t="s">
        <v>45</v>
      </c>
      <c r="V65" s="41">
        <v>5711120.0</v>
      </c>
      <c r="W65" s="42" t="s">
        <v>677</v>
      </c>
      <c r="X65" s="28" t="s">
        <v>678</v>
      </c>
      <c r="Y65" s="31">
        <f t="shared" si="1"/>
        <v>65</v>
      </c>
      <c r="Z65" s="32" t="s">
        <v>679</v>
      </c>
      <c r="AA65" s="16">
        <f>IFERROR(__xludf.DUMMYFUNCTION("IFERROR(QUERY(Conscrito!$A$3:$CU112, ""SELECT CU WHERE B = '"" &amp; $A65 &amp; ""'""),"""")"),65.0)</f>
        <v>65</v>
      </c>
      <c r="AB65" s="16" t="str">
        <f>IFERROR(__xludf.DUMMYFUNCTION("IFERROR(QUERY(Conscrito!$A$3:$CU112, ""SELECT CQ WHERE B = '"" &amp; $A65 &amp; ""'""),"""")"),"Sim")</f>
        <v>Sim</v>
      </c>
      <c r="AC65" s="16">
        <v>1.0</v>
      </c>
      <c r="AD65" s="16">
        <v>662.0</v>
      </c>
      <c r="AE65" s="21" t="s">
        <v>680</v>
      </c>
    </row>
    <row r="66">
      <c r="A66" s="15" t="s">
        <v>681</v>
      </c>
      <c r="B66" s="16">
        <v>3.20004309708E11</v>
      </c>
      <c r="C66" s="17">
        <v>44629.0</v>
      </c>
      <c r="D66" s="18">
        <v>0.3333333333333333</v>
      </c>
      <c r="E66" s="19" t="s">
        <v>35</v>
      </c>
      <c r="F66" s="19" t="s">
        <v>36</v>
      </c>
      <c r="G66" s="16">
        <v>4.0</v>
      </c>
      <c r="H66" s="19" t="str">
        <f>IFERROR(__xludf.DUMMYFUNCTION("IFERROR(IF(QUERY('S2'!$A$3:$D112, ""SELECT C WHERE A = '"" &amp; $A66 &amp; ""'""),""Averiguar"",""""),"""")"),"")</f>
        <v/>
      </c>
      <c r="I66" s="20" t="str">
        <f>IFERROR(__xludf.DUMMYFUNCTION("IFERROR(QUERY(DBI!$A$2:$Y112, ""SELECT Y WHERE B = '"" &amp; $A66 &amp; ""'""),"""")"),"")</f>
        <v/>
      </c>
      <c r="J66" s="21" t="str">
        <f>IFERROR(__xludf.DUMMYFUNCTION("IFERROR(QUERY(Medico!$A$3:$Q112, ""SELECT P WHERE B = '"" &amp; $A66 &amp; ""'""),"""")"),"Indicado")</f>
        <v>Indicado</v>
      </c>
      <c r="K66" s="22" t="str">
        <f>IFERROR(__xludf.DUMMYFUNCTION("IFERROR(QUERY(Odonto!$A$3:$K112, ""SELECT J WHERE B = '"" &amp; $A66 &amp; ""'""),"""")"),"Indicado")</f>
        <v>Indicado</v>
      </c>
      <c r="L66" s="16" t="s">
        <v>51</v>
      </c>
      <c r="M66" s="23" t="s">
        <v>38</v>
      </c>
      <c r="N66" s="38">
        <v>37403.0</v>
      </c>
      <c r="O66" s="39" t="s">
        <v>204</v>
      </c>
      <c r="P66" s="39" t="s">
        <v>682</v>
      </c>
      <c r="Q66" s="40" t="s">
        <v>683</v>
      </c>
      <c r="R66" s="28" t="s">
        <v>684</v>
      </c>
      <c r="S66" s="28" t="s">
        <v>685</v>
      </c>
      <c r="T66" s="28" t="s">
        <v>686</v>
      </c>
      <c r="U66" s="28" t="s">
        <v>45</v>
      </c>
      <c r="V66" s="41">
        <v>9993170.0</v>
      </c>
      <c r="W66" s="42" t="s">
        <v>687</v>
      </c>
      <c r="X66" s="28" t="s">
        <v>688</v>
      </c>
      <c r="Y66" s="31">
        <f t="shared" si="1"/>
        <v>66</v>
      </c>
      <c r="Z66" s="32"/>
      <c r="AA66" s="16">
        <f>IFERROR(__xludf.DUMMYFUNCTION("IFERROR(QUERY(Conscrito!$A$3:$CU112, ""SELECT CU WHERE B = '"" &amp; $A66 &amp; ""'""),"""")"),66.0)</f>
        <v>66</v>
      </c>
      <c r="AB66" s="16" t="str">
        <f>IFERROR(__xludf.DUMMYFUNCTION("IFERROR(QUERY(Conscrito!$A$3:$CU112, ""SELECT CQ WHERE B = '"" &amp; $A66 &amp; ""'""),"""")"),"Sim")</f>
        <v>Sim</v>
      </c>
      <c r="AC66" s="16">
        <v>1.0</v>
      </c>
      <c r="AD66" s="16">
        <v>663.0</v>
      </c>
      <c r="AE66" s="21" t="s">
        <v>689</v>
      </c>
    </row>
    <row r="67">
      <c r="A67" s="15" t="s">
        <v>690</v>
      </c>
      <c r="B67" s="16">
        <v>3.20004275044E11</v>
      </c>
      <c r="C67" s="17">
        <v>44630.0</v>
      </c>
      <c r="D67" s="18">
        <v>0.375</v>
      </c>
      <c r="E67" s="19" t="s">
        <v>35</v>
      </c>
      <c r="F67" s="19" t="s">
        <v>36</v>
      </c>
      <c r="G67" s="16">
        <v>7.0</v>
      </c>
      <c r="H67" s="19" t="str">
        <f>IFERROR(__xludf.DUMMYFUNCTION("IFERROR(IF(QUERY('S2'!$A$3:$D112, ""SELECT C WHERE A = '"" &amp; $A67 &amp; ""'""),""Averiguar"",""""),"""")"),"")</f>
        <v/>
      </c>
      <c r="I67" s="20" t="str">
        <f>IFERROR(__xludf.DUMMYFUNCTION("IFERROR(QUERY(DBI!$A$2:$Y112, ""SELECT Y WHERE B = '"" &amp; $A67 &amp; ""'""),"""")"),"")</f>
        <v/>
      </c>
      <c r="J67" s="21" t="str">
        <f>IFERROR(__xludf.DUMMYFUNCTION("IFERROR(QUERY(Medico!$A$3:$Q112, ""SELECT P WHERE B = '"" &amp; $A67 &amp; ""'""),"""")"),"Indicado")</f>
        <v>Indicado</v>
      </c>
      <c r="K67" s="22" t="str">
        <f>IFERROR(__xludf.DUMMYFUNCTION("IFERROR(QUERY(Odonto!$A$3:$K112, ""SELECT J WHERE B = '"" &amp; $A67 &amp; ""'""),"""")"),"Indicado")</f>
        <v>Indicado</v>
      </c>
      <c r="L67" s="16" t="s">
        <v>51</v>
      </c>
      <c r="M67" s="23" t="s">
        <v>38</v>
      </c>
      <c r="N67" s="38">
        <v>37413.0</v>
      </c>
      <c r="O67" s="39" t="s">
        <v>39</v>
      </c>
      <c r="P67" s="39" t="s">
        <v>691</v>
      </c>
      <c r="Q67" s="40" t="s">
        <v>692</v>
      </c>
      <c r="R67" s="28" t="s">
        <v>693</v>
      </c>
      <c r="S67" s="28" t="s">
        <v>694</v>
      </c>
      <c r="T67" s="28" t="s">
        <v>695</v>
      </c>
      <c r="U67" s="28" t="s">
        <v>45</v>
      </c>
      <c r="V67" s="41">
        <v>8441110.0</v>
      </c>
      <c r="W67" s="42" t="s">
        <v>696</v>
      </c>
      <c r="X67" s="28" t="s">
        <v>697</v>
      </c>
      <c r="Y67" s="31">
        <f t="shared" si="1"/>
        <v>67</v>
      </c>
      <c r="Z67" s="32" t="s">
        <v>698</v>
      </c>
      <c r="AA67" s="16">
        <f>IFERROR(__xludf.DUMMYFUNCTION("IFERROR(QUERY(Conscrito!$A$3:$CU112, ""SELECT CU WHERE B = '"" &amp; $A67 &amp; ""'""),"""")"),67.0)</f>
        <v>67</v>
      </c>
      <c r="AB67" s="16" t="str">
        <f>IFERROR(__xludf.DUMMYFUNCTION("IFERROR(QUERY(Conscrito!$A$3:$CU112, ""SELECT CQ WHERE B = '"" &amp; $A67 &amp; ""'""),"""")"),"Sim")</f>
        <v>Sim</v>
      </c>
      <c r="AC67" s="16">
        <v>1.0</v>
      </c>
      <c r="AD67" s="16">
        <v>664.0</v>
      </c>
      <c r="AE67" s="21" t="s">
        <v>699</v>
      </c>
    </row>
    <row r="68">
      <c r="A68" s="15" t="s">
        <v>700</v>
      </c>
      <c r="B68" s="16">
        <v>3.20004179734E11</v>
      </c>
      <c r="C68" s="17">
        <v>44631.0</v>
      </c>
      <c r="D68" s="18">
        <v>0.4166666666666667</v>
      </c>
      <c r="E68" s="19" t="s">
        <v>35</v>
      </c>
      <c r="F68" s="19" t="s">
        <v>36</v>
      </c>
      <c r="G68" s="16">
        <v>1.0</v>
      </c>
      <c r="H68" s="19" t="str">
        <f>IFERROR(__xludf.DUMMYFUNCTION("IFERROR(IF(QUERY('S2'!$A$3:$D112, ""SELECT C WHERE A = '"" &amp; $A68 &amp; ""'""),""Averiguar"",""""),"""")"),"")</f>
        <v/>
      </c>
      <c r="I68" s="20" t="str">
        <f>IFERROR(__xludf.DUMMYFUNCTION("IFERROR(QUERY(DBI!$A$2:$Y112, ""SELECT Y WHERE B = '"" &amp; $A68 &amp; ""'""),"""")"),"")</f>
        <v/>
      </c>
      <c r="J68" s="21" t="str">
        <f>IFERROR(__xludf.DUMMYFUNCTION("IFERROR(QUERY(Medico!$A$3:$Q112, ""SELECT P WHERE B = '"" &amp; $A68 &amp; ""'""),"""")"),"Indicado")</f>
        <v>Indicado</v>
      </c>
      <c r="K68" s="22" t="str">
        <f>IFERROR(__xludf.DUMMYFUNCTION("IFERROR(QUERY(Odonto!$A$3:$K112, ""SELECT J WHERE B = '"" &amp; $A68 &amp; ""'""),"""")"),"Indicado")</f>
        <v>Indicado</v>
      </c>
      <c r="L68" s="16" t="s">
        <v>37</v>
      </c>
      <c r="M68" s="23" t="s">
        <v>38</v>
      </c>
      <c r="N68" s="38">
        <v>37415.0</v>
      </c>
      <c r="O68" s="39" t="s">
        <v>39</v>
      </c>
      <c r="P68" s="39" t="s">
        <v>701</v>
      </c>
      <c r="Q68" s="40" t="s">
        <v>702</v>
      </c>
      <c r="R68" s="28" t="s">
        <v>703</v>
      </c>
      <c r="S68" s="28" t="s">
        <v>704</v>
      </c>
      <c r="T68" s="28" t="s">
        <v>705</v>
      </c>
      <c r="U68" s="28" t="s">
        <v>45</v>
      </c>
      <c r="V68" s="41">
        <v>3572020.0</v>
      </c>
      <c r="W68" s="42" t="s">
        <v>706</v>
      </c>
      <c r="X68" s="28" t="s">
        <v>707</v>
      </c>
      <c r="Y68" s="31">
        <f t="shared" si="1"/>
        <v>68</v>
      </c>
      <c r="Z68" s="32" t="s">
        <v>708</v>
      </c>
      <c r="AA68" s="16">
        <f>IFERROR(__xludf.DUMMYFUNCTION("IFERROR(QUERY(Conscrito!$A$3:$CU112, ""SELECT CU WHERE B = '"" &amp; $A68 &amp; ""'""),"""")"),68.0)</f>
        <v>68</v>
      </c>
      <c r="AB68" s="16" t="str">
        <f>IFERROR(__xludf.DUMMYFUNCTION("IFERROR(QUERY(Conscrito!$A$3:$CU112, ""SELECT CQ WHERE B = '"" &amp; $A68 &amp; ""'""),"""")"),"Sim")</f>
        <v>Sim</v>
      </c>
      <c r="AC68" s="16">
        <v>1.0</v>
      </c>
      <c r="AD68" s="16">
        <v>665.0</v>
      </c>
      <c r="AE68" s="21" t="s">
        <v>709</v>
      </c>
    </row>
    <row r="69">
      <c r="A69" s="15" t="s">
        <v>710</v>
      </c>
      <c r="B69" s="16">
        <v>3.20004060476E11</v>
      </c>
      <c r="C69" s="17">
        <v>44632.0</v>
      </c>
      <c r="D69" s="18">
        <v>0.4583333333333333</v>
      </c>
      <c r="E69" s="19" t="s">
        <v>35</v>
      </c>
      <c r="F69" s="19" t="s">
        <v>36</v>
      </c>
      <c r="G69" s="16">
        <v>22.0</v>
      </c>
      <c r="H69" s="19" t="str">
        <f>IFERROR(__xludf.DUMMYFUNCTION("IFERROR(IF(QUERY('S2'!$A$3:$D112, ""SELECT C WHERE A = '"" &amp; $A69 &amp; ""'""),""Averiguar"",""""),"""")"),"")</f>
        <v/>
      </c>
      <c r="I69" s="20" t="str">
        <f>IFERROR(__xludf.DUMMYFUNCTION("IFERROR(QUERY(DBI!$A$2:$Y112, ""SELECT Y WHERE B = '"" &amp; $A69 &amp; ""'""),"""")"),"")</f>
        <v/>
      </c>
      <c r="J69" s="21" t="str">
        <f>IFERROR(__xludf.DUMMYFUNCTION("IFERROR(QUERY(Medico!$A$3:$Q112, ""SELECT P WHERE B = '"" &amp; $A69 &amp; ""'""),"""")"),"Indicado")</f>
        <v>Indicado</v>
      </c>
      <c r="K69" s="22" t="str">
        <f>IFERROR(__xludf.DUMMYFUNCTION("IFERROR(QUERY(Odonto!$A$3:$K112, ""SELECT J WHERE B = '"" &amp; $A69 &amp; ""'""),"""")"),"Indicado")</f>
        <v>Indicado</v>
      </c>
      <c r="L69" s="16" t="s">
        <v>51</v>
      </c>
      <c r="M69" s="23" t="s">
        <v>38</v>
      </c>
      <c r="N69" s="38">
        <v>37415.0</v>
      </c>
      <c r="O69" s="39" t="s">
        <v>711</v>
      </c>
      <c r="P69" s="39" t="s">
        <v>712</v>
      </c>
      <c r="Q69" s="40" t="s">
        <v>713</v>
      </c>
      <c r="R69" s="28" t="s">
        <v>714</v>
      </c>
      <c r="S69" s="28" t="s">
        <v>715</v>
      </c>
      <c r="T69" s="28" t="s">
        <v>716</v>
      </c>
      <c r="U69" s="28" t="s">
        <v>45</v>
      </c>
      <c r="V69" s="41">
        <v>4161070.0</v>
      </c>
      <c r="W69" s="42" t="s">
        <v>717</v>
      </c>
      <c r="X69" s="28" t="s">
        <v>718</v>
      </c>
      <c r="Y69" s="31">
        <f t="shared" si="1"/>
        <v>69</v>
      </c>
      <c r="Z69" s="32" t="s">
        <v>719</v>
      </c>
      <c r="AA69" s="16">
        <f>IFERROR(__xludf.DUMMYFUNCTION("IFERROR(QUERY(Conscrito!$A$3:$CU112, ""SELECT CU WHERE B = '"" &amp; $A69 &amp; ""'""),"""")"),69.0)</f>
        <v>69</v>
      </c>
      <c r="AB69" s="16" t="str">
        <f>IFERROR(__xludf.DUMMYFUNCTION("IFERROR(QUERY(Conscrito!$A$3:$CU112, ""SELECT CQ WHERE B = '"" &amp; $A69 &amp; ""'""),"""")"),"Sim")</f>
        <v>Sim</v>
      </c>
      <c r="AC69" s="16">
        <v>3.0</v>
      </c>
      <c r="AD69" s="16">
        <v>666.0</v>
      </c>
      <c r="AE69" s="21" t="s">
        <v>720</v>
      </c>
    </row>
    <row r="70">
      <c r="A70" s="15" t="s">
        <v>721</v>
      </c>
      <c r="B70" s="16">
        <v>3.20004155017E11</v>
      </c>
      <c r="C70" s="17">
        <v>44633.0</v>
      </c>
      <c r="D70" s="18">
        <v>0.3333333333333333</v>
      </c>
      <c r="E70" s="19" t="s">
        <v>35</v>
      </c>
      <c r="F70" s="19" t="s">
        <v>36</v>
      </c>
      <c r="G70" s="16">
        <v>5.0</v>
      </c>
      <c r="H70" s="19" t="str">
        <f>IFERROR(__xludf.DUMMYFUNCTION("IFERROR(IF(QUERY('S2'!$A$3:$D112, ""SELECT C WHERE A = '"" &amp; $A70 &amp; ""'""),""Averiguar"",""""),"""")"),"")</f>
        <v/>
      </c>
      <c r="I70" s="20" t="str">
        <f>IFERROR(__xludf.DUMMYFUNCTION("IFERROR(QUERY(DBI!$A$2:$Y112, ""SELECT Y WHERE B = '"" &amp; $A70 &amp; ""'""),"""")"),"")</f>
        <v/>
      </c>
      <c r="J70" s="21" t="str">
        <f>IFERROR(__xludf.DUMMYFUNCTION("IFERROR(QUERY(Medico!$A$3:$Q112, ""SELECT P WHERE B = '"" &amp; $A70 &amp; ""'""),"""")"),"Indicado")</f>
        <v>Indicado</v>
      </c>
      <c r="K70" s="22" t="str">
        <f>IFERROR(__xludf.DUMMYFUNCTION("IFERROR(QUERY(Odonto!$A$3:$K112, ""SELECT J WHERE B = '"" &amp; $A70 &amp; ""'""),"""")"),"Indicado")</f>
        <v>Indicado</v>
      </c>
      <c r="L70" s="16" t="s">
        <v>51</v>
      </c>
      <c r="M70" s="23" t="s">
        <v>38</v>
      </c>
      <c r="N70" s="38">
        <v>37416.0</v>
      </c>
      <c r="O70" s="39" t="s">
        <v>39</v>
      </c>
      <c r="P70" s="39" t="s">
        <v>722</v>
      </c>
      <c r="Q70" s="40" t="s">
        <v>723</v>
      </c>
      <c r="R70" s="28" t="s">
        <v>724</v>
      </c>
      <c r="S70" s="28" t="s">
        <v>725</v>
      </c>
      <c r="T70" s="28" t="s">
        <v>726</v>
      </c>
      <c r="U70" s="28" t="s">
        <v>45</v>
      </c>
      <c r="V70" s="41">
        <v>4186025.0</v>
      </c>
      <c r="W70" s="42" t="s">
        <v>727</v>
      </c>
      <c r="X70" s="28" t="s">
        <v>728</v>
      </c>
      <c r="Y70" s="31">
        <f t="shared" si="1"/>
        <v>70</v>
      </c>
      <c r="Z70" s="32" t="s">
        <v>729</v>
      </c>
      <c r="AA70" s="16">
        <f>IFERROR(__xludf.DUMMYFUNCTION("IFERROR(QUERY(Conscrito!$A$3:$CU112, ""SELECT CU WHERE B = '"" &amp; $A70 &amp; ""'""),"""")"),70.0)</f>
        <v>70</v>
      </c>
      <c r="AB70" s="16" t="str">
        <f>IFERROR(__xludf.DUMMYFUNCTION("IFERROR(QUERY(Conscrito!$A$3:$CU112, ""SELECT CQ WHERE B = '"" &amp; $A70 &amp; ""'""),"""")"),"Sim")</f>
        <v>Sim</v>
      </c>
      <c r="AC70" s="16">
        <v>1.0</v>
      </c>
      <c r="AD70" s="16">
        <v>667.0</v>
      </c>
      <c r="AE70" s="21" t="s">
        <v>730</v>
      </c>
    </row>
    <row r="71">
      <c r="A71" s="15" t="s">
        <v>731</v>
      </c>
      <c r="B71" s="16">
        <v>3.20004010304E11</v>
      </c>
      <c r="C71" s="17">
        <v>44634.0</v>
      </c>
      <c r="D71" s="18">
        <v>0.375</v>
      </c>
      <c r="E71" s="19" t="s">
        <v>35</v>
      </c>
      <c r="F71" s="19" t="s">
        <v>36</v>
      </c>
      <c r="G71" s="16">
        <v>13.0</v>
      </c>
      <c r="H71" s="19" t="str">
        <f>IFERROR(__xludf.DUMMYFUNCTION("IFERROR(IF(QUERY('S2'!$A$3:$D112, ""SELECT C WHERE A = '"" &amp; $A71 &amp; ""'""),""Averiguar"",""""),"""")"),"")</f>
        <v/>
      </c>
      <c r="I71" s="20" t="str">
        <f>IFERROR(__xludf.DUMMYFUNCTION("IFERROR(QUERY(DBI!$A$2:$Y112, ""SELECT Y WHERE B = '"" &amp; $A71 &amp; ""'""),"""")"),"")</f>
        <v/>
      </c>
      <c r="J71" s="21" t="str">
        <f>IFERROR(__xludf.DUMMYFUNCTION("IFERROR(QUERY(Medico!$A$3:$Q112, ""SELECT P WHERE B = '"" &amp; $A71 &amp; ""'""),"""")"),"Indicado")</f>
        <v>Indicado</v>
      </c>
      <c r="K71" s="22" t="str">
        <f>IFERROR(__xludf.DUMMYFUNCTION("IFERROR(QUERY(Odonto!$A$3:$K112, ""SELECT J WHERE B = '"" &amp; $A71 &amp; ""'""),"""")"),"Indicado")</f>
        <v>Indicado</v>
      </c>
      <c r="L71" s="16" t="s">
        <v>37</v>
      </c>
      <c r="M71" s="23" t="s">
        <v>38</v>
      </c>
      <c r="N71" s="38">
        <v>37417.0</v>
      </c>
      <c r="O71" s="39" t="s">
        <v>732</v>
      </c>
      <c r="P71" s="39" t="s">
        <v>733</v>
      </c>
      <c r="Q71" s="40" t="s">
        <v>734</v>
      </c>
      <c r="R71" s="28" t="s">
        <v>735</v>
      </c>
      <c r="S71" s="28" t="s">
        <v>736</v>
      </c>
      <c r="T71" s="28" t="s">
        <v>737</v>
      </c>
      <c r="U71" s="28" t="s">
        <v>45</v>
      </c>
      <c r="V71" s="41">
        <v>1213001.0</v>
      </c>
      <c r="W71" s="42" t="s">
        <v>738</v>
      </c>
      <c r="X71" s="28" t="s">
        <v>739</v>
      </c>
      <c r="Y71" s="31">
        <f t="shared" si="1"/>
        <v>71</v>
      </c>
      <c r="Z71" s="32" t="s">
        <v>740</v>
      </c>
      <c r="AA71" s="16">
        <f>IFERROR(__xludf.DUMMYFUNCTION("IFERROR(QUERY(Conscrito!$A$3:$CU112, ""SELECT CU WHERE B = '"" &amp; $A71 &amp; ""'""),"""")"),71.0)</f>
        <v>71</v>
      </c>
      <c r="AB71" s="16" t="str">
        <f>IFERROR(__xludf.DUMMYFUNCTION("IFERROR(QUERY(Conscrito!$A$3:$CU112, ""SELECT CQ WHERE B = '"" &amp; $A71 &amp; ""'""),"""")"),"Sim")</f>
        <v>Sim</v>
      </c>
      <c r="AC71" s="16">
        <v>2.0</v>
      </c>
      <c r="AD71" s="16">
        <v>668.0</v>
      </c>
      <c r="AE71" s="21" t="s">
        <v>741</v>
      </c>
    </row>
    <row r="72">
      <c r="A72" s="15" t="s">
        <v>742</v>
      </c>
      <c r="B72" s="16">
        <v>3.20004215996E11</v>
      </c>
      <c r="C72" s="17">
        <v>44635.0</v>
      </c>
      <c r="D72" s="18">
        <v>0.4166666666666667</v>
      </c>
      <c r="E72" s="19" t="s">
        <v>35</v>
      </c>
      <c r="F72" s="19" t="s">
        <v>36</v>
      </c>
      <c r="G72" s="16">
        <v>6.0</v>
      </c>
      <c r="H72" s="19" t="str">
        <f>IFERROR(__xludf.DUMMYFUNCTION("IFERROR(IF(QUERY('S2'!$A$3:$D112, ""SELECT C WHERE A = '"" &amp; $A72 &amp; ""'""),""Averiguar"",""""),"""")"),"")</f>
        <v/>
      </c>
      <c r="I72" s="20" t="str">
        <f>IFERROR(__xludf.DUMMYFUNCTION("IFERROR(QUERY(DBI!$A$2:$Y112, ""SELECT Y WHERE B = '"" &amp; $A72 &amp; ""'""),"""")"),"")</f>
        <v/>
      </c>
      <c r="J72" s="21" t="str">
        <f>IFERROR(__xludf.DUMMYFUNCTION("IFERROR(QUERY(Medico!$A$3:$Q112, ""SELECT P WHERE B = '"" &amp; $A72 &amp; ""'""),"""")"),"Indicado")</f>
        <v>Indicado</v>
      </c>
      <c r="K72" s="22" t="str">
        <f>IFERROR(__xludf.DUMMYFUNCTION("IFERROR(QUERY(Odonto!$A$3:$K112, ""SELECT J WHERE B = '"" &amp; $A72 &amp; ""'""),"""")"),"Indicado")</f>
        <v>Indicado</v>
      </c>
      <c r="L72" s="16" t="s">
        <v>51</v>
      </c>
      <c r="M72" s="23" t="s">
        <v>38</v>
      </c>
      <c r="N72" s="38">
        <v>37420.0</v>
      </c>
      <c r="O72" s="39" t="s">
        <v>39</v>
      </c>
      <c r="P72" s="39" t="s">
        <v>743</v>
      </c>
      <c r="Q72" s="40" t="s">
        <v>744</v>
      </c>
      <c r="R72" s="28" t="s">
        <v>745</v>
      </c>
      <c r="S72" s="28" t="s">
        <v>746</v>
      </c>
      <c r="T72" s="28" t="s">
        <v>747</v>
      </c>
      <c r="U72" s="28" t="s">
        <v>45</v>
      </c>
      <c r="V72" s="41">
        <v>3910040.0</v>
      </c>
      <c r="W72" s="42" t="s">
        <v>748</v>
      </c>
      <c r="X72" s="28" t="s">
        <v>749</v>
      </c>
      <c r="Y72" s="31">
        <f t="shared" si="1"/>
        <v>72</v>
      </c>
      <c r="Z72" s="32" t="s">
        <v>750</v>
      </c>
      <c r="AA72" s="16">
        <f>IFERROR(__xludf.DUMMYFUNCTION("IFERROR(QUERY(Conscrito!$A$3:$CU112, ""SELECT CU WHERE B = '"" &amp; $A72 &amp; ""'""),"""")"),72.0)</f>
        <v>72</v>
      </c>
      <c r="AB72" s="16" t="str">
        <f>IFERROR(__xludf.DUMMYFUNCTION("IFERROR(QUERY(Conscrito!$A$3:$CU112, ""SELECT CQ WHERE B = '"" &amp; $A72 &amp; ""'""),"""")"),"Sim")</f>
        <v>Sim</v>
      </c>
      <c r="AC72" s="16">
        <v>1.0</v>
      </c>
      <c r="AD72" s="16">
        <v>669.0</v>
      </c>
      <c r="AE72" s="62" t="s">
        <v>751</v>
      </c>
    </row>
    <row r="73">
      <c r="A73" s="15" t="s">
        <v>752</v>
      </c>
      <c r="B73" s="16">
        <v>3.20004006092E11</v>
      </c>
      <c r="C73" s="17">
        <v>44636.0</v>
      </c>
      <c r="D73" s="18">
        <v>0.4583333333333333</v>
      </c>
      <c r="E73" s="19" t="s">
        <v>35</v>
      </c>
      <c r="F73" s="19" t="s">
        <v>36</v>
      </c>
      <c r="G73" s="16">
        <v>15.0</v>
      </c>
      <c r="H73" s="19" t="str">
        <f>IFERROR(__xludf.DUMMYFUNCTION("IFERROR(IF(QUERY('S2'!$A$3:$D112, ""SELECT C WHERE A = '"" &amp; $A73 &amp; ""'""),""Averiguar"",""""),"""")"),"")</f>
        <v/>
      </c>
      <c r="I73" s="20" t="str">
        <f>IFERROR(__xludf.DUMMYFUNCTION("IFERROR(QUERY(DBI!$A$2:$Y112, ""SELECT Y WHERE B = '"" &amp; $A73 &amp; ""'""),"""")"),"")</f>
        <v/>
      </c>
      <c r="J73" s="21" t="str">
        <f>IFERROR(__xludf.DUMMYFUNCTION("IFERROR(QUERY(Medico!$A$3:$Q112, ""SELECT P WHERE B = '"" &amp; $A73 &amp; ""'""),"""")"),"Indicado")</f>
        <v>Indicado</v>
      </c>
      <c r="K73" s="22" t="str">
        <f>IFERROR(__xludf.DUMMYFUNCTION("IFERROR(QUERY(Odonto!$A$3:$K112, ""SELECT J WHERE B = '"" &amp; $A73 &amp; ""'""),"""")"),"Indicado")</f>
        <v>Indicado</v>
      </c>
      <c r="L73" s="16" t="s">
        <v>37</v>
      </c>
      <c r="M73" s="23" t="s">
        <v>38</v>
      </c>
      <c r="N73" s="38">
        <v>37423.0</v>
      </c>
      <c r="O73" s="39" t="s">
        <v>39</v>
      </c>
      <c r="P73" s="39" t="s">
        <v>753</v>
      </c>
      <c r="Q73" s="40" t="s">
        <v>754</v>
      </c>
      <c r="R73" s="28" t="s">
        <v>755</v>
      </c>
      <c r="S73" s="28" t="s">
        <v>756</v>
      </c>
      <c r="T73" s="28" t="s">
        <v>757</v>
      </c>
      <c r="U73" s="28" t="s">
        <v>45</v>
      </c>
      <c r="V73" s="41">
        <v>5398140.0</v>
      </c>
      <c r="W73" s="42" t="s">
        <v>758</v>
      </c>
      <c r="X73" s="28" t="s">
        <v>759</v>
      </c>
      <c r="Y73" s="31">
        <f t="shared" si="1"/>
        <v>73</v>
      </c>
      <c r="Z73" s="32" t="s">
        <v>760</v>
      </c>
      <c r="AA73" s="16">
        <f>IFERROR(__xludf.DUMMYFUNCTION("IFERROR(QUERY(Conscrito!$A$3:$CU112, ""SELECT CU WHERE B = '"" &amp; $A73 &amp; ""'""),"""")"),73.0)</f>
        <v>73</v>
      </c>
      <c r="AB73" s="16" t="str">
        <f>IFERROR(__xludf.DUMMYFUNCTION("IFERROR(QUERY(Conscrito!$A$3:$CU112, ""SELECT CQ WHERE B = '"" &amp; $A73 &amp; ""'""),"""")"),"Sim")</f>
        <v>Sim</v>
      </c>
      <c r="AC73" s="16">
        <v>2.0</v>
      </c>
      <c r="AD73" s="16">
        <v>670.0</v>
      </c>
      <c r="AE73" s="21" t="s">
        <v>761</v>
      </c>
    </row>
    <row r="74">
      <c r="A74" s="15" t="s">
        <v>762</v>
      </c>
      <c r="B74" s="16">
        <v>3.20004139973E11</v>
      </c>
      <c r="C74" s="17">
        <v>44637.0</v>
      </c>
      <c r="D74" s="18">
        <v>0.3333333333333333</v>
      </c>
      <c r="E74" s="19" t="s">
        <v>35</v>
      </c>
      <c r="F74" s="19" t="s">
        <v>36</v>
      </c>
      <c r="G74" s="16">
        <v>16.0</v>
      </c>
      <c r="H74" s="19" t="str">
        <f>IFERROR(__xludf.DUMMYFUNCTION("IFERROR(IF(QUERY('S2'!$A$3:$D112, ""SELECT C WHERE A = '"" &amp; $A74 &amp; ""'""),""Averiguar"",""""),"""")"),"")</f>
        <v/>
      </c>
      <c r="I74" s="20" t="str">
        <f>IFERROR(__xludf.DUMMYFUNCTION("IFERROR(QUERY(DBI!$A$2:$Y112, ""SELECT Y WHERE B = '"" &amp; $A74 &amp; ""'""),"""")"),"")</f>
        <v/>
      </c>
      <c r="J74" s="21" t="str">
        <f>IFERROR(__xludf.DUMMYFUNCTION("IFERROR(QUERY(Medico!$A$3:$Q112, ""SELECT P WHERE B = '"" &amp; $A74 &amp; ""'""),"""")"),"Indicado")</f>
        <v>Indicado</v>
      </c>
      <c r="K74" s="22" t="str">
        <f>IFERROR(__xludf.DUMMYFUNCTION("IFERROR(QUERY(Odonto!$A$3:$K112, ""SELECT J WHERE B = '"" &amp; $A74 &amp; ""'""),"""")"),"Indicado")</f>
        <v>Indicado</v>
      </c>
      <c r="L74" s="16" t="s">
        <v>51</v>
      </c>
      <c r="M74" s="23" t="s">
        <v>38</v>
      </c>
      <c r="N74" s="38">
        <v>37424.0</v>
      </c>
      <c r="O74" s="39" t="s">
        <v>498</v>
      </c>
      <c r="P74" s="39" t="s">
        <v>763</v>
      </c>
      <c r="Q74" s="40" t="s">
        <v>764</v>
      </c>
      <c r="R74" s="28" t="s">
        <v>765</v>
      </c>
      <c r="S74" s="28" t="s">
        <v>766</v>
      </c>
      <c r="T74" s="28" t="s">
        <v>767</v>
      </c>
      <c r="U74" s="28" t="s">
        <v>45</v>
      </c>
      <c r="V74" s="41">
        <v>5686030.0</v>
      </c>
      <c r="W74" s="42" t="s">
        <v>768</v>
      </c>
      <c r="X74" s="28" t="s">
        <v>769</v>
      </c>
      <c r="Y74" s="31">
        <f t="shared" si="1"/>
        <v>74</v>
      </c>
      <c r="Z74" s="32" t="s">
        <v>770</v>
      </c>
      <c r="AA74" s="16">
        <f>IFERROR(__xludf.DUMMYFUNCTION("IFERROR(QUERY(Conscrito!$A$3:$CU112, ""SELECT CU WHERE B = '"" &amp; $A74 &amp; ""'""),"""")"),74.0)</f>
        <v>74</v>
      </c>
      <c r="AB74" s="16" t="str">
        <f>IFERROR(__xludf.DUMMYFUNCTION("IFERROR(QUERY(Conscrito!$A$3:$CU112, ""SELECT CQ WHERE B = '"" &amp; $A74 &amp; ""'""),"""")"),"Sim")</f>
        <v>Sim</v>
      </c>
      <c r="AC74" s="16">
        <v>3.0</v>
      </c>
      <c r="AD74" s="16">
        <v>671.0</v>
      </c>
      <c r="AE74" s="21" t="s">
        <v>771</v>
      </c>
    </row>
    <row r="75">
      <c r="A75" s="15" t="s">
        <v>772</v>
      </c>
      <c r="B75" s="16">
        <v>3.2000409546E11</v>
      </c>
      <c r="C75" s="17">
        <v>44638.0</v>
      </c>
      <c r="D75" s="18">
        <v>0.375</v>
      </c>
      <c r="E75" s="19" t="s">
        <v>35</v>
      </c>
      <c r="F75" s="19" t="s">
        <v>36</v>
      </c>
      <c r="G75" s="16">
        <v>14.0</v>
      </c>
      <c r="H75" s="19" t="str">
        <f>IFERROR(__xludf.DUMMYFUNCTION("IFERROR(IF(QUERY('S2'!$A$3:$D112, ""SELECT C WHERE A = '"" &amp; $A75 &amp; ""'""),""Averiguar"",""""),"""")"),"")</f>
        <v/>
      </c>
      <c r="I75" s="20" t="str">
        <f>IFERROR(__xludf.DUMMYFUNCTION("IFERROR(QUERY(DBI!$A$2:$Y112, ""SELECT Y WHERE B = '"" &amp; $A75 &amp; ""'""),"""")"),"")</f>
        <v/>
      </c>
      <c r="J75" s="21" t="str">
        <f>IFERROR(__xludf.DUMMYFUNCTION("IFERROR(QUERY(Medico!$A$3:$Q112, ""SELECT P WHERE B = '"" &amp; $A75 &amp; ""'""),"""")"),"Indicado")</f>
        <v>Indicado</v>
      </c>
      <c r="K75" s="22" t="str">
        <f>IFERROR(__xludf.DUMMYFUNCTION("IFERROR(QUERY(Odonto!$A$3:$K112, ""SELECT J WHERE B = '"" &amp; $A75 &amp; ""'""),"""")"),"Indicado")</f>
        <v>Indicado</v>
      </c>
      <c r="L75" s="16" t="s">
        <v>37</v>
      </c>
      <c r="M75" s="23" t="s">
        <v>38</v>
      </c>
      <c r="N75" s="38">
        <v>37426.0</v>
      </c>
      <c r="O75" s="39" t="s">
        <v>39</v>
      </c>
      <c r="P75" s="39" t="s">
        <v>773</v>
      </c>
      <c r="Q75" s="40" t="s">
        <v>774</v>
      </c>
      <c r="R75" s="28" t="s">
        <v>775</v>
      </c>
      <c r="S75" s="28" t="s">
        <v>776</v>
      </c>
      <c r="T75" s="28" t="s">
        <v>777</v>
      </c>
      <c r="U75" s="28" t="s">
        <v>45</v>
      </c>
      <c r="V75" s="41">
        <v>4411050.0</v>
      </c>
      <c r="W75" s="42" t="s">
        <v>778</v>
      </c>
      <c r="X75" s="28" t="s">
        <v>779</v>
      </c>
      <c r="Y75" s="31">
        <f t="shared" si="1"/>
        <v>75</v>
      </c>
      <c r="Z75" s="32" t="s">
        <v>780</v>
      </c>
      <c r="AA75" s="16">
        <f>IFERROR(__xludf.DUMMYFUNCTION("IFERROR(QUERY(Conscrito!$A$3:$CU112, ""SELECT CU WHERE B = '"" &amp; $A75 &amp; ""'""),"""")"),75.0)</f>
        <v>75</v>
      </c>
      <c r="AB75" s="16" t="str">
        <f>IFERROR(__xludf.DUMMYFUNCTION("IFERROR(QUERY(Conscrito!$A$3:$CU112, ""SELECT CQ WHERE B = '"" &amp; $A75 &amp; ""'""),"""")"),"Sim")</f>
        <v>Sim</v>
      </c>
      <c r="AC75" s="16">
        <v>2.0</v>
      </c>
      <c r="AD75" s="16">
        <v>672.0</v>
      </c>
      <c r="AE75" s="21" t="s">
        <v>781</v>
      </c>
    </row>
    <row r="76">
      <c r="A76" s="15" t="s">
        <v>782</v>
      </c>
      <c r="B76" s="16">
        <v>3.20004243375E11</v>
      </c>
      <c r="C76" s="17">
        <v>44639.0</v>
      </c>
      <c r="D76" s="18">
        <v>0.4166666666666667</v>
      </c>
      <c r="E76" s="19" t="s">
        <v>35</v>
      </c>
      <c r="F76" s="19" t="s">
        <v>36</v>
      </c>
      <c r="G76" s="16">
        <v>22.0</v>
      </c>
      <c r="H76" s="19" t="str">
        <f>IFERROR(__xludf.DUMMYFUNCTION("IFERROR(IF(QUERY('S2'!$A$3:$D112, ""SELECT C WHERE A = '"" &amp; $A76 &amp; ""'""),""Averiguar"",""""),"""")"),"")</f>
        <v/>
      </c>
      <c r="I76" s="20" t="str">
        <f>IFERROR(__xludf.DUMMYFUNCTION("IFERROR(QUERY(DBI!$A$2:$Y112, ""SELECT Y WHERE B = '"" &amp; $A76 &amp; ""'""),"""")"),"")</f>
        <v/>
      </c>
      <c r="J76" s="21" t="str">
        <f>IFERROR(__xludf.DUMMYFUNCTION("IFERROR(QUERY(Medico!$A$3:$Q112, ""SELECT P WHERE B = '"" &amp; $A76 &amp; ""'""),"""")"),"Indicado")</f>
        <v>Indicado</v>
      </c>
      <c r="K76" s="22" t="str">
        <f>IFERROR(__xludf.DUMMYFUNCTION("IFERROR(QUERY(Odonto!$A$3:$K112, ""SELECT J WHERE B = '"" &amp; $A76 &amp; ""'""),"""")"),"Indicado")</f>
        <v>Indicado</v>
      </c>
      <c r="L76" s="16" t="s">
        <v>84</v>
      </c>
      <c r="M76" s="23" t="s">
        <v>38</v>
      </c>
      <c r="N76" s="38">
        <v>37427.0</v>
      </c>
      <c r="O76" s="39" t="s">
        <v>39</v>
      </c>
      <c r="P76" s="39" t="s">
        <v>783</v>
      </c>
      <c r="Q76" s="40" t="s">
        <v>784</v>
      </c>
      <c r="R76" s="28" t="s">
        <v>785</v>
      </c>
      <c r="S76" s="28" t="s">
        <v>786</v>
      </c>
      <c r="T76" s="28" t="s">
        <v>787</v>
      </c>
      <c r="U76" s="28" t="s">
        <v>45</v>
      </c>
      <c r="V76" s="41">
        <v>4257145.0</v>
      </c>
      <c r="W76" s="42" t="s">
        <v>788</v>
      </c>
      <c r="X76" s="28" t="s">
        <v>789</v>
      </c>
      <c r="Y76" s="31">
        <f t="shared" si="1"/>
        <v>76</v>
      </c>
      <c r="Z76" s="32" t="s">
        <v>790</v>
      </c>
      <c r="AA76" s="16">
        <f>IFERROR(__xludf.DUMMYFUNCTION("IFERROR(QUERY(Conscrito!$A$3:$CU112, ""SELECT CU WHERE B = '"" &amp; $A76 &amp; ""'""),"""")"),76.0)</f>
        <v>76</v>
      </c>
      <c r="AB76" s="16" t="str">
        <f>IFERROR(__xludf.DUMMYFUNCTION("IFERROR(QUERY(Conscrito!$A$3:$CU112, ""SELECT CQ WHERE B = '"" &amp; $A76 &amp; ""'""),"""")"),"NÃO")</f>
        <v>NÃO</v>
      </c>
      <c r="AC76" s="16">
        <v>3.0</v>
      </c>
      <c r="AD76" s="16">
        <v>673.0</v>
      </c>
      <c r="AE76" s="21" t="s">
        <v>791</v>
      </c>
    </row>
    <row r="77">
      <c r="A77" s="15" t="s">
        <v>792</v>
      </c>
      <c r="B77" s="16">
        <v>3.20004280222E11</v>
      </c>
      <c r="C77" s="17">
        <v>44640.0</v>
      </c>
      <c r="D77" s="18">
        <v>0.4583333333333333</v>
      </c>
      <c r="E77" s="19" t="s">
        <v>35</v>
      </c>
      <c r="F77" s="19" t="s">
        <v>36</v>
      </c>
      <c r="G77" s="16">
        <v>17.0</v>
      </c>
      <c r="H77" s="19" t="str">
        <f>IFERROR(__xludf.DUMMYFUNCTION("IFERROR(IF(QUERY('S2'!$A$3:$D112, ""SELECT C WHERE A = '"" &amp; $A77 &amp; ""'""),""Averiguar"",""""),"""")"),"")</f>
        <v/>
      </c>
      <c r="I77" s="20" t="str">
        <f>IFERROR(__xludf.DUMMYFUNCTION("IFERROR(QUERY(DBI!$A$2:$Y112, ""SELECT Y WHERE B = '"" &amp; $A77 &amp; ""'""),"""")"),"")</f>
        <v/>
      </c>
      <c r="J77" s="21" t="str">
        <f>IFERROR(__xludf.DUMMYFUNCTION("IFERROR(QUERY(Medico!$A$3:$Q112, ""SELECT P WHERE B = '"" &amp; $A77 &amp; ""'""),"""")"),"Indicado")</f>
        <v>Indicado</v>
      </c>
      <c r="K77" s="22" t="str">
        <f>IFERROR(__xludf.DUMMYFUNCTION("IFERROR(QUERY(Odonto!$A$3:$K112, ""SELECT J WHERE B = '"" &amp; $A77 &amp; ""'""),"""")"),"Indicado")</f>
        <v>Indicado</v>
      </c>
      <c r="L77" s="16" t="s">
        <v>51</v>
      </c>
      <c r="M77" s="23" t="s">
        <v>38</v>
      </c>
      <c r="N77" s="38">
        <v>37432.0</v>
      </c>
      <c r="O77" s="39" t="s">
        <v>39</v>
      </c>
      <c r="P77" s="39" t="s">
        <v>793</v>
      </c>
      <c r="Q77" s="40" t="s">
        <v>794</v>
      </c>
      <c r="R77" s="28" t="s">
        <v>795</v>
      </c>
      <c r="S77" s="28" t="s">
        <v>796</v>
      </c>
      <c r="T77" s="28" t="s">
        <v>797</v>
      </c>
      <c r="U77" s="28" t="s">
        <v>45</v>
      </c>
      <c r="V77" s="41">
        <v>8120260.0</v>
      </c>
      <c r="W77" s="42" t="s">
        <v>798</v>
      </c>
      <c r="X77" s="28" t="s">
        <v>799</v>
      </c>
      <c r="Y77" s="31">
        <f t="shared" si="1"/>
        <v>77</v>
      </c>
      <c r="Z77" s="32" t="s">
        <v>800</v>
      </c>
      <c r="AA77" s="16">
        <f>IFERROR(__xludf.DUMMYFUNCTION("IFERROR(QUERY(Conscrito!$A$3:$CU112, ""SELECT CU WHERE B = '"" &amp; $A77 &amp; ""'""),"""")"),77.0)</f>
        <v>77</v>
      </c>
      <c r="AB77" s="16" t="str">
        <f>IFERROR(__xludf.DUMMYFUNCTION("IFERROR(QUERY(Conscrito!$A$3:$CU112, ""SELECT CQ WHERE B = '"" &amp; $A77 &amp; ""'""),"""")"),"SIM")</f>
        <v>SIM</v>
      </c>
      <c r="AC77" s="16">
        <v>3.0</v>
      </c>
      <c r="AD77" s="16">
        <v>674.0</v>
      </c>
      <c r="AE77" s="21" t="s">
        <v>801</v>
      </c>
    </row>
    <row r="78">
      <c r="A78" s="15" t="s">
        <v>802</v>
      </c>
      <c r="B78" s="16">
        <v>3.20003984326E11</v>
      </c>
      <c r="C78" s="17">
        <v>44641.0</v>
      </c>
      <c r="D78" s="18">
        <v>0.3333333333333333</v>
      </c>
      <c r="E78" s="19" t="s">
        <v>35</v>
      </c>
      <c r="F78" s="19" t="s">
        <v>36</v>
      </c>
      <c r="G78" s="16">
        <v>18.0</v>
      </c>
      <c r="H78" s="19" t="str">
        <f>IFERROR(__xludf.DUMMYFUNCTION("IFERROR(IF(QUERY('S2'!$A$3:$D112, ""SELECT C WHERE A = '"" &amp; $A78 &amp; ""'""),""Averiguar"",""""),"""")"),"")</f>
        <v/>
      </c>
      <c r="I78" s="20" t="str">
        <f>IFERROR(__xludf.DUMMYFUNCTION("IFERROR(QUERY(DBI!$A$2:$Y112, ""SELECT Y WHERE B = '"" &amp; $A78 &amp; ""'""),"""")"),"")</f>
        <v/>
      </c>
      <c r="J78" s="21" t="str">
        <f>IFERROR(__xludf.DUMMYFUNCTION("IFERROR(QUERY(Medico!$A$3:$Q112, ""SELECT P WHERE B = '"" &amp; $A78 &amp; ""'""),"""")"),"Indicado")</f>
        <v>Indicado</v>
      </c>
      <c r="K78" s="22" t="str">
        <f>IFERROR(__xludf.DUMMYFUNCTION("IFERROR(QUERY(Odonto!$A$3:$K112, ""SELECT J WHERE B = '"" &amp; $A78 &amp; ""'""),"""")"),"Indicado")</f>
        <v>Indicado</v>
      </c>
      <c r="L78" s="16" t="s">
        <v>37</v>
      </c>
      <c r="M78" s="23" t="s">
        <v>38</v>
      </c>
      <c r="N78" s="38">
        <v>37437.0</v>
      </c>
      <c r="O78" s="39" t="s">
        <v>39</v>
      </c>
      <c r="P78" s="39" t="s">
        <v>803</v>
      </c>
      <c r="Q78" s="40" t="s">
        <v>804</v>
      </c>
      <c r="R78" s="28" t="s">
        <v>805</v>
      </c>
      <c r="S78" s="28" t="s">
        <v>806</v>
      </c>
      <c r="T78" s="28" t="s">
        <v>807</v>
      </c>
      <c r="U78" s="28" t="s">
        <v>45</v>
      </c>
      <c r="V78" s="41">
        <v>4427020.0</v>
      </c>
      <c r="W78" s="42" t="s">
        <v>808</v>
      </c>
      <c r="X78" s="28" t="s">
        <v>809</v>
      </c>
      <c r="Y78" s="31">
        <f t="shared" si="1"/>
        <v>78</v>
      </c>
      <c r="Z78" s="32" t="s">
        <v>810</v>
      </c>
      <c r="AA78" s="16">
        <f>IFERROR(__xludf.DUMMYFUNCTION("IFERROR(QUERY(Conscrito!$A$3:$CU112, ""SELECT CU WHERE B = '"" &amp; $A78 &amp; ""'""),"""")"),78.0)</f>
        <v>78</v>
      </c>
      <c r="AB78" s="16" t="str">
        <f>IFERROR(__xludf.DUMMYFUNCTION("IFERROR(QUERY(Conscrito!$A$3:$CU112, ""SELECT CQ WHERE B = '"" &amp; $A78 &amp; ""'""),"""")"),"Sim")</f>
        <v>Sim</v>
      </c>
      <c r="AC78" s="16">
        <v>3.0</v>
      </c>
      <c r="AD78" s="16">
        <v>675.0</v>
      </c>
      <c r="AE78" s="21" t="s">
        <v>811</v>
      </c>
    </row>
    <row r="79">
      <c r="A79" s="15" t="s">
        <v>812</v>
      </c>
      <c r="B79" s="16">
        <v>3.20004099754E11</v>
      </c>
      <c r="C79" s="17">
        <v>44642.0</v>
      </c>
      <c r="D79" s="18">
        <v>0.375</v>
      </c>
      <c r="E79" s="19" t="s">
        <v>35</v>
      </c>
      <c r="F79" s="19" t="s">
        <v>36</v>
      </c>
      <c r="G79" s="16">
        <v>11.0</v>
      </c>
      <c r="H79" s="19" t="str">
        <f>IFERROR(__xludf.DUMMYFUNCTION("IFERROR(IF(QUERY('S2'!$A$3:$D112, ""SELECT C WHERE A = '"" &amp; $A79 &amp; ""'""),""Averiguar"",""""),"""")"),"")</f>
        <v/>
      </c>
      <c r="I79" s="20" t="str">
        <f>IFERROR(__xludf.DUMMYFUNCTION("IFERROR(QUERY(DBI!$A$2:$Y112, ""SELECT Y WHERE B = '"" &amp; $A79 &amp; ""'""),"""")"),"")</f>
        <v/>
      </c>
      <c r="J79" s="21" t="str">
        <f>IFERROR(__xludf.DUMMYFUNCTION("IFERROR(QUERY(Medico!$A$3:$Q112, ""SELECT P WHERE B = '"" &amp; $A79 &amp; ""'""),"""")"),"Indicado")</f>
        <v>Indicado</v>
      </c>
      <c r="K79" s="22" t="str">
        <f>IFERROR(__xludf.DUMMYFUNCTION("IFERROR(QUERY(Odonto!$A$3:$K112, ""SELECT J WHERE B = '"" &amp; $A79 &amp; ""'""),"""")"),"Indicado")</f>
        <v>Indicado</v>
      </c>
      <c r="L79" s="16" t="s">
        <v>51</v>
      </c>
      <c r="M79" s="23" t="s">
        <v>38</v>
      </c>
      <c r="N79" s="38">
        <v>37441.0</v>
      </c>
      <c r="O79" s="39" t="s">
        <v>39</v>
      </c>
      <c r="P79" s="39" t="s">
        <v>813</v>
      </c>
      <c r="Q79" s="40" t="s">
        <v>814</v>
      </c>
      <c r="R79" s="28" t="s">
        <v>815</v>
      </c>
      <c r="S79" s="28" t="s">
        <v>816</v>
      </c>
      <c r="T79" s="28" t="s">
        <v>817</v>
      </c>
      <c r="U79" s="28" t="s">
        <v>45</v>
      </c>
      <c r="V79" s="41">
        <v>4439070.0</v>
      </c>
      <c r="W79" s="42" t="s">
        <v>818</v>
      </c>
      <c r="X79" s="28" t="s">
        <v>819</v>
      </c>
      <c r="Y79" s="31">
        <f t="shared" si="1"/>
        <v>79</v>
      </c>
      <c r="Z79" s="32" t="s">
        <v>820</v>
      </c>
      <c r="AA79" s="16">
        <f>IFERROR(__xludf.DUMMYFUNCTION("IFERROR(QUERY(Conscrito!$A$3:$CU112, ""SELECT CU WHERE B = '"" &amp; $A79 &amp; ""'""),"""")"),79.0)</f>
        <v>79</v>
      </c>
      <c r="AB79" s="16" t="str">
        <f>IFERROR(__xludf.DUMMYFUNCTION("IFERROR(QUERY(Conscrito!$A$3:$CU112, ""SELECT CQ WHERE B = '"" &amp; $A79 &amp; ""'""),"""")"),"Não")</f>
        <v>Não</v>
      </c>
      <c r="AC79" s="16">
        <v>2.0</v>
      </c>
      <c r="AD79" s="16">
        <v>676.0</v>
      </c>
      <c r="AE79" s="21" t="s">
        <v>821</v>
      </c>
    </row>
    <row r="80">
      <c r="A80" s="15" t="s">
        <v>822</v>
      </c>
      <c r="B80" s="16">
        <v>3.2000409692E11</v>
      </c>
      <c r="C80" s="17">
        <v>44643.0</v>
      </c>
      <c r="D80" s="18">
        <v>0.4166666666666667</v>
      </c>
      <c r="E80" s="19" t="s">
        <v>35</v>
      </c>
      <c r="F80" s="19" t="s">
        <v>36</v>
      </c>
      <c r="G80" s="16">
        <v>2.0</v>
      </c>
      <c r="H80" s="19" t="str">
        <f>IFERROR(__xludf.DUMMYFUNCTION("IFERROR(IF(QUERY('S2'!$A$3:$D112, ""SELECT C WHERE A = '"" &amp; $A80 &amp; ""'""),""Averiguar"",""""),"""")"),"")</f>
        <v/>
      </c>
      <c r="I80" s="20" t="str">
        <f>IFERROR(__xludf.DUMMYFUNCTION("IFERROR(QUERY(DBI!$A$2:$Y112, ""SELECT Y WHERE B = '"" &amp; $A80 &amp; ""'""),"""")"),"")</f>
        <v/>
      </c>
      <c r="J80" s="21" t="str">
        <f>IFERROR(__xludf.DUMMYFUNCTION("IFERROR(QUERY(Medico!$A$3:$Q112, ""SELECT P WHERE B = '"" &amp; $A80 &amp; ""'""),"""")"),"Indicado")</f>
        <v>Indicado</v>
      </c>
      <c r="K80" s="22" t="str">
        <f>IFERROR(__xludf.DUMMYFUNCTION("IFERROR(QUERY(Odonto!$A$3:$K112, ""SELECT J WHERE B = '"" &amp; $A80 &amp; ""'""),"""")"),"Indicado")</f>
        <v>Indicado</v>
      </c>
      <c r="L80" s="16" t="s">
        <v>51</v>
      </c>
      <c r="M80" s="23" t="s">
        <v>38</v>
      </c>
      <c r="N80" s="38">
        <v>37444.0</v>
      </c>
      <c r="O80" s="39" t="s">
        <v>39</v>
      </c>
      <c r="P80" s="39" t="s">
        <v>823</v>
      </c>
      <c r="Q80" s="40" t="s">
        <v>824</v>
      </c>
      <c r="R80" s="28" t="s">
        <v>825</v>
      </c>
      <c r="S80" s="28" t="s">
        <v>826</v>
      </c>
      <c r="T80" s="28" t="s">
        <v>827</v>
      </c>
      <c r="U80" s="28" t="s">
        <v>45</v>
      </c>
      <c r="V80" s="41">
        <v>4330070.0</v>
      </c>
      <c r="W80" s="42" t="s">
        <v>828</v>
      </c>
      <c r="X80" s="28" t="s">
        <v>829</v>
      </c>
      <c r="Y80" s="31">
        <f t="shared" si="1"/>
        <v>80</v>
      </c>
      <c r="Z80" s="32" t="s">
        <v>830</v>
      </c>
      <c r="AA80" s="16">
        <f>IFERROR(__xludf.DUMMYFUNCTION("IFERROR(QUERY(Conscrito!$A$3:$CU112, ""SELECT CU WHERE B = '"" &amp; $A80 &amp; ""'""),"""")"),80.0)</f>
        <v>80</v>
      </c>
      <c r="AB80" s="16" t="str">
        <f>IFERROR(__xludf.DUMMYFUNCTION("IFERROR(QUERY(Conscrito!$A$3:$CU112, ""SELECT CQ WHERE B = '"" &amp; $A80 &amp; ""'""),"""")"),"Sim")</f>
        <v>Sim</v>
      </c>
      <c r="AC80" s="16">
        <v>1.0</v>
      </c>
      <c r="AD80" s="16">
        <v>677.0</v>
      </c>
      <c r="AE80" s="21" t="s">
        <v>831</v>
      </c>
    </row>
    <row r="81">
      <c r="A81" s="15" t="s">
        <v>832</v>
      </c>
      <c r="B81" s="16">
        <v>3.20004378926E11</v>
      </c>
      <c r="C81" s="17">
        <v>44644.0</v>
      </c>
      <c r="D81" s="18">
        <v>0.4583333333333333</v>
      </c>
      <c r="E81" s="19" t="s">
        <v>35</v>
      </c>
      <c r="F81" s="19" t="s">
        <v>36</v>
      </c>
      <c r="G81" s="16">
        <v>11.0</v>
      </c>
      <c r="H81" s="19" t="str">
        <f>IFERROR(__xludf.DUMMYFUNCTION("IFERROR(IF(QUERY('S2'!$A$3:$D112, ""SELECT C WHERE A = '"" &amp; $A81 &amp; ""'""),""Averiguar"",""""),"""")"),"")</f>
        <v/>
      </c>
      <c r="I81" s="20" t="str">
        <f>IFERROR(__xludf.DUMMYFUNCTION("IFERROR(QUERY(DBI!$A$2:$Y112, ""SELECT Y WHERE B = '"" &amp; $A81 &amp; ""'""),"""")"),"")</f>
        <v/>
      </c>
      <c r="J81" s="21" t="str">
        <f>IFERROR(__xludf.DUMMYFUNCTION("IFERROR(QUERY(Medico!$A$3:$Q112, ""SELECT P WHERE B = '"" &amp; $A81 &amp; ""'""),"""")"),"Indicado")</f>
        <v>Indicado</v>
      </c>
      <c r="K81" s="22" t="str">
        <f>IFERROR(__xludf.DUMMYFUNCTION("IFERROR(QUERY(Odonto!$A$3:$K112, ""SELECT J WHERE B = '"" &amp; $A81 &amp; ""'""),"""")"),"Indicado")</f>
        <v>Indicado</v>
      </c>
      <c r="L81" s="16" t="s">
        <v>51</v>
      </c>
      <c r="M81" s="23" t="s">
        <v>38</v>
      </c>
      <c r="N81" s="38">
        <v>37448.0</v>
      </c>
      <c r="O81" s="39" t="s">
        <v>39</v>
      </c>
      <c r="P81" s="39" t="s">
        <v>833</v>
      </c>
      <c r="Q81" s="40" t="s">
        <v>834</v>
      </c>
      <c r="R81" s="28" t="s">
        <v>835</v>
      </c>
      <c r="S81" s="28" t="s">
        <v>836</v>
      </c>
      <c r="T81" s="28" t="s">
        <v>837</v>
      </c>
      <c r="U81" s="28" t="s">
        <v>45</v>
      </c>
      <c r="V81" s="41">
        <v>4423080.0</v>
      </c>
      <c r="W81" s="42" t="s">
        <v>838</v>
      </c>
      <c r="X81" s="28" t="s">
        <v>839</v>
      </c>
      <c r="Y81" s="31">
        <f t="shared" si="1"/>
        <v>81</v>
      </c>
      <c r="Z81" s="32" t="s">
        <v>840</v>
      </c>
      <c r="AA81" s="16">
        <f>IFERROR(__xludf.DUMMYFUNCTION("IFERROR(QUERY(Conscrito!$A$3:$CU112, ""SELECT CU WHERE B = '"" &amp; $A81 &amp; ""'""),"""")"),81.0)</f>
        <v>81</v>
      </c>
      <c r="AB81" s="16" t="str">
        <f>IFERROR(__xludf.DUMMYFUNCTION("IFERROR(QUERY(Conscrito!$A$3:$CU112, ""SELECT CQ WHERE B = '"" &amp; $A81 &amp; ""'""),"""")"),"Sim")</f>
        <v>Sim</v>
      </c>
      <c r="AC81" s="16">
        <v>2.0</v>
      </c>
      <c r="AD81" s="16">
        <v>678.0</v>
      </c>
      <c r="AE81" s="21" t="s">
        <v>841</v>
      </c>
    </row>
    <row r="82">
      <c r="A82" s="15" t="s">
        <v>842</v>
      </c>
      <c r="B82" s="16">
        <v>3.20004215761E11</v>
      </c>
      <c r="C82" s="17">
        <v>44645.0</v>
      </c>
      <c r="D82" s="18">
        <v>0.3333333333333333</v>
      </c>
      <c r="E82" s="19" t="s">
        <v>35</v>
      </c>
      <c r="F82" s="19" t="s">
        <v>36</v>
      </c>
      <c r="G82" s="16">
        <v>21.0</v>
      </c>
      <c r="H82" s="19" t="str">
        <f>IFERROR(__xludf.DUMMYFUNCTION("IFERROR(IF(QUERY('S2'!$A$3:$D112, ""SELECT C WHERE A = '"" &amp; $A82 &amp; ""'""),""Averiguar"",""""),"""")"),"")</f>
        <v/>
      </c>
      <c r="I82" s="20" t="str">
        <f>IFERROR(__xludf.DUMMYFUNCTION("IFERROR(QUERY(DBI!$A$2:$Y112, ""SELECT Y WHERE B = '"" &amp; $A82 &amp; ""'""),"""")"),"")</f>
        <v/>
      </c>
      <c r="J82" s="21" t="str">
        <f>IFERROR(__xludf.DUMMYFUNCTION("IFERROR(QUERY(Medico!$A$3:$Q112, ""SELECT P WHERE B = '"" &amp; $A82 &amp; ""'""),"""")"),"Indicado")</f>
        <v>Indicado</v>
      </c>
      <c r="K82" s="22" t="str">
        <f>IFERROR(__xludf.DUMMYFUNCTION("IFERROR(QUERY(Odonto!$A$3:$K112, ""SELECT J WHERE B = '"" &amp; $A82 &amp; ""'""),"""")"),"Indicado")</f>
        <v>Indicado</v>
      </c>
      <c r="L82" s="16" t="s">
        <v>51</v>
      </c>
      <c r="M82" s="23" t="s">
        <v>38</v>
      </c>
      <c r="N82" s="38">
        <v>37453.0</v>
      </c>
      <c r="O82" s="39" t="s">
        <v>843</v>
      </c>
      <c r="P82" s="39" t="s">
        <v>844</v>
      </c>
      <c r="Q82" s="40" t="s">
        <v>845</v>
      </c>
      <c r="R82" s="28" t="s">
        <v>846</v>
      </c>
      <c r="S82" s="28" t="s">
        <v>847</v>
      </c>
      <c r="T82" s="28" t="s">
        <v>848</v>
      </c>
      <c r="U82" s="28" t="s">
        <v>45</v>
      </c>
      <c r="V82" s="41">
        <v>4203050.0</v>
      </c>
      <c r="W82" s="42" t="s">
        <v>849</v>
      </c>
      <c r="X82" s="28" t="s">
        <v>850</v>
      </c>
      <c r="Y82" s="31">
        <f t="shared" si="1"/>
        <v>82</v>
      </c>
      <c r="Z82" s="32" t="s">
        <v>851</v>
      </c>
      <c r="AA82" s="16">
        <f>IFERROR(__xludf.DUMMYFUNCTION("IFERROR(QUERY(Conscrito!$A$3:$CU112, ""SELECT CU WHERE B = '"" &amp; $A82 &amp; ""'""),"""")"),82.0)</f>
        <v>82</v>
      </c>
      <c r="AB82" s="16" t="str">
        <f>IFERROR(__xludf.DUMMYFUNCTION("IFERROR(QUERY(Conscrito!$A$3:$CU112, ""SELECT CQ WHERE B = '"" &amp; $A82 &amp; ""'""),"""")"),"Sim")</f>
        <v>Sim</v>
      </c>
      <c r="AC82" s="16">
        <v>3.0</v>
      </c>
      <c r="AD82" s="16">
        <v>679.0</v>
      </c>
      <c r="AE82" s="21" t="s">
        <v>852</v>
      </c>
    </row>
    <row r="83">
      <c r="A83" s="15" t="s">
        <v>853</v>
      </c>
      <c r="B83" s="16">
        <v>3.20004102097E11</v>
      </c>
      <c r="C83" s="17">
        <v>44646.0</v>
      </c>
      <c r="D83" s="18">
        <v>0.375</v>
      </c>
      <c r="E83" s="19" t="s">
        <v>35</v>
      </c>
      <c r="F83" s="19" t="s">
        <v>36</v>
      </c>
      <c r="G83" s="16">
        <v>21.0</v>
      </c>
      <c r="H83" s="19" t="str">
        <f>IFERROR(__xludf.DUMMYFUNCTION("IFERROR(IF(QUERY('S2'!$A$3:$D112, ""SELECT C WHERE A = '"" &amp; $A83 &amp; ""'""),""Averiguar"",""""),"""")"),"")</f>
        <v/>
      </c>
      <c r="I83" s="20" t="str">
        <f>IFERROR(__xludf.DUMMYFUNCTION("IFERROR(QUERY(DBI!$A$2:$Y112, ""SELECT Y WHERE B = '"" &amp; $A83 &amp; ""'""),"""")"),"")</f>
        <v/>
      </c>
      <c r="J83" s="21" t="str">
        <f>IFERROR(__xludf.DUMMYFUNCTION("IFERROR(QUERY(Medico!$A$3:$Q112, ""SELECT P WHERE B = '"" &amp; $A83 &amp; ""'""),"""")"),"Indicado")</f>
        <v>Indicado</v>
      </c>
      <c r="K83" s="22" t="str">
        <f>IFERROR(__xludf.DUMMYFUNCTION("IFERROR(QUERY(Odonto!$A$3:$K112, ""SELECT J WHERE B = '"" &amp; $A83 &amp; ""'""),"""")"),"Indicado")</f>
        <v>Indicado</v>
      </c>
      <c r="L83" s="16" t="s">
        <v>51</v>
      </c>
      <c r="M83" s="23" t="s">
        <v>38</v>
      </c>
      <c r="N83" s="38">
        <v>37454.0</v>
      </c>
      <c r="O83" s="39" t="s">
        <v>39</v>
      </c>
      <c r="P83" s="39" t="s">
        <v>854</v>
      </c>
      <c r="Q83" s="40" t="s">
        <v>855</v>
      </c>
      <c r="R83" s="28" t="s">
        <v>856</v>
      </c>
      <c r="S83" s="28" t="s">
        <v>857</v>
      </c>
      <c r="T83" s="28" t="s">
        <v>858</v>
      </c>
      <c r="U83" s="28" t="s">
        <v>45</v>
      </c>
      <c r="V83" s="41">
        <v>4746070.0</v>
      </c>
      <c r="W83" s="42" t="s">
        <v>859</v>
      </c>
      <c r="X83" s="28" t="s">
        <v>860</v>
      </c>
      <c r="Y83" s="31">
        <f t="shared" si="1"/>
        <v>83</v>
      </c>
      <c r="Z83" s="32" t="s">
        <v>861</v>
      </c>
      <c r="AA83" s="16">
        <f>IFERROR(__xludf.DUMMYFUNCTION("IFERROR(QUERY(Conscrito!$A$3:$CU112, ""SELECT CU WHERE B = '"" &amp; $A83 &amp; ""'""),"""")"),83.0)</f>
        <v>83</v>
      </c>
      <c r="AB83" s="16" t="str">
        <f>IFERROR(__xludf.DUMMYFUNCTION("IFERROR(QUERY(Conscrito!$A$3:$CU112, ""SELECT CQ WHERE B = '"" &amp; $A83 &amp; ""'""),"""")"),"Sim")</f>
        <v>Sim</v>
      </c>
      <c r="AC83" s="16">
        <v>3.0</v>
      </c>
      <c r="AD83" s="16">
        <v>680.0</v>
      </c>
      <c r="AE83" s="21" t="s">
        <v>862</v>
      </c>
    </row>
    <row r="84">
      <c r="A84" s="15" t="s">
        <v>863</v>
      </c>
      <c r="B84" s="16">
        <v>3.20004309811E11</v>
      </c>
      <c r="C84" s="17">
        <v>44647.0</v>
      </c>
      <c r="D84" s="18">
        <v>0.4166666666666667</v>
      </c>
      <c r="E84" s="19" t="s">
        <v>35</v>
      </c>
      <c r="F84" s="19" t="s">
        <v>36</v>
      </c>
      <c r="G84" s="16">
        <v>22.0</v>
      </c>
      <c r="H84" s="19" t="str">
        <f>IFERROR(__xludf.DUMMYFUNCTION("IFERROR(IF(QUERY('S2'!$A$3:$D112, ""SELECT C WHERE A = '"" &amp; $A84 &amp; ""'""),""Averiguar"",""""),"""")"),"")</f>
        <v/>
      </c>
      <c r="I84" s="20" t="str">
        <f>IFERROR(__xludf.DUMMYFUNCTION("IFERROR(QUERY(DBI!$A$2:$Y112, ""SELECT Y WHERE B = '"" &amp; $A84 &amp; ""'""),"""")"),"")</f>
        <v/>
      </c>
      <c r="J84" s="21" t="str">
        <f>IFERROR(__xludf.DUMMYFUNCTION("IFERROR(QUERY(Medico!$A$3:$Q112, ""SELECT P WHERE B = '"" &amp; $A84 &amp; ""'""),"""")"),"Indicado")</f>
        <v>Indicado</v>
      </c>
      <c r="K84" s="22" t="str">
        <f>IFERROR(__xludf.DUMMYFUNCTION("IFERROR(QUERY(Odonto!$A$3:$K112, ""SELECT J WHERE B = '"" &amp; $A84 &amp; ""'""),"""")"),"Indicado")</f>
        <v>Indicado</v>
      </c>
      <c r="L84" s="16" t="s">
        <v>37</v>
      </c>
      <c r="M84" s="23" t="s">
        <v>38</v>
      </c>
      <c r="N84" s="38">
        <v>37455.0</v>
      </c>
      <c r="O84" s="39" t="s">
        <v>39</v>
      </c>
      <c r="P84" s="39" t="s">
        <v>864</v>
      </c>
      <c r="Q84" s="40" t="s">
        <v>865</v>
      </c>
      <c r="R84" s="28" t="s">
        <v>866</v>
      </c>
      <c r="S84" s="28" t="s">
        <v>867</v>
      </c>
      <c r="T84" s="28" t="s">
        <v>868</v>
      </c>
      <c r="U84" s="28" t="s">
        <v>45</v>
      </c>
      <c r="V84" s="41">
        <v>4152080.0</v>
      </c>
      <c r="W84" s="42" t="s">
        <v>869</v>
      </c>
      <c r="X84" s="28" t="s">
        <v>870</v>
      </c>
      <c r="Y84" s="31">
        <f t="shared" si="1"/>
        <v>84</v>
      </c>
      <c r="Z84" s="32" t="s">
        <v>871</v>
      </c>
      <c r="AA84" s="16">
        <f>IFERROR(__xludf.DUMMYFUNCTION("IFERROR(QUERY(Conscrito!$A$3:$CU112, ""SELECT CU WHERE B = '"" &amp; $A84 &amp; ""'""),"""")"),84.0)</f>
        <v>84</v>
      </c>
      <c r="AB84" s="16" t="str">
        <f>IFERROR(__xludf.DUMMYFUNCTION("IFERROR(QUERY(Conscrito!$A$3:$CU112, ""SELECT CQ WHERE B = '"" &amp; $A84 &amp; ""'""),"""")"),"Sim")</f>
        <v>Sim</v>
      </c>
      <c r="AC84" s="16">
        <v>3.0</v>
      </c>
      <c r="AD84" s="16">
        <v>681.0</v>
      </c>
      <c r="AE84" s="21" t="s">
        <v>872</v>
      </c>
    </row>
    <row r="85">
      <c r="A85" s="15" t="s">
        <v>873</v>
      </c>
      <c r="B85" s="16">
        <v>3.20004174698E11</v>
      </c>
      <c r="C85" s="17">
        <v>44648.0</v>
      </c>
      <c r="D85" s="18">
        <v>0.4583333333333333</v>
      </c>
      <c r="E85" s="19" t="s">
        <v>35</v>
      </c>
      <c r="F85" s="19" t="s">
        <v>36</v>
      </c>
      <c r="G85" s="16">
        <v>7.0</v>
      </c>
      <c r="H85" s="19" t="str">
        <f>IFERROR(__xludf.DUMMYFUNCTION("IFERROR(IF(QUERY('S2'!$A$3:$D112, ""SELECT C WHERE A = '"" &amp; $A85 &amp; ""'""),""Averiguar"",""""),"""")"),"")</f>
        <v/>
      </c>
      <c r="I85" s="20" t="str">
        <f>IFERROR(__xludf.DUMMYFUNCTION("IFERROR(QUERY(DBI!$A$2:$Y112, ""SELECT Y WHERE B = '"" &amp; $A85 &amp; ""'""),"""")"),"")</f>
        <v/>
      </c>
      <c r="J85" s="21" t="str">
        <f>IFERROR(__xludf.DUMMYFUNCTION("IFERROR(QUERY(Medico!$A$3:$Q112, ""SELECT P WHERE B = '"" &amp; $A85 &amp; ""'""),"""")"),"Indicado")</f>
        <v>Indicado</v>
      </c>
      <c r="K85" s="22" t="str">
        <f>IFERROR(__xludf.DUMMYFUNCTION("IFERROR(QUERY(Odonto!$A$3:$K112, ""SELECT J WHERE B = '"" &amp; $A85 &amp; ""'""),"""")"),"Indicado")</f>
        <v>Indicado</v>
      </c>
      <c r="L85" s="16" t="s">
        <v>51</v>
      </c>
      <c r="M85" s="23" t="s">
        <v>38</v>
      </c>
      <c r="N85" s="38">
        <v>37469.0</v>
      </c>
      <c r="O85" s="39" t="s">
        <v>39</v>
      </c>
      <c r="P85" s="39" t="s">
        <v>874</v>
      </c>
      <c r="Q85" s="40" t="s">
        <v>875</v>
      </c>
      <c r="R85" s="28" t="s">
        <v>876</v>
      </c>
      <c r="S85" s="28" t="s">
        <v>877</v>
      </c>
      <c r="T85" s="28" t="s">
        <v>878</v>
      </c>
      <c r="U85" s="28" t="s">
        <v>45</v>
      </c>
      <c r="V85" s="41">
        <v>4943100.0</v>
      </c>
      <c r="W85" s="42" t="s">
        <v>879</v>
      </c>
      <c r="X85" s="28" t="s">
        <v>880</v>
      </c>
      <c r="Y85" s="31">
        <f t="shared" si="1"/>
        <v>85</v>
      </c>
      <c r="Z85" s="32" t="s">
        <v>881</v>
      </c>
      <c r="AA85" s="16">
        <f>IFERROR(__xludf.DUMMYFUNCTION("IFERROR(QUERY(Conscrito!$A$3:$CU112, ""SELECT CU WHERE B = '"" &amp; $A85 &amp; ""'""),"""")"),85.0)</f>
        <v>85</v>
      </c>
      <c r="AB85" s="16" t="str">
        <f>IFERROR(__xludf.DUMMYFUNCTION("IFERROR(QUERY(Conscrito!$A$3:$CU112, ""SELECT CQ WHERE B = '"" &amp; $A85 &amp; ""'""),"""")"),"Sim")</f>
        <v>Sim</v>
      </c>
      <c r="AC85" s="16">
        <v>1.0</v>
      </c>
      <c r="AD85" s="16">
        <v>682.0</v>
      </c>
      <c r="AE85" s="21" t="s">
        <v>882</v>
      </c>
    </row>
    <row r="86">
      <c r="A86" s="15" t="s">
        <v>883</v>
      </c>
      <c r="B86" s="16">
        <v>3.20004559385E11</v>
      </c>
      <c r="C86" s="17">
        <v>44649.0</v>
      </c>
      <c r="D86" s="18">
        <v>0.3333333333333333</v>
      </c>
      <c r="E86" s="19" t="s">
        <v>35</v>
      </c>
      <c r="F86" s="19" t="s">
        <v>36</v>
      </c>
      <c r="G86" s="16">
        <v>19.0</v>
      </c>
      <c r="H86" s="19" t="str">
        <f>IFERROR(__xludf.DUMMYFUNCTION("IFERROR(IF(QUERY('S2'!$A$3:$D112, ""SELECT C WHERE A = '"" &amp; $A86 &amp; ""'""),""Averiguar"",""""),"""")"),"")</f>
        <v/>
      </c>
      <c r="I86" s="20" t="str">
        <f>IFERROR(__xludf.DUMMYFUNCTION("IFERROR(QUERY(DBI!$A$2:$Y112, ""SELECT Y WHERE B = '"" &amp; $A86 &amp; ""'""),"""")"),"")</f>
        <v/>
      </c>
      <c r="J86" s="21" t="str">
        <f>IFERROR(__xludf.DUMMYFUNCTION("IFERROR(QUERY(Medico!$A$3:$Q112, ""SELECT P WHERE B = '"" &amp; $A86 &amp; ""'""),"""")"),"Indicado")</f>
        <v>Indicado</v>
      </c>
      <c r="K86" s="22" t="str">
        <f>IFERROR(__xludf.DUMMYFUNCTION("IFERROR(QUERY(Odonto!$A$3:$K112, ""SELECT J WHERE B = '"" &amp; $A86 &amp; ""'""),"""")"),"Indicado")</f>
        <v>Indicado</v>
      </c>
      <c r="L86" s="16" t="s">
        <v>84</v>
      </c>
      <c r="M86" s="23" t="s">
        <v>38</v>
      </c>
      <c r="N86" s="38">
        <v>37475.0</v>
      </c>
      <c r="O86" s="39" t="s">
        <v>39</v>
      </c>
      <c r="P86" s="39" t="s">
        <v>884</v>
      </c>
      <c r="Q86" s="40" t="s">
        <v>885</v>
      </c>
      <c r="R86" s="28" t="s">
        <v>886</v>
      </c>
      <c r="S86" s="28" t="s">
        <v>887</v>
      </c>
      <c r="T86" s="28" t="s">
        <v>888</v>
      </c>
      <c r="U86" s="28" t="s">
        <v>45</v>
      </c>
      <c r="V86" s="41">
        <v>4235100.0</v>
      </c>
      <c r="W86" s="42" t="s">
        <v>889</v>
      </c>
      <c r="X86" s="28" t="s">
        <v>890</v>
      </c>
      <c r="Y86" s="31">
        <f t="shared" si="1"/>
        <v>86</v>
      </c>
      <c r="Z86" s="32" t="s">
        <v>891</v>
      </c>
      <c r="AA86" s="16">
        <f>IFERROR(__xludf.DUMMYFUNCTION("IFERROR(QUERY(Conscrito!$A$3:$CU112, ""SELECT CU WHERE B = '"" &amp; $A86 &amp; ""'""),"""")"),86.0)</f>
        <v>86</v>
      </c>
      <c r="AB86" s="16" t="str">
        <f>IFERROR(__xludf.DUMMYFUNCTION("IFERROR(QUERY(Conscrito!$A$3:$CU112, ""SELECT CQ WHERE B = '"" &amp; $A86 &amp; ""'""),"""")"),"Sim")</f>
        <v>Sim</v>
      </c>
      <c r="AC86" s="16">
        <v>3.0</v>
      </c>
      <c r="AD86" s="16">
        <v>683.0</v>
      </c>
      <c r="AE86" s="21" t="s">
        <v>892</v>
      </c>
    </row>
    <row r="87">
      <c r="A87" s="15" t="s">
        <v>893</v>
      </c>
      <c r="B87" s="16">
        <v>3.20004458123E11</v>
      </c>
      <c r="C87" s="17">
        <v>44650.0</v>
      </c>
      <c r="D87" s="18">
        <v>0.375</v>
      </c>
      <c r="E87" s="19" t="s">
        <v>35</v>
      </c>
      <c r="F87" s="19" t="s">
        <v>36</v>
      </c>
      <c r="G87" s="16">
        <v>19.0</v>
      </c>
      <c r="H87" s="19" t="str">
        <f>IFERROR(__xludf.DUMMYFUNCTION("IFERROR(IF(QUERY('S2'!$A$3:$D112, ""SELECT C WHERE A = '"" &amp; $A87 &amp; ""'""),""Averiguar"",""""),"""")"),"")</f>
        <v/>
      </c>
      <c r="I87" s="20" t="str">
        <f>IFERROR(__xludf.DUMMYFUNCTION("IFERROR(QUERY(DBI!$A$2:$Y112, ""SELECT Y WHERE B = '"" &amp; $A87 &amp; ""'""),"""")"),"")</f>
        <v/>
      </c>
      <c r="J87" s="21" t="str">
        <f>IFERROR(__xludf.DUMMYFUNCTION("IFERROR(QUERY(Medico!$A$3:$Q112, ""SELECT P WHERE B = '"" &amp; $A87 &amp; ""'""),"""")"),"Indicado")</f>
        <v>Indicado</v>
      </c>
      <c r="K87" s="22" t="str">
        <f>IFERROR(__xludf.DUMMYFUNCTION("IFERROR(QUERY(Odonto!$A$3:$K112, ""SELECT J WHERE B = '"" &amp; $A87 &amp; ""'""),"""")"),"Indicado")</f>
        <v>Indicado</v>
      </c>
      <c r="L87" s="16" t="s">
        <v>84</v>
      </c>
      <c r="M87" s="23" t="s">
        <v>38</v>
      </c>
      <c r="N87" s="38">
        <v>37475.0</v>
      </c>
      <c r="O87" s="39" t="s">
        <v>39</v>
      </c>
      <c r="P87" s="39" t="s">
        <v>732</v>
      </c>
      <c r="Q87" s="40" t="s">
        <v>894</v>
      </c>
      <c r="R87" s="28" t="s">
        <v>895</v>
      </c>
      <c r="S87" s="28" t="s">
        <v>896</v>
      </c>
      <c r="T87" s="28" t="s">
        <v>897</v>
      </c>
      <c r="U87" s="28" t="s">
        <v>45</v>
      </c>
      <c r="V87" s="41">
        <v>8255680.0</v>
      </c>
      <c r="W87" s="42" t="s">
        <v>898</v>
      </c>
      <c r="X87" s="28" t="s">
        <v>899</v>
      </c>
      <c r="Y87" s="31">
        <f t="shared" si="1"/>
        <v>87</v>
      </c>
      <c r="Z87" s="32" t="s">
        <v>900</v>
      </c>
      <c r="AA87" s="16">
        <f>IFERROR(__xludf.DUMMYFUNCTION("IFERROR(QUERY(Conscrito!$A$3:$CU112, ""SELECT CU WHERE B = '"" &amp; $A87 &amp; ""'""),"""")"),87.0)</f>
        <v>87</v>
      </c>
      <c r="AB87" s="16" t="str">
        <f>IFERROR(__xludf.DUMMYFUNCTION("IFERROR(QUERY(Conscrito!$A$3:$CU112, ""SELECT CQ WHERE B = '"" &amp; $A87 &amp; ""'""),"""")"),"Sim")</f>
        <v>Sim</v>
      </c>
      <c r="AC87" s="16">
        <v>3.0</v>
      </c>
      <c r="AD87" s="16">
        <v>684.0</v>
      </c>
      <c r="AE87" s="21" t="s">
        <v>901</v>
      </c>
    </row>
    <row r="88">
      <c r="A88" s="15" t="s">
        <v>902</v>
      </c>
      <c r="B88" s="16">
        <v>3.20004086596E11</v>
      </c>
      <c r="C88" s="17">
        <v>44651.0</v>
      </c>
      <c r="D88" s="18">
        <v>0.4166666666666667</v>
      </c>
      <c r="E88" s="19" t="s">
        <v>35</v>
      </c>
      <c r="F88" s="19" t="s">
        <v>36</v>
      </c>
      <c r="G88" s="16">
        <v>17.0</v>
      </c>
      <c r="H88" s="19" t="str">
        <f>IFERROR(__xludf.DUMMYFUNCTION("IFERROR(IF(QUERY('S2'!$A$3:$D112, ""SELECT C WHERE A = '"" &amp; $A88 &amp; ""'""),""Averiguar"",""""),"""")"),"")</f>
        <v/>
      </c>
      <c r="I88" s="20" t="str">
        <f>IFERROR(__xludf.DUMMYFUNCTION("IFERROR(QUERY(DBI!$A$2:$Y112, ""SELECT Y WHERE B = '"" &amp; $A88 &amp; ""'""),"""")"),"")</f>
        <v/>
      </c>
      <c r="J88" s="21" t="str">
        <f>IFERROR(__xludf.DUMMYFUNCTION("IFERROR(QUERY(Medico!$A$3:$Q112, ""SELECT P WHERE B = '"" &amp; $A88 &amp; ""'""),"""")"),"Indicado")</f>
        <v>Indicado</v>
      </c>
      <c r="K88" s="22" t="str">
        <f>IFERROR(__xludf.DUMMYFUNCTION("IFERROR(QUERY(Odonto!$A$3:$K112, ""SELECT J WHERE B = '"" &amp; $A88 &amp; ""'""),"""")"),"Indicado")</f>
        <v>Indicado</v>
      </c>
      <c r="L88" s="16" t="s">
        <v>51</v>
      </c>
      <c r="M88" s="23" t="s">
        <v>38</v>
      </c>
      <c r="N88" s="38">
        <v>37477.0</v>
      </c>
      <c r="O88" s="39" t="s">
        <v>39</v>
      </c>
      <c r="P88" s="39" t="s">
        <v>903</v>
      </c>
      <c r="Q88" s="40" t="s">
        <v>904</v>
      </c>
      <c r="R88" s="28" t="s">
        <v>905</v>
      </c>
      <c r="S88" s="28" t="s">
        <v>906</v>
      </c>
      <c r="T88" s="28" t="s">
        <v>907</v>
      </c>
      <c r="U88" s="28" t="s">
        <v>45</v>
      </c>
      <c r="V88" s="41">
        <v>8475280.0</v>
      </c>
      <c r="W88" s="42" t="s">
        <v>908</v>
      </c>
      <c r="X88" s="28" t="s">
        <v>909</v>
      </c>
      <c r="Y88" s="31">
        <f t="shared" si="1"/>
        <v>88</v>
      </c>
      <c r="Z88" s="32" t="s">
        <v>910</v>
      </c>
      <c r="AA88" s="16">
        <f>IFERROR(__xludf.DUMMYFUNCTION("IFERROR(QUERY(Conscrito!$A$3:$CU112, ""SELECT CU WHERE B = '"" &amp; $A88 &amp; ""'""),"""")"),88.0)</f>
        <v>88</v>
      </c>
      <c r="AB88" s="16" t="str">
        <f>IFERROR(__xludf.DUMMYFUNCTION("IFERROR(QUERY(Conscrito!$A$3:$CU112, ""SELECT CQ WHERE B = '"" &amp; $A88 &amp; ""'""),"""")"),"Sim")</f>
        <v>Sim</v>
      </c>
      <c r="AC88" s="16">
        <v>3.0</v>
      </c>
      <c r="AD88" s="16">
        <v>685.0</v>
      </c>
      <c r="AE88" s="21" t="s">
        <v>911</v>
      </c>
    </row>
    <row r="89">
      <c r="A89" s="15" t="s">
        <v>912</v>
      </c>
      <c r="B89" s="16">
        <v>3.20004018478E11</v>
      </c>
      <c r="C89" s="17">
        <v>44652.0</v>
      </c>
      <c r="D89" s="18">
        <v>0.4583333333333333</v>
      </c>
      <c r="E89" s="19" t="s">
        <v>35</v>
      </c>
      <c r="F89" s="19" t="s">
        <v>36</v>
      </c>
      <c r="G89" s="16">
        <v>3.0</v>
      </c>
      <c r="H89" s="19" t="str">
        <f>IFERROR(__xludf.DUMMYFUNCTION("IFERROR(IF(QUERY('S2'!$A$3:$D112, ""SELECT C WHERE A = '"" &amp; $A89 &amp; ""'""),""Averiguar"",""""),"""")"),"")</f>
        <v/>
      </c>
      <c r="I89" s="20" t="str">
        <f>IFERROR(__xludf.DUMMYFUNCTION("IFERROR(QUERY(DBI!$A$2:$Y112, ""SELECT Y WHERE B = '"" &amp; $A89 &amp; ""'""),"""")"),"")</f>
        <v/>
      </c>
      <c r="J89" s="21" t="str">
        <f>IFERROR(__xludf.DUMMYFUNCTION("IFERROR(QUERY(Medico!$A$3:$Q112, ""SELECT P WHERE B = '"" &amp; $A89 &amp; ""'""),"""")"),"Indicado")</f>
        <v>Indicado</v>
      </c>
      <c r="K89" s="22" t="str">
        <f>IFERROR(__xludf.DUMMYFUNCTION("IFERROR(QUERY(Odonto!$A$3:$K112, ""SELECT J WHERE B = '"" &amp; $A89 &amp; ""'""),"""")"),"Indicado")</f>
        <v>Indicado</v>
      </c>
      <c r="L89" s="16" t="s">
        <v>51</v>
      </c>
      <c r="M89" s="23" t="s">
        <v>38</v>
      </c>
      <c r="N89" s="38">
        <v>37481.0</v>
      </c>
      <c r="O89" s="39" t="s">
        <v>39</v>
      </c>
      <c r="P89" s="39" t="s">
        <v>913</v>
      </c>
      <c r="Q89" s="40" t="s">
        <v>914</v>
      </c>
      <c r="R89" s="28" t="s">
        <v>915</v>
      </c>
      <c r="S89" s="28" t="s">
        <v>916</v>
      </c>
      <c r="T89" s="28" t="s">
        <v>917</v>
      </c>
      <c r="U89" s="28" t="s">
        <v>45</v>
      </c>
      <c r="V89" s="41">
        <v>3977001.0</v>
      </c>
      <c r="W89" s="42" t="s">
        <v>918</v>
      </c>
      <c r="X89" s="28" t="s">
        <v>919</v>
      </c>
      <c r="Y89" s="31">
        <f t="shared" si="1"/>
        <v>89</v>
      </c>
      <c r="Z89" s="32"/>
      <c r="AA89" s="16">
        <f>IFERROR(__xludf.DUMMYFUNCTION("IFERROR(QUERY(Conscrito!$A$3:$CU112, ""SELECT CU WHERE B = '"" &amp; $A89 &amp; ""'""),"""")"),89.0)</f>
        <v>89</v>
      </c>
      <c r="AB89" s="16" t="str">
        <f>IFERROR(__xludf.DUMMYFUNCTION("IFERROR(QUERY(Conscrito!$A$3:$CU112, ""SELECT CQ WHERE B = '"" &amp; $A89 &amp; ""'""),"""")"),"Não")</f>
        <v>Não</v>
      </c>
      <c r="AC89" s="16">
        <v>1.0</v>
      </c>
      <c r="AD89" s="16">
        <v>686.0</v>
      </c>
      <c r="AE89" s="21" t="s">
        <v>920</v>
      </c>
    </row>
    <row r="90">
      <c r="A90" s="15" t="s">
        <v>921</v>
      </c>
      <c r="B90" s="16">
        <v>3.20004104636E11</v>
      </c>
      <c r="C90" s="17">
        <v>44653.0</v>
      </c>
      <c r="D90" s="18">
        <v>0.3333333333333333</v>
      </c>
      <c r="E90" s="19" t="s">
        <v>35</v>
      </c>
      <c r="F90" s="19" t="s">
        <v>36</v>
      </c>
      <c r="G90" s="16">
        <v>2.0</v>
      </c>
      <c r="H90" s="19" t="str">
        <f>IFERROR(__xludf.DUMMYFUNCTION("IFERROR(IF(QUERY('S2'!$A$3:$D112, ""SELECT C WHERE A = '"" &amp; $A90 &amp; ""'""),""Averiguar"",""""),"""")"),"")</f>
        <v/>
      </c>
      <c r="I90" s="20" t="str">
        <f>IFERROR(__xludf.DUMMYFUNCTION("IFERROR(QUERY(DBI!$A$2:$Y112, ""SELECT Y WHERE B = '"" &amp; $A90 &amp; ""'""),"""")"),"")</f>
        <v/>
      </c>
      <c r="J90" s="21" t="str">
        <f>IFERROR(__xludf.DUMMYFUNCTION("IFERROR(QUERY(Medico!$A$3:$Q112, ""SELECT P WHERE B = '"" &amp; $A90 &amp; ""'""),"""")"),"Indicado")</f>
        <v>Indicado</v>
      </c>
      <c r="K90" s="22" t="str">
        <f>IFERROR(__xludf.DUMMYFUNCTION("IFERROR(QUERY(Odonto!$A$3:$K112, ""SELECT J WHERE B = '"" &amp; $A90 &amp; ""'""),"""")"),"Indicado")</f>
        <v>Indicado</v>
      </c>
      <c r="L90" s="16" t="s">
        <v>51</v>
      </c>
      <c r="M90" s="23" t="s">
        <v>38</v>
      </c>
      <c r="N90" s="38">
        <v>37484.0</v>
      </c>
      <c r="O90" s="39" t="s">
        <v>39</v>
      </c>
      <c r="P90" s="39" t="s">
        <v>922</v>
      </c>
      <c r="Q90" s="40" t="s">
        <v>923</v>
      </c>
      <c r="R90" s="28" t="s">
        <v>924</v>
      </c>
      <c r="S90" s="28" t="s">
        <v>925</v>
      </c>
      <c r="T90" s="28" t="s">
        <v>926</v>
      </c>
      <c r="U90" s="28" t="s">
        <v>45</v>
      </c>
      <c r="V90" s="41">
        <v>4301002.0</v>
      </c>
      <c r="W90" s="42" t="s">
        <v>927</v>
      </c>
      <c r="X90" s="28" t="s">
        <v>928</v>
      </c>
      <c r="Y90" s="31">
        <f t="shared" si="1"/>
        <v>90</v>
      </c>
      <c r="Z90" s="32" t="s">
        <v>929</v>
      </c>
      <c r="AA90" s="16">
        <f>IFERROR(__xludf.DUMMYFUNCTION("IFERROR(QUERY(Conscrito!$A$3:$CU112, ""SELECT CU WHERE B = '"" &amp; $A90 &amp; ""'""),"""")"),90.0)</f>
        <v>90</v>
      </c>
      <c r="AB90" s="16" t="str">
        <f>IFERROR(__xludf.DUMMYFUNCTION("IFERROR(QUERY(Conscrito!$A$3:$CU112, ""SELECT CQ WHERE B = '"" &amp; $A90 &amp; ""'""),"""")"),"Sim")</f>
        <v>Sim</v>
      </c>
      <c r="AC90" s="16">
        <v>1.0</v>
      </c>
      <c r="AD90" s="16">
        <v>687.0</v>
      </c>
      <c r="AE90" s="21" t="s">
        <v>930</v>
      </c>
    </row>
    <row r="91">
      <c r="A91" s="15" t="s">
        <v>931</v>
      </c>
      <c r="B91" s="16">
        <v>3.20004676935E11</v>
      </c>
      <c r="C91" s="17">
        <v>44654.0</v>
      </c>
      <c r="D91" s="18">
        <v>0.375</v>
      </c>
      <c r="E91" s="19" t="s">
        <v>35</v>
      </c>
      <c r="F91" s="19" t="s">
        <v>36</v>
      </c>
      <c r="G91" s="16">
        <v>6.0</v>
      </c>
      <c r="H91" s="19" t="str">
        <f>IFERROR(__xludf.DUMMYFUNCTION("IFERROR(IF(QUERY('S2'!$A$3:$D112, ""SELECT C WHERE A = '"" &amp; $A91 &amp; ""'""),""Averiguar"",""""),"""")"),"")</f>
        <v/>
      </c>
      <c r="I91" s="20" t="str">
        <f>IFERROR(__xludf.DUMMYFUNCTION("IFERROR(QUERY(DBI!$A$2:$Y112, ""SELECT Y WHERE B = '"" &amp; $A91 &amp; ""'""),"""")"),"")</f>
        <v/>
      </c>
      <c r="J91" s="21" t="str">
        <f>IFERROR(__xludf.DUMMYFUNCTION("IFERROR(QUERY(Medico!$A$3:$Q112, ""SELECT P WHERE B = '"" &amp; $A91 &amp; ""'""),"""")"),"Indicado")</f>
        <v>Indicado</v>
      </c>
      <c r="K91" s="22" t="str">
        <f>IFERROR(__xludf.DUMMYFUNCTION("IFERROR(QUERY(Odonto!$A$3:$K112, ""SELECT J WHERE B = '"" &amp; $A91 &amp; ""'""),"""")"),"Indicado")</f>
        <v>Indicado</v>
      </c>
      <c r="L91" s="16" t="s">
        <v>84</v>
      </c>
      <c r="M91" s="23" t="s">
        <v>38</v>
      </c>
      <c r="N91" s="38">
        <v>37485.0</v>
      </c>
      <c r="O91" s="39" t="s">
        <v>932</v>
      </c>
      <c r="P91" s="39" t="s">
        <v>933</v>
      </c>
      <c r="Q91" s="40" t="s">
        <v>934</v>
      </c>
      <c r="R91" s="28" t="s">
        <v>935</v>
      </c>
      <c r="S91" s="28" t="s">
        <v>936</v>
      </c>
      <c r="T91" s="28" t="s">
        <v>937</v>
      </c>
      <c r="U91" s="28" t="s">
        <v>45</v>
      </c>
      <c r="V91" s="41">
        <v>3060000.0</v>
      </c>
      <c r="W91" s="42" t="s">
        <v>938</v>
      </c>
      <c r="X91" s="28" t="s">
        <v>939</v>
      </c>
      <c r="Y91" s="31">
        <f t="shared" si="1"/>
        <v>91</v>
      </c>
      <c r="Z91" s="32" t="s">
        <v>940</v>
      </c>
      <c r="AA91" s="16">
        <f>IFERROR(__xludf.DUMMYFUNCTION("IFERROR(QUERY(Conscrito!$A$3:$CU112, ""SELECT CU WHERE B = '"" &amp; $A91 &amp; ""'""),"""")"),91.0)</f>
        <v>91</v>
      </c>
      <c r="AB91" s="16" t="str">
        <f>IFERROR(__xludf.DUMMYFUNCTION("IFERROR(QUERY(Conscrito!$A$3:$CU112, ""SELECT CQ WHERE B = '"" &amp; $A91 &amp; ""'""),"""")"),"Não")</f>
        <v>Não</v>
      </c>
      <c r="AC91" s="16">
        <v>1.0</v>
      </c>
      <c r="AD91" s="16">
        <v>688.0</v>
      </c>
      <c r="AE91" s="21" t="s">
        <v>941</v>
      </c>
    </row>
    <row r="92">
      <c r="A92" s="15" t="s">
        <v>942</v>
      </c>
      <c r="B92" s="16">
        <v>3.20004233805E11</v>
      </c>
      <c r="C92" s="17">
        <v>44655.0</v>
      </c>
      <c r="D92" s="18">
        <v>0.4166666666666667</v>
      </c>
      <c r="E92" s="19" t="s">
        <v>35</v>
      </c>
      <c r="F92" s="19" t="s">
        <v>36</v>
      </c>
      <c r="G92" s="16">
        <v>11.0</v>
      </c>
      <c r="H92" s="19" t="str">
        <f>IFERROR(__xludf.DUMMYFUNCTION("IFERROR(IF(QUERY('S2'!$A$3:$D112, ""SELECT C WHERE A = '"" &amp; $A92 &amp; ""'""),""Averiguar"",""""),"""")"),"")</f>
        <v/>
      </c>
      <c r="I92" s="20" t="str">
        <f>IFERROR(__xludf.DUMMYFUNCTION("IFERROR(QUERY(DBI!$A$2:$Y112, ""SELECT Y WHERE B = '"" &amp; $A92 &amp; ""'""),"""")"),"")</f>
        <v/>
      </c>
      <c r="J92" s="21" t="str">
        <f>IFERROR(__xludf.DUMMYFUNCTION("IFERROR(QUERY(Medico!$A$3:$Q112, ""SELECT P WHERE B = '"" &amp; $A92 &amp; ""'""),"""")"),"Indicado")</f>
        <v>Indicado</v>
      </c>
      <c r="K92" s="22" t="str">
        <f>IFERROR(__xludf.DUMMYFUNCTION("IFERROR(QUERY(Odonto!$A$3:$K112, ""SELECT J WHERE B = '"" &amp; $A92 &amp; ""'""),"""")"),"Indicado")</f>
        <v>Indicado</v>
      </c>
      <c r="L92" s="16" t="s">
        <v>51</v>
      </c>
      <c r="M92" s="23" t="s">
        <v>38</v>
      </c>
      <c r="N92" s="38">
        <v>37487.0</v>
      </c>
      <c r="O92" s="39" t="s">
        <v>943</v>
      </c>
      <c r="P92" s="39" t="s">
        <v>944</v>
      </c>
      <c r="Q92" s="40" t="s">
        <v>945</v>
      </c>
      <c r="R92" s="28" t="s">
        <v>946</v>
      </c>
      <c r="S92" s="28" t="s">
        <v>947</v>
      </c>
      <c r="T92" s="28" t="s">
        <v>948</v>
      </c>
      <c r="U92" s="28" t="s">
        <v>949</v>
      </c>
      <c r="V92" s="41">
        <v>4184000.0</v>
      </c>
      <c r="W92" s="42" t="s">
        <v>950</v>
      </c>
      <c r="X92" s="28" t="s">
        <v>951</v>
      </c>
      <c r="Y92" s="31">
        <f t="shared" si="1"/>
        <v>92</v>
      </c>
      <c r="Z92" s="32" t="s">
        <v>952</v>
      </c>
      <c r="AA92" s="16">
        <f>IFERROR(__xludf.DUMMYFUNCTION("IFERROR(QUERY(Conscrito!$A$3:$CU112, ""SELECT CU WHERE B = '"" &amp; $A92 &amp; ""'""),"""")"),92.0)</f>
        <v>92</v>
      </c>
      <c r="AB92" s="16" t="str">
        <f>IFERROR(__xludf.DUMMYFUNCTION("IFERROR(QUERY(Conscrito!$A$3:$CU112, ""SELECT CQ WHERE B = '"" &amp; $A92 &amp; ""'""),"""")"),"Tenho dúvida")</f>
        <v>Tenho dúvida</v>
      </c>
      <c r="AC92" s="16">
        <v>2.0</v>
      </c>
      <c r="AD92" s="16">
        <v>689.0</v>
      </c>
      <c r="AE92" s="21" t="s">
        <v>953</v>
      </c>
    </row>
    <row r="93">
      <c r="A93" s="15" t="s">
        <v>954</v>
      </c>
      <c r="B93" s="16">
        <v>3.20004197469E11</v>
      </c>
      <c r="C93" s="17">
        <v>44656.0</v>
      </c>
      <c r="D93" s="18">
        <v>0.4583333333333333</v>
      </c>
      <c r="E93" s="19" t="s">
        <v>35</v>
      </c>
      <c r="F93" s="19" t="s">
        <v>36</v>
      </c>
      <c r="G93" s="16">
        <v>2.0</v>
      </c>
      <c r="H93" s="19" t="str">
        <f>IFERROR(__xludf.DUMMYFUNCTION("IFERROR(IF(QUERY('S2'!$A$3:$D112, ""SELECT C WHERE A = '"" &amp; $A93 &amp; ""'""),""Averiguar"",""""),"""")"),"")</f>
        <v/>
      </c>
      <c r="I93" s="20" t="str">
        <f>IFERROR(__xludf.DUMMYFUNCTION("IFERROR(QUERY(DBI!$A$2:$Y112, ""SELECT Y WHERE B = '"" &amp; $A93 &amp; ""'""),"""")"),"")</f>
        <v/>
      </c>
      <c r="J93" s="21" t="str">
        <f>IFERROR(__xludf.DUMMYFUNCTION("IFERROR(QUERY(Medico!$A$3:$Q112, ""SELECT P WHERE B = '"" &amp; $A93 &amp; ""'""),"""")"),"Indicado")</f>
        <v>Indicado</v>
      </c>
      <c r="K93" s="22" t="str">
        <f>IFERROR(__xludf.DUMMYFUNCTION("IFERROR(QUERY(Odonto!$A$3:$K112, ""SELECT J WHERE B = '"" &amp; $A93 &amp; ""'""),"""")"),"Indicado")</f>
        <v>Indicado</v>
      </c>
      <c r="L93" s="16" t="s">
        <v>51</v>
      </c>
      <c r="M93" s="23" t="s">
        <v>38</v>
      </c>
      <c r="N93" s="38">
        <v>37489.0</v>
      </c>
      <c r="O93" s="39" t="s">
        <v>39</v>
      </c>
      <c r="P93" s="39" t="s">
        <v>955</v>
      </c>
      <c r="Q93" s="40" t="s">
        <v>956</v>
      </c>
      <c r="R93" s="28" t="s">
        <v>957</v>
      </c>
      <c r="S93" s="28" t="s">
        <v>958</v>
      </c>
      <c r="T93" s="28" t="s">
        <v>959</v>
      </c>
      <c r="U93" s="28" t="s">
        <v>45</v>
      </c>
      <c r="V93" s="41">
        <v>4152050.0</v>
      </c>
      <c r="W93" s="42" t="s">
        <v>960</v>
      </c>
      <c r="X93" s="28" t="s">
        <v>961</v>
      </c>
      <c r="Y93" s="31">
        <f t="shared" si="1"/>
        <v>93</v>
      </c>
      <c r="Z93" s="32" t="s">
        <v>962</v>
      </c>
      <c r="AA93" s="16">
        <f>IFERROR(__xludf.DUMMYFUNCTION("IFERROR(QUERY(Conscrito!$A$3:$CU112, ""SELECT CU WHERE B = '"" &amp; $A93 &amp; ""'""),"""")"),93.0)</f>
        <v>93</v>
      </c>
      <c r="AB93" s="16" t="str">
        <f>IFERROR(__xludf.DUMMYFUNCTION("IFERROR(QUERY(Conscrito!$A$3:$CU112, ""SELECT CQ WHERE B = '"" &amp; $A93 &amp; ""'""),"""")"),"Sim")</f>
        <v>Sim</v>
      </c>
      <c r="AC93" s="16">
        <v>1.0</v>
      </c>
      <c r="AD93" s="16">
        <v>690.0</v>
      </c>
      <c r="AE93" s="21" t="s">
        <v>963</v>
      </c>
    </row>
    <row r="94">
      <c r="A94" s="15" t="s">
        <v>964</v>
      </c>
      <c r="B94" s="16">
        <v>3.20004264368E11</v>
      </c>
      <c r="C94" s="17">
        <v>44657.0</v>
      </c>
      <c r="D94" s="18">
        <v>0.3333333333333333</v>
      </c>
      <c r="E94" s="19" t="s">
        <v>35</v>
      </c>
      <c r="F94" s="19" t="s">
        <v>36</v>
      </c>
      <c r="G94" s="16">
        <v>7.0</v>
      </c>
      <c r="H94" s="19" t="str">
        <f>IFERROR(__xludf.DUMMYFUNCTION("IFERROR(IF(QUERY('S2'!$A$3:$D112, ""SELECT C WHERE A = '"" &amp; $A94 &amp; ""'""),""Averiguar"",""""),"""")"),"")</f>
        <v/>
      </c>
      <c r="I94" s="20" t="str">
        <f>IFERROR(__xludf.DUMMYFUNCTION("IFERROR(QUERY(DBI!$A$2:$Y112, ""SELECT Y WHERE B = '"" &amp; $A94 &amp; ""'""),"""")"),"")</f>
        <v/>
      </c>
      <c r="J94" s="21" t="str">
        <f>IFERROR(__xludf.DUMMYFUNCTION("IFERROR(QUERY(Medico!$A$3:$Q112, ""SELECT P WHERE B = '"" &amp; $A94 &amp; ""'""),"""")"),"Indicado")</f>
        <v>Indicado</v>
      </c>
      <c r="K94" s="22" t="str">
        <f>IFERROR(__xludf.DUMMYFUNCTION("IFERROR(QUERY(Odonto!$A$3:$K112, ""SELECT J WHERE B = '"" &amp; $A94 &amp; ""'""),"""")"),"Indicado")</f>
        <v>Indicado</v>
      </c>
      <c r="L94" s="16" t="s">
        <v>37</v>
      </c>
      <c r="M94" s="23" t="s">
        <v>38</v>
      </c>
      <c r="N94" s="38">
        <v>37493.0</v>
      </c>
      <c r="O94" s="39" t="s">
        <v>39</v>
      </c>
      <c r="P94" s="39" t="s">
        <v>965</v>
      </c>
      <c r="Q94" s="40" t="s">
        <v>966</v>
      </c>
      <c r="R94" s="28" t="s">
        <v>967</v>
      </c>
      <c r="S94" s="28" t="s">
        <v>968</v>
      </c>
      <c r="T94" s="28" t="s">
        <v>969</v>
      </c>
      <c r="U94" s="28" t="s">
        <v>45</v>
      </c>
      <c r="V94" s="41">
        <v>4344010.0</v>
      </c>
      <c r="W94" s="42" t="s">
        <v>970</v>
      </c>
      <c r="X94" s="28" t="s">
        <v>971</v>
      </c>
      <c r="Y94" s="31">
        <f t="shared" si="1"/>
        <v>94</v>
      </c>
      <c r="Z94" s="32" t="s">
        <v>972</v>
      </c>
      <c r="AA94" s="16">
        <f>IFERROR(__xludf.DUMMYFUNCTION("IFERROR(QUERY(Conscrito!$A$3:$CU112, ""SELECT CU WHERE B = '"" &amp; $A94 &amp; ""'""),"""")"),94.0)</f>
        <v>94</v>
      </c>
      <c r="AB94" s="16" t="str">
        <f>IFERROR(__xludf.DUMMYFUNCTION("IFERROR(QUERY(Conscrito!$A$3:$CU112, ""SELECT CQ WHERE B = '"" &amp; $A94 &amp; ""'""),"""")"),"Não")</f>
        <v>Não</v>
      </c>
      <c r="AC94" s="16">
        <v>2.0</v>
      </c>
      <c r="AD94" s="16">
        <v>691.0</v>
      </c>
      <c r="AE94" s="21" t="s">
        <v>973</v>
      </c>
    </row>
    <row r="95">
      <c r="A95" s="15" t="s">
        <v>974</v>
      </c>
      <c r="B95" s="16">
        <v>3.20004330939E11</v>
      </c>
      <c r="C95" s="17">
        <v>44658.0</v>
      </c>
      <c r="D95" s="18">
        <v>0.375</v>
      </c>
      <c r="E95" s="19" t="s">
        <v>35</v>
      </c>
      <c r="F95" s="19" t="s">
        <v>36</v>
      </c>
      <c r="G95" s="16">
        <v>15.0</v>
      </c>
      <c r="H95" s="19" t="str">
        <f>IFERROR(__xludf.DUMMYFUNCTION("IFERROR(IF(QUERY('S2'!$A$3:$D112, ""SELECT C WHERE A = '"" &amp; $A95 &amp; ""'""),""Averiguar"",""""),"""")"),"")</f>
        <v/>
      </c>
      <c r="I95" s="20" t="str">
        <f>IFERROR(__xludf.DUMMYFUNCTION("IFERROR(QUERY(DBI!$A$2:$Y112, ""SELECT Y WHERE B = '"" &amp; $A95 &amp; ""'""),"""")"),"")</f>
        <v/>
      </c>
      <c r="J95" s="21" t="str">
        <f>IFERROR(__xludf.DUMMYFUNCTION("IFERROR(QUERY(Medico!$A$3:$Q112, ""SELECT P WHERE B = '"" &amp; $A95 &amp; ""'""),"""")"),"Indicado")</f>
        <v>Indicado</v>
      </c>
      <c r="K95" s="22" t="str">
        <f>IFERROR(__xludf.DUMMYFUNCTION("IFERROR(QUERY(Odonto!$A$3:$K112, ""SELECT J WHERE B = '"" &amp; $A95 &amp; ""'""),"""")"),"Indicado")</f>
        <v>Indicado</v>
      </c>
      <c r="L95" s="16" t="s">
        <v>37</v>
      </c>
      <c r="M95" s="23" t="s">
        <v>38</v>
      </c>
      <c r="N95" s="38">
        <v>37504.0</v>
      </c>
      <c r="O95" s="39" t="s">
        <v>39</v>
      </c>
      <c r="P95" s="39" t="s">
        <v>975</v>
      </c>
      <c r="Q95" s="40" t="s">
        <v>976</v>
      </c>
      <c r="R95" s="28" t="s">
        <v>977</v>
      </c>
      <c r="S95" s="28" t="s">
        <v>978</v>
      </c>
      <c r="T95" s="28" t="s">
        <v>979</v>
      </c>
      <c r="U95" s="28" t="s">
        <v>45</v>
      </c>
      <c r="V95" s="41">
        <v>1540000.0</v>
      </c>
      <c r="W95" s="42" t="s">
        <v>980</v>
      </c>
      <c r="X95" s="28" t="s">
        <v>981</v>
      </c>
      <c r="Y95" s="31">
        <f t="shared" si="1"/>
        <v>95</v>
      </c>
      <c r="Z95" s="32" t="s">
        <v>982</v>
      </c>
      <c r="AA95" s="16">
        <f>IFERROR(__xludf.DUMMYFUNCTION("IFERROR(QUERY(Conscrito!$A$3:$CU112, ""SELECT CU WHERE B = '"" &amp; $A95 &amp; ""'""),"""")"),95.0)</f>
        <v>95</v>
      </c>
      <c r="AB95" s="16" t="str">
        <f>IFERROR(__xludf.DUMMYFUNCTION("IFERROR(QUERY(Conscrito!$A$3:$CU112, ""SELECT CQ WHERE B = '"" &amp; $A95 &amp; ""'""),"""")"),"Sim")</f>
        <v>Sim</v>
      </c>
      <c r="AC95" s="16">
        <v>2.0</v>
      </c>
      <c r="AD95" s="16">
        <v>692.0</v>
      </c>
      <c r="AE95" s="63" t="s">
        <v>983</v>
      </c>
    </row>
    <row r="96">
      <c r="A96" s="15" t="s">
        <v>984</v>
      </c>
      <c r="B96" s="16">
        <v>3.20004055827E11</v>
      </c>
      <c r="C96" s="17">
        <v>44659.0</v>
      </c>
      <c r="D96" s="18">
        <v>0.4166666666666667</v>
      </c>
      <c r="E96" s="19" t="s">
        <v>35</v>
      </c>
      <c r="F96" s="19" t="s">
        <v>36</v>
      </c>
      <c r="G96" s="16">
        <v>15.0</v>
      </c>
      <c r="H96" s="19" t="str">
        <f>IFERROR(__xludf.DUMMYFUNCTION("IFERROR(IF(QUERY('S2'!$A$3:$D112, ""SELECT C WHERE A = '"" &amp; $A96 &amp; ""'""),""Averiguar"",""""),"""")"),"")</f>
        <v/>
      </c>
      <c r="I96" s="20" t="str">
        <f>IFERROR(__xludf.DUMMYFUNCTION("IFERROR(QUERY(DBI!$A$2:$Y112, ""SELECT Y WHERE B = '"" &amp; $A96 &amp; ""'""),"""")"),"")</f>
        <v/>
      </c>
      <c r="J96" s="21" t="str">
        <f>IFERROR(__xludf.DUMMYFUNCTION("IFERROR(QUERY(Medico!$A$3:$Q112, ""SELECT P WHERE B = '"" &amp; $A96 &amp; ""'""),"""")"),"Indicado")</f>
        <v>Indicado</v>
      </c>
      <c r="K96" s="22" t="str">
        <f>IFERROR(__xludf.DUMMYFUNCTION("IFERROR(QUERY(Odonto!$A$3:$K112, ""SELECT J WHERE B = '"" &amp; $A96 &amp; ""'""),"""")"),"Indicado")</f>
        <v>Indicado</v>
      </c>
      <c r="L96" s="16" t="s">
        <v>51</v>
      </c>
      <c r="M96" s="23" t="s">
        <v>38</v>
      </c>
      <c r="N96" s="38">
        <v>37509.0</v>
      </c>
      <c r="O96" s="39" t="s">
        <v>39</v>
      </c>
      <c r="P96" s="39" t="s">
        <v>985</v>
      </c>
      <c r="Q96" s="40" t="s">
        <v>986</v>
      </c>
      <c r="R96" s="28" t="s">
        <v>987</v>
      </c>
      <c r="S96" s="28" t="s">
        <v>988</v>
      </c>
      <c r="T96" s="28" t="s">
        <v>989</v>
      </c>
      <c r="U96" s="28" t="s">
        <v>45</v>
      </c>
      <c r="V96" s="41">
        <v>3920130.0</v>
      </c>
      <c r="W96" s="42" t="s">
        <v>990</v>
      </c>
      <c r="X96" s="28" t="s">
        <v>991</v>
      </c>
      <c r="Y96" s="31">
        <f t="shared" si="1"/>
        <v>96</v>
      </c>
      <c r="Z96" s="32" t="s">
        <v>992</v>
      </c>
      <c r="AA96" s="16">
        <f>IFERROR(__xludf.DUMMYFUNCTION("IFERROR(QUERY(Conscrito!$A$3:$CU112, ""SELECT CU WHERE B = '"" &amp; $A96 &amp; ""'""),"""")"),96.0)</f>
        <v>96</v>
      </c>
      <c r="AB96" s="16" t="str">
        <f>IFERROR(__xludf.DUMMYFUNCTION("IFERROR(QUERY(Conscrito!$A$3:$CU112, ""SELECT CQ WHERE B = '"" &amp; $A96 &amp; ""'""),"""")"),"Tenho dúvida")</f>
        <v>Tenho dúvida</v>
      </c>
      <c r="AC96" s="16">
        <v>2.0</v>
      </c>
      <c r="AD96" s="16">
        <v>693.0</v>
      </c>
      <c r="AE96" s="21" t="s">
        <v>993</v>
      </c>
    </row>
    <row r="97">
      <c r="A97" s="15" t="s">
        <v>994</v>
      </c>
      <c r="B97" s="16">
        <v>3.20004076722E11</v>
      </c>
      <c r="C97" s="17">
        <v>44660.0</v>
      </c>
      <c r="D97" s="18">
        <v>0.4583333333333333</v>
      </c>
      <c r="E97" s="19" t="s">
        <v>35</v>
      </c>
      <c r="F97" s="19" t="s">
        <v>36</v>
      </c>
      <c r="G97" s="16">
        <v>18.0</v>
      </c>
      <c r="H97" s="19" t="str">
        <f>IFERROR(__xludf.DUMMYFUNCTION("IFERROR(IF(QUERY('S2'!$A$3:$D112, ""SELECT C WHERE A = '"" &amp; $A97 &amp; ""'""),""Averiguar"",""""),"""")"),"")</f>
        <v/>
      </c>
      <c r="I97" s="20" t="str">
        <f>IFERROR(__xludf.DUMMYFUNCTION("IFERROR(QUERY(DBI!$A$2:$Y112, ""SELECT Y WHERE B = '"" &amp; $A97 &amp; ""'""),"""")"),"")</f>
        <v/>
      </c>
      <c r="J97" s="21" t="str">
        <f>IFERROR(__xludf.DUMMYFUNCTION("IFERROR(QUERY(Medico!$A$3:$Q112, ""SELECT P WHERE B = '"" &amp; $A97 &amp; ""'""),"""")"),"Indicado")</f>
        <v>Indicado</v>
      </c>
      <c r="K97" s="22" t="str">
        <f>IFERROR(__xludf.DUMMYFUNCTION("IFERROR(QUERY(Odonto!$A$3:$K112, ""SELECT J WHERE B = '"" &amp; $A97 &amp; ""'""),"""")"),"Indicado")</f>
        <v>Indicado</v>
      </c>
      <c r="L97" s="16" t="s">
        <v>37</v>
      </c>
      <c r="M97" s="23" t="s">
        <v>38</v>
      </c>
      <c r="N97" s="38">
        <v>37516.0</v>
      </c>
      <c r="O97" s="39" t="s">
        <v>995</v>
      </c>
      <c r="P97" s="39" t="s">
        <v>996</v>
      </c>
      <c r="Q97" s="40" t="s">
        <v>997</v>
      </c>
      <c r="R97" s="28" t="s">
        <v>998</v>
      </c>
      <c r="S97" s="28" t="s">
        <v>999</v>
      </c>
      <c r="T97" s="28" t="s">
        <v>1000</v>
      </c>
      <c r="U97" s="28" t="s">
        <v>45</v>
      </c>
      <c r="V97" s="41">
        <v>3162110.0</v>
      </c>
      <c r="W97" s="42" t="s">
        <v>1001</v>
      </c>
      <c r="X97" s="28" t="s">
        <v>1002</v>
      </c>
      <c r="Y97" s="31">
        <f t="shared" si="1"/>
        <v>97</v>
      </c>
      <c r="Z97" s="32" t="s">
        <v>1003</v>
      </c>
      <c r="AA97" s="16">
        <f>IFERROR(__xludf.DUMMYFUNCTION("IFERROR(QUERY(Conscrito!$A$3:$CU112, ""SELECT CU WHERE B = '"" &amp; $A97 &amp; ""'""),"""")"),97.0)</f>
        <v>97</v>
      </c>
      <c r="AB97" s="16" t="str">
        <f>IFERROR(__xludf.DUMMYFUNCTION("IFERROR(QUERY(Conscrito!$A$3:$CU112, ""SELECT CQ WHERE B = '"" &amp; $A97 &amp; ""'""),"""")"),"Tenho dúvida")</f>
        <v>Tenho dúvida</v>
      </c>
      <c r="AC97" s="16">
        <v>3.0</v>
      </c>
      <c r="AD97" s="16">
        <v>694.0</v>
      </c>
      <c r="AE97" s="21" t="s">
        <v>1004</v>
      </c>
    </row>
    <row r="98">
      <c r="A98" s="15" t="s">
        <v>1005</v>
      </c>
      <c r="B98" s="16">
        <v>3.20004839611E11</v>
      </c>
      <c r="C98" s="17">
        <v>44661.0</v>
      </c>
      <c r="D98" s="18">
        <v>0.3333333333333333</v>
      </c>
      <c r="E98" s="19" t="s">
        <v>35</v>
      </c>
      <c r="F98" s="19" t="s">
        <v>36</v>
      </c>
      <c r="G98" s="16">
        <v>1.0</v>
      </c>
      <c r="H98" s="19" t="str">
        <f>IFERROR(__xludf.DUMMYFUNCTION("IFERROR(IF(QUERY('S2'!$A$3:$D112, ""SELECT C WHERE A = '"" &amp; $A98 &amp; ""'""),""Averiguar"",""""),"""")"),"")</f>
        <v/>
      </c>
      <c r="I98" s="20" t="str">
        <f>IFERROR(__xludf.DUMMYFUNCTION("IFERROR(QUERY(DBI!$A$2:$Y112, ""SELECT Y WHERE B = '"" &amp; $A98 &amp; ""'""),"""")"),"")</f>
        <v/>
      </c>
      <c r="J98" s="21" t="str">
        <f>IFERROR(__xludf.DUMMYFUNCTION("IFERROR(QUERY(Medico!$A$3:$Q112, ""SELECT P WHERE B = '"" &amp; $A98 &amp; ""'""),"""")"),"Indicado")</f>
        <v>Indicado</v>
      </c>
      <c r="K98" s="22" t="str">
        <f>IFERROR(__xludf.DUMMYFUNCTION("IFERROR(QUERY(Odonto!$A$3:$K112, ""SELECT J WHERE B = '"" &amp; $A98 &amp; ""'""),"""")"),"Indicado")</f>
        <v>Indicado</v>
      </c>
      <c r="L98" s="16" t="s">
        <v>37</v>
      </c>
      <c r="M98" s="23" t="s">
        <v>38</v>
      </c>
      <c r="N98" s="38">
        <v>37520.0</v>
      </c>
      <c r="O98" s="39" t="s">
        <v>39</v>
      </c>
      <c r="P98" s="39" t="s">
        <v>1006</v>
      </c>
      <c r="Q98" s="40" t="s">
        <v>1007</v>
      </c>
      <c r="R98" s="28" t="s">
        <v>1008</v>
      </c>
      <c r="S98" s="28" t="s">
        <v>1009</v>
      </c>
      <c r="T98" s="28" t="s">
        <v>1010</v>
      </c>
      <c r="U98" s="28" t="s">
        <v>45</v>
      </c>
      <c r="V98" s="41">
        <v>4851531.0</v>
      </c>
      <c r="W98" s="42" t="s">
        <v>1011</v>
      </c>
      <c r="X98" s="28" t="s">
        <v>1012</v>
      </c>
      <c r="Y98" s="31">
        <f t="shared" si="1"/>
        <v>98</v>
      </c>
      <c r="Z98" s="32" t="s">
        <v>1013</v>
      </c>
      <c r="AA98" s="16">
        <f>IFERROR(__xludf.DUMMYFUNCTION("IFERROR(QUERY(Conscrito!$A$3:$CU112, ""SELECT CU WHERE B = '"" &amp; $A98 &amp; ""'""),"""")"),98.0)</f>
        <v>98</v>
      </c>
      <c r="AB98" s="16" t="str">
        <f>IFERROR(__xludf.DUMMYFUNCTION("IFERROR(QUERY(Conscrito!$A$3:$CU112, ""SELECT CQ WHERE B = '"" &amp; $A98 &amp; ""'""),"""")"),"Sim")</f>
        <v>Sim</v>
      </c>
      <c r="AC98" s="16">
        <v>1.0</v>
      </c>
      <c r="AD98" s="16">
        <v>695.0</v>
      </c>
      <c r="AE98" s="21" t="s">
        <v>1014</v>
      </c>
    </row>
    <row r="99">
      <c r="A99" s="15" t="s">
        <v>1015</v>
      </c>
      <c r="B99" s="16">
        <v>3.20004359824E11</v>
      </c>
      <c r="C99" s="17">
        <v>44662.0</v>
      </c>
      <c r="D99" s="18">
        <v>0.375</v>
      </c>
      <c r="E99" s="19" t="s">
        <v>35</v>
      </c>
      <c r="F99" s="19" t="s">
        <v>36</v>
      </c>
      <c r="G99" s="16">
        <v>17.0</v>
      </c>
      <c r="H99" s="19" t="str">
        <f>IFERROR(__xludf.DUMMYFUNCTION("IFERROR(IF(QUERY('S2'!$A$3:$D112, ""SELECT C WHERE A = '"" &amp; $A99 &amp; ""'""),""Averiguar"",""""),"""")"),"")</f>
        <v/>
      </c>
      <c r="I99" s="20" t="str">
        <f>IFERROR(__xludf.DUMMYFUNCTION("IFERROR(QUERY(DBI!$A$2:$Y112, ""SELECT Y WHERE B = '"" &amp; $A99 &amp; ""'""),"""")"),"")</f>
        <v/>
      </c>
      <c r="J99" s="21" t="str">
        <f>IFERROR(__xludf.DUMMYFUNCTION("IFERROR(QUERY(Medico!$A$3:$Q112, ""SELECT P WHERE B = '"" &amp; $A99 &amp; ""'""),"""")"),"Indicado")</f>
        <v>Indicado</v>
      </c>
      <c r="K99" s="22" t="str">
        <f>IFERROR(__xludf.DUMMYFUNCTION("IFERROR(QUERY(Odonto!$A$3:$K112, ""SELECT J WHERE B = '"" &amp; $A99 &amp; ""'""),"""")"),"Indicado")</f>
        <v>Indicado</v>
      </c>
      <c r="L99" s="16" t="s">
        <v>84</v>
      </c>
      <c r="M99" s="23" t="s">
        <v>38</v>
      </c>
      <c r="N99" s="38">
        <v>37527.0</v>
      </c>
      <c r="O99" s="39" t="s">
        <v>1016</v>
      </c>
      <c r="P99" s="39" t="s">
        <v>1017</v>
      </c>
      <c r="Q99" s="40" t="s">
        <v>1018</v>
      </c>
      <c r="R99" s="28" t="s">
        <v>1019</v>
      </c>
      <c r="S99" s="28" t="s">
        <v>1020</v>
      </c>
      <c r="T99" s="28" t="s">
        <v>1021</v>
      </c>
      <c r="U99" s="28" t="s">
        <v>45</v>
      </c>
      <c r="V99" s="41">
        <v>4880255.0</v>
      </c>
      <c r="W99" s="42" t="s">
        <v>1022</v>
      </c>
      <c r="X99" s="28" t="s">
        <v>1023</v>
      </c>
      <c r="Y99" s="31">
        <f t="shared" si="1"/>
        <v>99</v>
      </c>
      <c r="Z99" s="32" t="s">
        <v>1024</v>
      </c>
      <c r="AA99" s="16">
        <f>IFERROR(__xludf.DUMMYFUNCTION("IFERROR(QUERY(Conscrito!$A$3:$CU112, ""SELECT CU WHERE B = '"" &amp; $A99 &amp; ""'""),"""")"),99.0)</f>
        <v>99</v>
      </c>
      <c r="AB99" s="16" t="str">
        <f>IFERROR(__xludf.DUMMYFUNCTION("IFERROR(QUERY(Conscrito!$A$3:$CU112, ""SELECT CQ WHERE B = '"" &amp; $A99 &amp; ""'""),"""")"),"Sim")</f>
        <v>Sim</v>
      </c>
      <c r="AC99" s="16">
        <v>2.0</v>
      </c>
      <c r="AD99" s="16">
        <v>696.0</v>
      </c>
      <c r="AE99" s="21" t="s">
        <v>1025</v>
      </c>
    </row>
    <row r="100">
      <c r="A100" s="15" t="s">
        <v>1026</v>
      </c>
      <c r="B100" s="16">
        <v>3.2000467901E11</v>
      </c>
      <c r="C100" s="17">
        <v>44663.0</v>
      </c>
      <c r="D100" s="18">
        <v>0.4166666666666667</v>
      </c>
      <c r="E100" s="19" t="s">
        <v>35</v>
      </c>
      <c r="F100" s="19" t="s">
        <v>36</v>
      </c>
      <c r="G100" s="16">
        <v>8.0</v>
      </c>
      <c r="H100" s="19" t="str">
        <f>IFERROR(__xludf.DUMMYFUNCTION("IFERROR(IF(QUERY('S2'!$A$3:$D112, ""SELECT C WHERE A = '"" &amp; $A100 &amp; ""'""),""Averiguar"",""""),"""")"),"")</f>
        <v/>
      </c>
      <c r="I100" s="20" t="str">
        <f>IFERROR(__xludf.DUMMYFUNCTION("IFERROR(QUERY(DBI!$A$2:$Y112, ""SELECT Y WHERE B = '"" &amp; $A100 &amp; ""'""),"""")"),"")</f>
        <v/>
      </c>
      <c r="J100" s="21" t="str">
        <f>IFERROR(__xludf.DUMMYFUNCTION("IFERROR(QUERY(Medico!$A$3:$Q112, ""SELECT P WHERE B = '"" &amp; $A100 &amp; ""'""),"""")"),"Indicado")</f>
        <v>Indicado</v>
      </c>
      <c r="K100" s="22" t="str">
        <f>IFERROR(__xludf.DUMMYFUNCTION("IFERROR(QUERY(Odonto!$A$3:$K112, ""SELECT J WHERE B = '"" &amp; $A100 &amp; ""'""),"""")"),"Indicado")</f>
        <v>Indicado</v>
      </c>
      <c r="L100" s="16" t="s">
        <v>51</v>
      </c>
      <c r="M100" s="23" t="s">
        <v>38</v>
      </c>
      <c r="N100" s="38">
        <v>37529.0</v>
      </c>
      <c r="O100" s="39" t="s">
        <v>1027</v>
      </c>
      <c r="P100" s="39" t="s">
        <v>1028</v>
      </c>
      <c r="Q100" s="64">
        <v>4.8804124814E10</v>
      </c>
      <c r="R100" s="28" t="s">
        <v>1029</v>
      </c>
      <c r="S100" s="28" t="s">
        <v>1030</v>
      </c>
      <c r="T100" s="28" t="s">
        <v>1031</v>
      </c>
      <c r="U100" s="28" t="s">
        <v>45</v>
      </c>
      <c r="V100" s="41">
        <v>4376040.0</v>
      </c>
      <c r="W100" s="65">
        <v>1.1973451052E10</v>
      </c>
      <c r="X100" s="28" t="s">
        <v>1032</v>
      </c>
      <c r="Y100" s="31">
        <f t="shared" si="1"/>
        <v>100</v>
      </c>
      <c r="Z100" s="32" t="s">
        <v>1033</v>
      </c>
      <c r="AA100" s="16">
        <f>IFERROR(__xludf.DUMMYFUNCTION("IFERROR(QUERY(Conscrito!$A$3:$CU112, ""SELECT CU WHERE B = '"" &amp; $A100 &amp; ""'""),"""")"),100.0)</f>
        <v>100</v>
      </c>
      <c r="AB100" s="16" t="str">
        <f>IFERROR(__xludf.DUMMYFUNCTION("IFERROR(QUERY(Conscrito!$A$3:$CU112, ""SELECT CQ WHERE B = '"" &amp; $A100 &amp; ""'""),"""")"),"Sim")</f>
        <v>Sim</v>
      </c>
      <c r="AC100" s="16">
        <v>2.0</v>
      </c>
      <c r="AD100" s="16">
        <v>697.0</v>
      </c>
      <c r="AE100" s="21" t="s">
        <v>1034</v>
      </c>
    </row>
    <row r="101">
      <c r="A101" s="15" t="s">
        <v>1035</v>
      </c>
      <c r="B101" s="16">
        <v>3.20004331149E11</v>
      </c>
      <c r="C101" s="17">
        <v>44664.0</v>
      </c>
      <c r="D101" s="18">
        <v>0.4583333333333333</v>
      </c>
      <c r="E101" s="19" t="s">
        <v>35</v>
      </c>
      <c r="F101" s="19" t="s">
        <v>36</v>
      </c>
      <c r="G101" s="16">
        <v>2.0</v>
      </c>
      <c r="H101" s="19" t="str">
        <f>IFERROR(__xludf.DUMMYFUNCTION("IFERROR(IF(QUERY('S2'!$A$3:$D112, ""SELECT C WHERE A = '"" &amp; $A101 &amp; ""'""),""Averiguar"",""""),"""")"),"")</f>
        <v/>
      </c>
      <c r="I101" s="20" t="str">
        <f>IFERROR(__xludf.DUMMYFUNCTION("IFERROR(QUERY(DBI!$A$2:$Y112, ""SELECT Y WHERE B = '"" &amp; $A101 &amp; ""'""),"""")"),"")</f>
        <v/>
      </c>
      <c r="J101" s="21" t="str">
        <f>IFERROR(__xludf.DUMMYFUNCTION("IFERROR(QUERY(Medico!$A$3:$Q112, ""SELECT P WHERE B = '"" &amp; $A101 &amp; ""'""),"""")"),"Indicado")</f>
        <v>Indicado</v>
      </c>
      <c r="K101" s="22" t="str">
        <f>IFERROR(__xludf.DUMMYFUNCTION("IFERROR(QUERY(Odonto!$A$3:$K112, ""SELECT J WHERE B = '"" &amp; $A101 &amp; ""'""),"""")"),"Indicado")</f>
        <v>Indicado</v>
      </c>
      <c r="L101" s="16" t="s">
        <v>51</v>
      </c>
      <c r="M101" s="23" t="s">
        <v>38</v>
      </c>
      <c r="N101" s="38">
        <v>37533.0</v>
      </c>
      <c r="O101" s="39" t="s">
        <v>39</v>
      </c>
      <c r="P101" s="39" t="s">
        <v>1036</v>
      </c>
      <c r="Q101" s="40" t="s">
        <v>1037</v>
      </c>
      <c r="R101" s="28" t="s">
        <v>1038</v>
      </c>
      <c r="S101" s="28" t="s">
        <v>1039</v>
      </c>
      <c r="T101" s="28" t="s">
        <v>1040</v>
      </c>
      <c r="U101" s="28" t="s">
        <v>45</v>
      </c>
      <c r="V101" s="41">
        <v>4847010.0</v>
      </c>
      <c r="W101" s="42" t="s">
        <v>1041</v>
      </c>
      <c r="X101" s="28" t="s">
        <v>1042</v>
      </c>
      <c r="Y101" s="31">
        <f t="shared" si="1"/>
        <v>101</v>
      </c>
      <c r="Z101" s="32" t="s">
        <v>1043</v>
      </c>
      <c r="AA101" s="16">
        <f>IFERROR(__xludf.DUMMYFUNCTION("IFERROR(QUERY(Conscrito!$A$3:$CU112, ""SELECT CU WHERE B = '"" &amp; $A101 &amp; ""'""),"""")"),101.0)</f>
        <v>101</v>
      </c>
      <c r="AB101" s="16" t="str">
        <f>IFERROR(__xludf.DUMMYFUNCTION("IFERROR(QUERY(Conscrito!$A$3:$CU112, ""SELECT CQ WHERE B = '"" &amp; $A101 &amp; ""'""),"""")"),"Sim")</f>
        <v>Sim</v>
      </c>
      <c r="AC101" s="16">
        <v>1.0</v>
      </c>
      <c r="AD101" s="16">
        <v>698.0</v>
      </c>
      <c r="AE101" s="21" t="s">
        <v>1044</v>
      </c>
    </row>
    <row r="102">
      <c r="A102" s="15" t="s">
        <v>1045</v>
      </c>
      <c r="B102" s="16">
        <v>3.20004058097E11</v>
      </c>
      <c r="C102" s="17">
        <v>44665.0</v>
      </c>
      <c r="D102" s="18">
        <v>0.3333333333333333</v>
      </c>
      <c r="E102" s="19" t="s">
        <v>35</v>
      </c>
      <c r="F102" s="19" t="s">
        <v>36</v>
      </c>
      <c r="G102" s="16">
        <v>11.0</v>
      </c>
      <c r="H102" s="19" t="str">
        <f>IFERROR(__xludf.DUMMYFUNCTION("IFERROR(IF(QUERY('S2'!$A$3:$D112, ""SELECT C WHERE A = '"" &amp; $A102 &amp; ""'""),""Averiguar"",""""),"""")"),"")</f>
        <v/>
      </c>
      <c r="I102" s="20" t="str">
        <f>IFERROR(__xludf.DUMMYFUNCTION("IFERROR(QUERY(DBI!$A$2:$Y112, ""SELECT Y WHERE B = '"" &amp; $A102 &amp; ""'""),"""")"),"")</f>
        <v/>
      </c>
      <c r="J102" s="21" t="str">
        <f>IFERROR(__xludf.DUMMYFUNCTION("IFERROR(QUERY(Medico!$A$3:$Q112, ""SELECT P WHERE B = '"" &amp; $A102 &amp; ""'""),"""")"),"Indicado")</f>
        <v>Indicado</v>
      </c>
      <c r="K102" s="22" t="str">
        <f>IFERROR(__xludf.DUMMYFUNCTION("IFERROR(QUERY(Odonto!$A$3:$K112, ""SELECT J WHERE B = '"" &amp; $A102 &amp; ""'""),"""")"),"Indicado")</f>
        <v>Indicado</v>
      </c>
      <c r="L102" s="16" t="s">
        <v>84</v>
      </c>
      <c r="M102" s="23" t="s">
        <v>38</v>
      </c>
      <c r="N102" s="38">
        <v>37538.0</v>
      </c>
      <c r="O102" s="39" t="s">
        <v>39</v>
      </c>
      <c r="P102" s="39" t="s">
        <v>1046</v>
      </c>
      <c r="Q102" s="40" t="s">
        <v>1047</v>
      </c>
      <c r="R102" s="28" t="s">
        <v>1048</v>
      </c>
      <c r="S102" s="28" t="s">
        <v>1049</v>
      </c>
      <c r="T102" s="28" t="s">
        <v>1050</v>
      </c>
      <c r="U102" s="28" t="s">
        <v>45</v>
      </c>
      <c r="V102" s="41">
        <v>4160110.0</v>
      </c>
      <c r="W102" s="42" t="s">
        <v>1051</v>
      </c>
      <c r="X102" s="28" t="s">
        <v>1052</v>
      </c>
      <c r="Y102" s="31">
        <f t="shared" si="1"/>
        <v>102</v>
      </c>
      <c r="Z102" s="32" t="s">
        <v>1053</v>
      </c>
      <c r="AA102" s="16">
        <f>IFERROR(__xludf.DUMMYFUNCTION("IFERROR(QUERY(Conscrito!$A$3:$CU112, ""SELECT CU WHERE B = '"" &amp; $A102 &amp; ""'""),"""")"),102.0)</f>
        <v>102</v>
      </c>
      <c r="AB102" s="16" t="str">
        <f>IFERROR(__xludf.DUMMYFUNCTION("IFERROR(QUERY(Conscrito!$A$3:$CU112, ""SELECT CQ WHERE B = '"" &amp; $A102 &amp; ""'""),"""")"),"Sim")</f>
        <v>Sim</v>
      </c>
      <c r="AC102" s="16">
        <v>1.0</v>
      </c>
      <c r="AD102" s="16">
        <v>699.0</v>
      </c>
      <c r="AE102" s="21" t="s">
        <v>1054</v>
      </c>
    </row>
    <row r="103">
      <c r="A103" s="15" t="s">
        <v>1055</v>
      </c>
      <c r="B103" s="16">
        <v>3.20004210295E11</v>
      </c>
      <c r="C103" s="17">
        <v>44666.0</v>
      </c>
      <c r="D103" s="18">
        <v>0.375</v>
      </c>
      <c r="E103" s="19" t="s">
        <v>35</v>
      </c>
      <c r="F103" s="19" t="s">
        <v>36</v>
      </c>
      <c r="G103" s="16">
        <v>7.0</v>
      </c>
      <c r="H103" s="19" t="str">
        <f>IFERROR(__xludf.DUMMYFUNCTION("IFERROR(IF(QUERY('S2'!$A$3:$D112, ""SELECT C WHERE A = '"" &amp; $A103 &amp; ""'""),""Averiguar"",""""),"""")"),"")</f>
        <v/>
      </c>
      <c r="I103" s="20" t="str">
        <f>IFERROR(__xludf.DUMMYFUNCTION("IFERROR(QUERY(DBI!$A$2:$Y112, ""SELECT Y WHERE B = '"" &amp; $A103 &amp; ""'""),"""")"),"")</f>
        <v/>
      </c>
      <c r="J103" s="21" t="str">
        <f>IFERROR(__xludf.DUMMYFUNCTION("IFERROR(QUERY(Medico!$A$3:$Q112, ""SELECT P WHERE B = '"" &amp; $A103 &amp; ""'""),"""")"),"Indicado")</f>
        <v>Indicado</v>
      </c>
      <c r="K103" s="22" t="str">
        <f>IFERROR(__xludf.DUMMYFUNCTION("IFERROR(QUERY(Odonto!$A$3:$K112, ""SELECT J WHERE B = '"" &amp; $A103 &amp; ""'""),"""")"),"Indicado")</f>
        <v>Indicado</v>
      </c>
      <c r="L103" s="16" t="s">
        <v>37</v>
      </c>
      <c r="M103" s="23" t="s">
        <v>38</v>
      </c>
      <c r="N103" s="38">
        <v>37553.0</v>
      </c>
      <c r="O103" s="39" t="s">
        <v>39</v>
      </c>
      <c r="P103" s="39" t="s">
        <v>1056</v>
      </c>
      <c r="Q103" s="40" t="s">
        <v>1057</v>
      </c>
      <c r="R103" s="28" t="s">
        <v>1058</v>
      </c>
      <c r="S103" s="28" t="s">
        <v>1059</v>
      </c>
      <c r="T103" s="28" t="s">
        <v>1060</v>
      </c>
      <c r="U103" s="28" t="s">
        <v>45</v>
      </c>
      <c r="V103" s="41">
        <v>4672070.0</v>
      </c>
      <c r="W103" s="42" t="s">
        <v>1061</v>
      </c>
      <c r="X103" s="28" t="s">
        <v>1062</v>
      </c>
      <c r="Y103" s="31">
        <f t="shared" si="1"/>
        <v>103</v>
      </c>
      <c r="Z103" s="32" t="s">
        <v>1063</v>
      </c>
      <c r="AA103" s="16">
        <f>IFERROR(__xludf.DUMMYFUNCTION("IFERROR(QUERY(Conscrito!$A$3:$CU112, ""SELECT CU WHERE B = '"" &amp; $A103 &amp; ""'""),"""")"),103.0)</f>
        <v>103</v>
      </c>
      <c r="AB103" s="16" t="str">
        <f>IFERROR(__xludf.DUMMYFUNCTION("IFERROR(QUERY(Conscrito!$A$3:$CU112, ""SELECT CQ WHERE B = '"" &amp; $A103 &amp; ""'""),"""")"),"Sim")</f>
        <v>Sim</v>
      </c>
      <c r="AC103" s="16">
        <v>1.0</v>
      </c>
      <c r="AD103" s="16">
        <v>700.0</v>
      </c>
      <c r="AE103" s="21" t="s">
        <v>1064</v>
      </c>
    </row>
    <row r="104">
      <c r="A104" s="15" t="s">
        <v>1065</v>
      </c>
      <c r="B104" s="16">
        <v>3.20004049473E11</v>
      </c>
      <c r="C104" s="17">
        <v>44667.0</v>
      </c>
      <c r="D104" s="18">
        <v>0.4166666666666667</v>
      </c>
      <c r="E104" s="19" t="s">
        <v>35</v>
      </c>
      <c r="F104" s="19" t="s">
        <v>36</v>
      </c>
      <c r="G104" s="16">
        <v>19.0</v>
      </c>
      <c r="H104" s="19" t="str">
        <f>IFERROR(__xludf.DUMMYFUNCTION("IFERROR(IF(QUERY('S2'!$A$3:$D112, ""SELECT C WHERE A = '"" &amp; $A104 &amp; ""'""),""Averiguar"",""""),"""")"),"")</f>
        <v/>
      </c>
      <c r="I104" s="20" t="str">
        <f>IFERROR(__xludf.DUMMYFUNCTION("IFERROR(QUERY(DBI!$A$2:$Y112, ""SELECT Y WHERE B = '"" &amp; $A104 &amp; ""'""),"""")"),"")</f>
        <v/>
      </c>
      <c r="J104" s="21" t="str">
        <f>IFERROR(__xludf.DUMMYFUNCTION("IFERROR(QUERY(Medico!$A$3:$Q112, ""SELECT P WHERE B = '"" &amp; $A104 &amp; ""'""),"""")"),"Indicado")</f>
        <v>Indicado</v>
      </c>
      <c r="K104" s="22" t="str">
        <f>IFERROR(__xludf.DUMMYFUNCTION("IFERROR(QUERY(Odonto!$A$3:$K112, ""SELECT J WHERE B = '"" &amp; $A104 &amp; ""'""),"""")"),"Indicado")</f>
        <v>Indicado</v>
      </c>
      <c r="L104" s="16" t="s">
        <v>51</v>
      </c>
      <c r="M104" s="23" t="s">
        <v>38</v>
      </c>
      <c r="N104" s="38">
        <v>37554.0</v>
      </c>
      <c r="O104" s="39" t="s">
        <v>1066</v>
      </c>
      <c r="P104" s="39" t="s">
        <v>1067</v>
      </c>
      <c r="Q104" s="40" t="s">
        <v>1068</v>
      </c>
      <c r="R104" s="28" t="s">
        <v>1069</v>
      </c>
      <c r="S104" s="28" t="s">
        <v>1070</v>
      </c>
      <c r="T104" s="28" t="s">
        <v>1071</v>
      </c>
      <c r="U104" s="28" t="s">
        <v>45</v>
      </c>
      <c r="V104" s="41">
        <v>4424120.0</v>
      </c>
      <c r="W104" s="42" t="s">
        <v>1072</v>
      </c>
      <c r="X104" s="28" t="s">
        <v>1073</v>
      </c>
      <c r="Y104" s="31">
        <f t="shared" si="1"/>
        <v>104</v>
      </c>
      <c r="Z104" s="32" t="s">
        <v>38</v>
      </c>
      <c r="AA104" s="16">
        <f>IFERROR(__xludf.DUMMYFUNCTION("IFERROR(QUERY(Conscrito!$A$3:$CU112, ""SELECT CU WHERE B = '"" &amp; $A104 &amp; ""'""),"""")"),104.0)</f>
        <v>104</v>
      </c>
      <c r="AB104" s="16" t="str">
        <f>IFERROR(__xludf.DUMMYFUNCTION("IFERROR(QUERY(Conscrito!$A$3:$CU112, ""SELECT CQ WHERE B = '"" &amp; $A104 &amp; ""'""),"""")"),"Sim")</f>
        <v>Sim</v>
      </c>
      <c r="AC104" s="16">
        <v>3.0</v>
      </c>
      <c r="AD104" s="16">
        <v>701.0</v>
      </c>
      <c r="AE104" s="21" t="s">
        <v>1074</v>
      </c>
    </row>
    <row r="105" hidden="1">
      <c r="A105" s="15" t="s">
        <v>1075</v>
      </c>
      <c r="B105" s="16">
        <v>3.20004235506E11</v>
      </c>
      <c r="C105" s="17"/>
      <c r="D105" s="18"/>
      <c r="E105" s="19" t="s">
        <v>73</v>
      </c>
      <c r="F105" s="19" t="s">
        <v>36</v>
      </c>
      <c r="G105" s="16">
        <v>20.0</v>
      </c>
      <c r="H105" s="19" t="str">
        <f>IFERROR(__xludf.DUMMYFUNCTION("IFERROR(IF(QUERY('S2'!$A$3:$D112, ""SELECT C WHERE A = '"" &amp; $A105 &amp; ""'""),""Averiguar"",""""),"""")"),"")</f>
        <v/>
      </c>
      <c r="I105" s="20" t="str">
        <f>IFERROR(__xludf.DUMMYFUNCTION("IFERROR(QUERY(DBI!$A$2:$Y112, ""SELECT Y WHERE B = '"" &amp; $A105 &amp; ""'""),"""")"),"")</f>
        <v/>
      </c>
      <c r="J105" s="21" t="str">
        <f>IFERROR(__xludf.DUMMYFUNCTION("IFERROR(QUERY(Medico!$A$3:$Q112, ""SELECT P WHERE B = '"" &amp; $A105 &amp; ""'""),"""")"),"Indicado")</f>
        <v>Indicado</v>
      </c>
      <c r="K105" s="22" t="str">
        <f>IFERROR(__xludf.DUMMYFUNCTION("IFERROR(QUERY(Odonto!$A$3:$K112, ""SELECT J WHERE B = '"" &amp; $A105 &amp; ""'""),"""")"),"Indicado")</f>
        <v>Indicado</v>
      </c>
      <c r="L105" s="16" t="s">
        <v>51</v>
      </c>
      <c r="M105" s="23" t="s">
        <v>38</v>
      </c>
      <c r="N105" s="38">
        <v>37557.0</v>
      </c>
      <c r="O105" s="39" t="s">
        <v>39</v>
      </c>
      <c r="P105" s="39" t="s">
        <v>1076</v>
      </c>
      <c r="Q105" s="40" t="s">
        <v>1077</v>
      </c>
      <c r="R105" s="28" t="s">
        <v>1078</v>
      </c>
      <c r="S105" s="28" t="s">
        <v>1079</v>
      </c>
      <c r="T105" s="28" t="s">
        <v>1080</v>
      </c>
      <c r="U105" s="28" t="s">
        <v>45</v>
      </c>
      <c r="V105" s="41">
        <v>3239040.0</v>
      </c>
      <c r="W105" s="42" t="s">
        <v>1081</v>
      </c>
      <c r="X105" s="28" t="s">
        <v>1082</v>
      </c>
      <c r="Y105" s="31">
        <f t="shared" si="1"/>
        <v>105</v>
      </c>
      <c r="Z105" s="32" t="s">
        <v>1083</v>
      </c>
      <c r="AA105" s="16">
        <f>IFERROR(__xludf.DUMMYFUNCTION("IFERROR(QUERY(Conscrito!$A$3:$CU112, ""SELECT CU WHERE B = '"" &amp; $A105 &amp; ""'""),"""")"),105.0)</f>
        <v>105</v>
      </c>
      <c r="AB105" s="16" t="str">
        <f>IFERROR(__xludf.DUMMYFUNCTION("IFERROR(QUERY(Conscrito!$A$3:$CU112, ""SELECT CQ WHERE B = '"" &amp; $A105 &amp; ""'""),"""")"),"Sim")</f>
        <v>Sim</v>
      </c>
      <c r="AC105" s="16">
        <v>3.0</v>
      </c>
      <c r="AD105" s="16">
        <v>702.0</v>
      </c>
      <c r="AE105" s="21" t="s">
        <v>1084</v>
      </c>
    </row>
    <row r="106">
      <c r="A106" s="15" t="s">
        <v>1085</v>
      </c>
      <c r="B106" s="16">
        <v>3.20004024895E11</v>
      </c>
      <c r="C106" s="17">
        <v>44668.0</v>
      </c>
      <c r="D106" s="18">
        <v>0.4583333333333333</v>
      </c>
      <c r="E106" s="19" t="s">
        <v>35</v>
      </c>
      <c r="F106" s="19" t="s">
        <v>36</v>
      </c>
      <c r="G106" s="16">
        <v>9.0</v>
      </c>
      <c r="H106" s="19" t="str">
        <f>IFERROR(__xludf.DUMMYFUNCTION("IFERROR(IF(QUERY('S2'!$A$3:$D112, ""SELECT C WHERE A = '"" &amp; $A106 &amp; ""'""),""Averiguar"",""""),"""")"),"")</f>
        <v/>
      </c>
      <c r="I106" s="20" t="str">
        <f>IFERROR(__xludf.DUMMYFUNCTION("IFERROR(QUERY(DBI!$A$2:$Y112, ""SELECT Y WHERE B = '"" &amp; $A106 &amp; ""'""),"""")"),"")</f>
        <v/>
      </c>
      <c r="J106" s="21" t="str">
        <f>IFERROR(__xludf.DUMMYFUNCTION("IFERROR(QUERY(Medico!$A$3:$Q112, ""SELECT P WHERE B = '"" &amp; $A106 &amp; ""'""),"""")"),"Parcialmente")</f>
        <v>Parcialmente</v>
      </c>
      <c r="K106" s="22" t="str">
        <f>IFERROR(__xludf.DUMMYFUNCTION("IFERROR(QUERY(Odonto!$A$3:$K112, ""SELECT J WHERE B = '"" &amp; $A106 &amp; ""'""),"""")"),"Indicado")</f>
        <v>Indicado</v>
      </c>
      <c r="L106" s="16" t="s">
        <v>51</v>
      </c>
      <c r="M106" s="23" t="s">
        <v>38</v>
      </c>
      <c r="N106" s="38">
        <v>37559.0</v>
      </c>
      <c r="O106" s="39" t="s">
        <v>39</v>
      </c>
      <c r="P106" s="39" t="s">
        <v>1086</v>
      </c>
      <c r="Q106" s="40" t="s">
        <v>1087</v>
      </c>
      <c r="R106" s="28" t="s">
        <v>1088</v>
      </c>
      <c r="S106" s="28" t="s">
        <v>1089</v>
      </c>
      <c r="T106" s="28" t="s">
        <v>1090</v>
      </c>
      <c r="U106" s="28" t="s">
        <v>45</v>
      </c>
      <c r="V106" s="41">
        <v>8450200.0</v>
      </c>
      <c r="W106" s="42" t="s">
        <v>1091</v>
      </c>
      <c r="X106" s="28" t="s">
        <v>1092</v>
      </c>
      <c r="Y106" s="31">
        <f t="shared" si="1"/>
        <v>106</v>
      </c>
      <c r="Z106" s="32" t="s">
        <v>1093</v>
      </c>
      <c r="AA106" s="16">
        <f>IFERROR(__xludf.DUMMYFUNCTION("IFERROR(QUERY(Conscrito!$A$3:$CU112, ""SELECT CU WHERE B = '"" &amp; $A106 &amp; ""'""),"""")"),106.0)</f>
        <v>106</v>
      </c>
      <c r="AB106" s="16" t="str">
        <f>IFERROR(__xludf.DUMMYFUNCTION("IFERROR(QUERY(Conscrito!$A$3:$CU112, ""SELECT CQ WHERE B = '"" &amp; $A106 &amp; ""'""),"""")"),"Sim")</f>
        <v>Sim</v>
      </c>
      <c r="AC106" s="16">
        <v>2.0</v>
      </c>
      <c r="AD106" s="16">
        <v>703.0</v>
      </c>
      <c r="AE106" s="21" t="s">
        <v>1094</v>
      </c>
    </row>
    <row r="107">
      <c r="A107" s="15" t="s">
        <v>1095</v>
      </c>
      <c r="B107" s="16">
        <v>3.20004199171E11</v>
      </c>
      <c r="C107" s="17">
        <v>44669.0</v>
      </c>
      <c r="D107" s="18">
        <v>0.3333333333333333</v>
      </c>
      <c r="E107" s="19" t="s">
        <v>35</v>
      </c>
      <c r="F107" s="19" t="s">
        <v>36</v>
      </c>
      <c r="G107" s="16">
        <v>12.0</v>
      </c>
      <c r="H107" s="19" t="str">
        <f>IFERROR(__xludf.DUMMYFUNCTION("IFERROR(IF(QUERY('S2'!$A$3:$D112, ""SELECT C WHERE A = '"" &amp; $A107 &amp; ""'""),""Averiguar"",""""),"""")"),"")</f>
        <v/>
      </c>
      <c r="I107" s="20" t="str">
        <f>IFERROR(__xludf.DUMMYFUNCTION("IFERROR(QUERY(DBI!$A$2:$Y112, ""SELECT Y WHERE B = '"" &amp; $A107 &amp; ""'""),"""")"),"")</f>
        <v/>
      </c>
      <c r="J107" s="21" t="str">
        <f>IFERROR(__xludf.DUMMYFUNCTION("IFERROR(QUERY(Medico!$A$3:$Q112, ""SELECT P WHERE B = '"" &amp; $A107 &amp; ""'""),"""")"),"Indicado")</f>
        <v>Indicado</v>
      </c>
      <c r="K107" s="22" t="str">
        <f>IFERROR(__xludf.DUMMYFUNCTION("IFERROR(QUERY(Odonto!$A$3:$K112, ""SELECT J WHERE B = '"" &amp; $A107 &amp; ""'""),"""")"),"Indicado")</f>
        <v>Indicado</v>
      </c>
      <c r="L107" s="16" t="s">
        <v>51</v>
      </c>
      <c r="M107" s="23" t="s">
        <v>38</v>
      </c>
      <c r="N107" s="38">
        <v>37565.0</v>
      </c>
      <c r="O107" s="39" t="s">
        <v>1027</v>
      </c>
      <c r="P107" s="39" t="s">
        <v>1096</v>
      </c>
      <c r="Q107" s="40" t="s">
        <v>1097</v>
      </c>
      <c r="R107" s="28" t="s">
        <v>1098</v>
      </c>
      <c r="S107" s="28" t="s">
        <v>1099</v>
      </c>
      <c r="T107" s="28" t="s">
        <v>1100</v>
      </c>
      <c r="U107" s="28" t="s">
        <v>45</v>
      </c>
      <c r="V107" s="41">
        <v>4439070.0</v>
      </c>
      <c r="W107" s="42" t="s">
        <v>1101</v>
      </c>
      <c r="X107" s="28" t="s">
        <v>1102</v>
      </c>
      <c r="Y107" s="31">
        <f t="shared" si="1"/>
        <v>107</v>
      </c>
      <c r="Z107" s="32" t="s">
        <v>1103</v>
      </c>
      <c r="AA107" s="16">
        <f>IFERROR(__xludf.DUMMYFUNCTION("IFERROR(QUERY(Conscrito!$A$3:$CU112, ""SELECT CU WHERE B = '"" &amp; $A107 &amp; ""'""),"""")"),107.0)</f>
        <v>107</v>
      </c>
      <c r="AB107" s="16" t="str">
        <f>IFERROR(__xludf.DUMMYFUNCTION("IFERROR(QUERY(Conscrito!$A$3:$CU112, ""SELECT CQ WHERE B = '"" &amp; $A107 &amp; ""'""),"""")"),"Sim")</f>
        <v>Sim</v>
      </c>
      <c r="AC107" s="16">
        <v>2.0</v>
      </c>
      <c r="AD107" s="16">
        <v>704.0</v>
      </c>
      <c r="AE107" s="21" t="s">
        <v>1104</v>
      </c>
    </row>
    <row r="108">
      <c r="A108" s="15" t="s">
        <v>1105</v>
      </c>
      <c r="B108" s="16">
        <v>3.20004321109E11</v>
      </c>
      <c r="C108" s="17">
        <v>44670.0</v>
      </c>
      <c r="D108" s="18">
        <v>0.375</v>
      </c>
      <c r="E108" s="19" t="s">
        <v>35</v>
      </c>
      <c r="F108" s="19" t="s">
        <v>36</v>
      </c>
      <c r="G108" s="16">
        <v>17.0</v>
      </c>
      <c r="H108" s="19" t="str">
        <f>IFERROR(__xludf.DUMMYFUNCTION("IFERROR(IF(QUERY('S2'!$A$3:$D112, ""SELECT C WHERE A = '"" &amp; $A108 &amp; ""'""),""Averiguar"",""""),"""")"),"")</f>
        <v/>
      </c>
      <c r="I108" s="20" t="str">
        <f>IFERROR(__xludf.DUMMYFUNCTION("IFERROR(QUERY(DBI!$A$2:$Y112, ""SELECT Y WHERE B = '"" &amp; $A108 &amp; ""'""),"""")"),"")</f>
        <v/>
      </c>
      <c r="J108" s="21" t="str">
        <f>IFERROR(__xludf.DUMMYFUNCTION("IFERROR(QUERY(Medico!$A$3:$Q112, ""SELECT P WHERE B = '"" &amp; $A108 &amp; ""'""),"""")"),"Indicado")</f>
        <v>Indicado</v>
      </c>
      <c r="K108" s="22" t="str">
        <f>IFERROR(__xludf.DUMMYFUNCTION("IFERROR(QUERY(Odonto!$A$3:$K112, ""SELECT J WHERE B = '"" &amp; $A108 &amp; ""'""),"""")"),"Indicado")</f>
        <v>Indicado</v>
      </c>
      <c r="L108" s="16" t="s">
        <v>37</v>
      </c>
      <c r="M108" s="23" t="s">
        <v>38</v>
      </c>
      <c r="N108" s="38">
        <v>37570.0</v>
      </c>
      <c r="O108" s="39" t="s">
        <v>39</v>
      </c>
      <c r="P108" s="39" t="s">
        <v>1106</v>
      </c>
      <c r="Q108" s="40" t="s">
        <v>1107</v>
      </c>
      <c r="R108" s="28" t="s">
        <v>1108</v>
      </c>
      <c r="S108" s="28" t="s">
        <v>1109</v>
      </c>
      <c r="T108" s="28" t="s">
        <v>1110</v>
      </c>
      <c r="U108" s="28" t="s">
        <v>45</v>
      </c>
      <c r="V108" s="41">
        <v>4815030.0</v>
      </c>
      <c r="W108" s="42" t="s">
        <v>1111</v>
      </c>
      <c r="X108" s="28" t="s">
        <v>1112</v>
      </c>
      <c r="Y108" s="31">
        <f t="shared" si="1"/>
        <v>108</v>
      </c>
      <c r="Z108" s="32" t="s">
        <v>1113</v>
      </c>
      <c r="AA108" s="16">
        <f>IFERROR(__xludf.DUMMYFUNCTION("IFERROR(QUERY(Conscrito!$A$3:$CU112, ""SELECT CU WHERE B = '"" &amp; $A108 &amp; ""'""),"""")"),108.0)</f>
        <v>108</v>
      </c>
      <c r="AB108" s="16" t="str">
        <f>IFERROR(__xludf.DUMMYFUNCTION("IFERROR(QUERY(Conscrito!$A$3:$CU112, ""SELECT CQ WHERE B = '"" &amp; $A108 &amp; ""'""),"""")"),"Sim")</f>
        <v>Sim</v>
      </c>
      <c r="AC108" s="16">
        <v>3.0</v>
      </c>
      <c r="AD108" s="16">
        <v>705.0</v>
      </c>
      <c r="AE108" s="21" t="s">
        <v>1114</v>
      </c>
    </row>
    <row r="109">
      <c r="A109" s="15" t="s">
        <v>1115</v>
      </c>
      <c r="B109" s="16">
        <v>3.20004008801E11</v>
      </c>
      <c r="C109" s="17">
        <v>44671.0</v>
      </c>
      <c r="D109" s="18">
        <v>0.4166666666666667</v>
      </c>
      <c r="E109" s="19" t="s">
        <v>35</v>
      </c>
      <c r="F109" s="19" t="s">
        <v>36</v>
      </c>
      <c r="G109" s="16">
        <v>21.0</v>
      </c>
      <c r="H109" s="19" t="str">
        <f>IFERROR(__xludf.DUMMYFUNCTION("IFERROR(IF(QUERY('S2'!$A$3:$D112, ""SELECT C WHERE A = '"" &amp; $A109 &amp; ""'""),""Averiguar"",""""),"""")"),"")</f>
        <v/>
      </c>
      <c r="I109" s="20" t="str">
        <f>IFERROR(__xludf.DUMMYFUNCTION("IFERROR(QUERY(DBI!$A$2:$Y112, ""SELECT Y WHERE B = '"" &amp; $A109 &amp; ""'""),"""")"),"")</f>
        <v/>
      </c>
      <c r="J109" s="21" t="str">
        <f>IFERROR(__xludf.DUMMYFUNCTION("IFERROR(QUERY(Medico!$A$3:$Q112, ""SELECT P WHERE B = '"" &amp; $A109 &amp; ""'""),"""")"),"Indicado")</f>
        <v>Indicado</v>
      </c>
      <c r="K109" s="22" t="str">
        <f>IFERROR(__xludf.DUMMYFUNCTION("IFERROR(QUERY(Odonto!$A$3:$K112, ""SELECT J WHERE B = '"" &amp; $A109 &amp; ""'""),"""")"),"Indicado")</f>
        <v>Indicado</v>
      </c>
      <c r="L109" s="16" t="s">
        <v>37</v>
      </c>
      <c r="M109" s="23" t="s">
        <v>38</v>
      </c>
      <c r="N109" s="38">
        <v>37571.0</v>
      </c>
      <c r="O109" s="39" t="s">
        <v>39</v>
      </c>
      <c r="P109" s="39" t="s">
        <v>1116</v>
      </c>
      <c r="Q109" s="40" t="s">
        <v>1117</v>
      </c>
      <c r="R109" s="28" t="s">
        <v>1118</v>
      </c>
      <c r="S109" s="28" t="s">
        <v>1119</v>
      </c>
      <c r="T109" s="28" t="s">
        <v>1120</v>
      </c>
      <c r="U109" s="28" t="s">
        <v>45</v>
      </c>
      <c r="V109" s="41">
        <v>3357020.0</v>
      </c>
      <c r="W109" s="42" t="s">
        <v>1121</v>
      </c>
      <c r="X109" s="28" t="s">
        <v>1122</v>
      </c>
      <c r="Y109" s="31">
        <f t="shared" si="1"/>
        <v>109</v>
      </c>
      <c r="Z109" s="32" t="s">
        <v>1123</v>
      </c>
      <c r="AA109" s="16">
        <f>IFERROR(__xludf.DUMMYFUNCTION("IFERROR(QUERY(Conscrito!$A$3:$CU112, ""SELECT CU WHERE B = '"" &amp; $A109 &amp; ""'""),"""")"),109.0)</f>
        <v>109</v>
      </c>
      <c r="AB109" s="16" t="str">
        <f>IFERROR(__xludf.DUMMYFUNCTION("IFERROR(QUERY(Conscrito!$A$3:$CU112, ""SELECT CQ WHERE B = '"" &amp; $A109 &amp; ""'""),"""")"),"Sim")</f>
        <v>Sim</v>
      </c>
      <c r="AC109" s="16">
        <v>3.0</v>
      </c>
      <c r="AD109" s="16">
        <v>706.0</v>
      </c>
      <c r="AE109" s="21" t="s">
        <v>1124</v>
      </c>
    </row>
    <row r="110" hidden="1">
      <c r="A110" s="15" t="s">
        <v>1125</v>
      </c>
      <c r="B110" s="16">
        <v>3.2000463457E11</v>
      </c>
      <c r="C110" s="17"/>
      <c r="D110" s="18"/>
      <c r="E110" s="19" t="s">
        <v>73</v>
      </c>
      <c r="F110" s="19" t="s">
        <v>36</v>
      </c>
      <c r="G110" s="16">
        <v>21.0</v>
      </c>
      <c r="H110" s="19" t="str">
        <f>IFERROR(__xludf.DUMMYFUNCTION("IFERROR(IF(QUERY('S2'!$A$3:$D112, ""SELECT C WHERE A = '"" &amp; $A110 &amp; ""'""),""Averiguar"",""""),"""")"),"")</f>
        <v/>
      </c>
      <c r="I110" s="20" t="str">
        <f>IFERROR(__xludf.DUMMYFUNCTION("IFERROR(QUERY(DBI!$A$2:$Y112, ""SELECT Y WHERE B = '"" &amp; $A110 &amp; ""'""),"""")"),"")</f>
        <v/>
      </c>
      <c r="J110" s="21" t="str">
        <f>IFERROR(__xludf.DUMMYFUNCTION("IFERROR(QUERY(Medico!$A$3:$Q112, ""SELECT P WHERE B = '"" &amp; $A110 &amp; ""'""),"""")"),"Indicado")</f>
        <v>Indicado</v>
      </c>
      <c r="K110" s="22" t="str">
        <f>IFERROR(__xludf.DUMMYFUNCTION("IFERROR(QUERY(Odonto!$A$3:$K112, ""SELECT J WHERE B = '"" &amp; $A110 &amp; ""'""),"""")"),"Indicado")</f>
        <v>Indicado</v>
      </c>
      <c r="L110" s="16" t="s">
        <v>51</v>
      </c>
      <c r="M110" s="23" t="s">
        <v>38</v>
      </c>
      <c r="N110" s="38">
        <v>37595.0</v>
      </c>
      <c r="O110" s="39" t="s">
        <v>39</v>
      </c>
      <c r="P110" s="39" t="s">
        <v>1126</v>
      </c>
      <c r="Q110" s="40" t="s">
        <v>1127</v>
      </c>
      <c r="R110" s="28" t="s">
        <v>1128</v>
      </c>
      <c r="S110" s="28" t="s">
        <v>1129</v>
      </c>
      <c r="T110" s="28" t="s">
        <v>1130</v>
      </c>
      <c r="U110" s="28" t="s">
        <v>45</v>
      </c>
      <c r="V110" s="41">
        <v>4350020.0</v>
      </c>
      <c r="W110" s="42" t="s">
        <v>1131</v>
      </c>
      <c r="X110" s="28" t="s">
        <v>1132</v>
      </c>
      <c r="Y110" s="31">
        <f t="shared" si="1"/>
        <v>110</v>
      </c>
      <c r="Z110" s="32" t="s">
        <v>1133</v>
      </c>
      <c r="AA110" s="16">
        <f>IFERROR(__xludf.DUMMYFUNCTION("IFERROR(QUERY(Conscrito!$A$3:$CU112, ""SELECT CU WHERE B = '"" &amp; $A110 &amp; ""'""),"""")"),110.0)</f>
        <v>110</v>
      </c>
      <c r="AB110" s="16" t="str">
        <f>IFERROR(__xludf.DUMMYFUNCTION("IFERROR(QUERY(Conscrito!$A$3:$CU112, ""SELECT CQ WHERE B = '"" &amp; $A110 &amp; ""'""),"""")"),"Sim")</f>
        <v>Sim</v>
      </c>
      <c r="AC110" s="16">
        <v>3.0</v>
      </c>
      <c r="AD110" s="16">
        <v>707.0</v>
      </c>
      <c r="AE110" s="21" t="s">
        <v>1134</v>
      </c>
    </row>
    <row r="111">
      <c r="A111" s="15" t="s">
        <v>1135</v>
      </c>
      <c r="B111" s="16">
        <v>3.20004245623E11</v>
      </c>
      <c r="C111" s="17">
        <v>44672.0</v>
      </c>
      <c r="D111" s="18">
        <v>0.4583333333333333</v>
      </c>
      <c r="E111" s="19" t="s">
        <v>35</v>
      </c>
      <c r="F111" s="19" t="s">
        <v>36</v>
      </c>
      <c r="G111" s="16">
        <v>4.0</v>
      </c>
      <c r="H111" s="19" t="str">
        <f>IFERROR(__xludf.DUMMYFUNCTION("IFERROR(IF(QUERY('S2'!$A$3:$D112, ""SELECT C WHERE A = '"" &amp; $A111 &amp; ""'""),""Averiguar"",""""),"""")"),"")</f>
        <v/>
      </c>
      <c r="I111" s="20" t="str">
        <f>IFERROR(__xludf.DUMMYFUNCTION("IFERROR(QUERY(DBI!$A$2:$Y112, ""SELECT Y WHERE B = '"" &amp; $A111 &amp; ""'""),"""")"),"")</f>
        <v/>
      </c>
      <c r="J111" s="21" t="str">
        <f>IFERROR(__xludf.DUMMYFUNCTION("IFERROR(QUERY(Medico!$A$3:$Q112, ""SELECT P WHERE B = '"" &amp; $A111 &amp; ""'""),"""")"),"Indicado")</f>
        <v>Indicado</v>
      </c>
      <c r="K111" s="22" t="str">
        <f>IFERROR(__xludf.DUMMYFUNCTION("IFERROR(QUERY(Odonto!$A$3:$K112, ""SELECT J WHERE B = '"" &amp; $A111 &amp; ""'""),"""")"),"Indicado")</f>
        <v>Indicado</v>
      </c>
      <c r="L111" s="16" t="s">
        <v>51</v>
      </c>
      <c r="M111" s="23" t="s">
        <v>38</v>
      </c>
      <c r="N111" s="38">
        <v>37598.0</v>
      </c>
      <c r="O111" s="39" t="s">
        <v>39</v>
      </c>
      <c r="P111" s="39" t="s">
        <v>1136</v>
      </c>
      <c r="Q111" s="40" t="s">
        <v>1137</v>
      </c>
      <c r="R111" s="28" t="s">
        <v>1138</v>
      </c>
      <c r="S111" s="28" t="s">
        <v>1139</v>
      </c>
      <c r="T111" s="28" t="s">
        <v>1140</v>
      </c>
      <c r="U111" s="28" t="s">
        <v>45</v>
      </c>
      <c r="V111" s="41">
        <v>4858340.0</v>
      </c>
      <c r="W111" s="42" t="s">
        <v>1141</v>
      </c>
      <c r="X111" s="28" t="s">
        <v>1142</v>
      </c>
      <c r="Y111" s="31">
        <f t="shared" si="1"/>
        <v>111</v>
      </c>
      <c r="Z111" s="32" t="s">
        <v>1143</v>
      </c>
      <c r="AA111" s="16">
        <f>IFERROR(__xludf.DUMMYFUNCTION("IFERROR(QUERY(Conscrito!$A$3:$CU112, ""SELECT CU WHERE B = '"" &amp; $A111 &amp; ""'""),"""")"),111.0)</f>
        <v>111</v>
      </c>
      <c r="AB111" s="16" t="str">
        <f>IFERROR(__xludf.DUMMYFUNCTION("IFERROR(QUERY(Conscrito!$A$3:$CU112, ""SELECT CQ WHERE B = '"" &amp; $A111 &amp; ""'""),"""")"),"Sim")</f>
        <v>Sim</v>
      </c>
      <c r="AC111" s="16">
        <v>1.0</v>
      </c>
      <c r="AD111" s="16">
        <v>708.0</v>
      </c>
      <c r="AE111" s="21" t="s">
        <v>1144</v>
      </c>
    </row>
    <row r="112" hidden="1">
      <c r="A112" s="15" t="s">
        <v>1145</v>
      </c>
      <c r="B112" s="16">
        <v>3.20004001962E11</v>
      </c>
      <c r="C112" s="17"/>
      <c r="D112" s="18"/>
      <c r="E112" s="19" t="s">
        <v>73</v>
      </c>
      <c r="F112" s="19" t="s">
        <v>36</v>
      </c>
      <c r="G112" s="16">
        <v>4.0</v>
      </c>
      <c r="H112" s="19" t="str">
        <f>IFERROR(__xludf.DUMMYFUNCTION("IFERROR(IF(QUERY('S2'!$A$3:$D112, ""SELECT C WHERE A = '"" &amp; $A112 &amp; ""'""),""Averiguar"",""""),"""")"),"")</f>
        <v/>
      </c>
      <c r="I112" s="20" t="str">
        <f>IFERROR(__xludf.DUMMYFUNCTION("IFERROR(QUERY(DBI!$A$2:$Y112, ""SELECT Y WHERE B = '"" &amp; $A112 &amp; ""'""),"""")"),"")</f>
        <v/>
      </c>
      <c r="J112" s="21" t="str">
        <f>IFERROR(__xludf.DUMMYFUNCTION("IFERROR(QUERY(Medico!$A$3:$Q112, ""SELECT P WHERE B = '"" &amp; $A112 &amp; ""'""),"""")"),"Indicado")</f>
        <v>Indicado</v>
      </c>
      <c r="K112" s="22" t="str">
        <f>IFERROR(__xludf.DUMMYFUNCTION("IFERROR(QUERY(Odonto!$A$3:$K112, ""SELECT J WHERE B = '"" &amp; $A112 &amp; ""'""),"""")"),"Indicado")</f>
        <v>Indicado</v>
      </c>
      <c r="L112" s="16" t="s">
        <v>37</v>
      </c>
      <c r="M112" s="16" t="s">
        <v>38</v>
      </c>
      <c r="N112" s="33">
        <v>37610.0</v>
      </c>
      <c r="O112" s="31" t="s">
        <v>39</v>
      </c>
      <c r="P112" s="31" t="s">
        <v>1146</v>
      </c>
      <c r="Q112" s="34" t="s">
        <v>1147</v>
      </c>
      <c r="R112" s="35" t="s">
        <v>1148</v>
      </c>
      <c r="S112" s="35" t="s">
        <v>1149</v>
      </c>
      <c r="T112" s="35" t="s">
        <v>1150</v>
      </c>
      <c r="U112" s="35" t="s">
        <v>45</v>
      </c>
      <c r="V112" s="36">
        <v>4624111.0</v>
      </c>
      <c r="W112" s="37" t="s">
        <v>1151</v>
      </c>
      <c r="X112" s="35" t="s">
        <v>1152</v>
      </c>
      <c r="Y112" s="31">
        <f t="shared" si="1"/>
        <v>112</v>
      </c>
      <c r="Z112" s="32" t="s">
        <v>1153</v>
      </c>
      <c r="AA112" s="16">
        <f>IFERROR(__xludf.DUMMYFUNCTION("IFERROR(QUERY(Conscrito!$A$3:$CU112, ""SELECT CU WHERE B = '"" &amp; $A112 &amp; ""'""),"""")"),112.0)</f>
        <v>112</v>
      </c>
      <c r="AB112" s="16" t="str">
        <f>IFERROR(__xludf.DUMMYFUNCTION("IFERROR(QUERY(Conscrito!$A$3:$CU112, ""SELECT CQ WHERE B = '"" &amp; $A112 &amp; ""'""),"""")"),"Sim")</f>
        <v>Sim</v>
      </c>
      <c r="AC112" s="16">
        <v>1.0</v>
      </c>
      <c r="AD112" s="16">
        <v>709.0</v>
      </c>
      <c r="AE112" s="21" t="s">
        <v>1154</v>
      </c>
    </row>
  </sheetData>
  <autoFilter ref="$E$1:$E$112">
    <filterColumn colId="0">
      <filters>
        <filter val="Sim"/>
        <filter val="Declaração"/>
      </filters>
    </filterColumn>
  </autoFilter>
  <mergeCells count="1">
    <mergeCell ref="N1:Z1"/>
  </mergeCells>
  <conditionalFormatting sqref="F3:F112">
    <cfRule type="cellIs" dxfId="0" priority="1" operator="equal">
      <formula>"Apresentado"</formula>
    </cfRule>
  </conditionalFormatting>
  <conditionalFormatting sqref="A3:AE112">
    <cfRule type="expression" dxfId="0" priority="2">
      <formula>$F3="Dispensado"</formula>
    </cfRule>
  </conditionalFormatting>
  <conditionalFormatting sqref="AE3:AE112">
    <cfRule type="expression" dxfId="1" priority="3">
      <formula>COUNTIF(AE3:AE112,AE3)&gt;1</formula>
    </cfRule>
  </conditionalFormatting>
  <dataValidations>
    <dataValidation type="list" allowBlank="1" sqref="E3:E112">
      <formula1>"Sim,Não"</formula1>
    </dataValidation>
    <dataValidation type="list" allowBlank="1" sqref="F3:F112">
      <formula1>"Não apresentado,Apresentado,Forms Preenchido,Psicológico,Saúde,Entrevista,Grade de Fardamento,Visita Social,Selecionado,Majorado,Dispensado"</formula1>
    </dataValidation>
  </dataValidations>
  <printOptions gridLines="1" horizontalCentered="1"/>
  <pageMargins bottom="0.75" footer="0.0" header="0.0" left="0.7" right="0.7" top="0.75"/>
  <pageSetup fitToHeight="0" paperSize="9" cellComments="atEnd" orientation="portrait"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1.57"/>
    <col customWidth="1" min="2" max="2" width="48.14"/>
    <col customWidth="1" min="3" max="98" width="21.57"/>
    <col customWidth="1" min="99" max="99" width="10.14"/>
    <col customWidth="1" min="100" max="100" width="9.71"/>
  </cols>
  <sheetData>
    <row r="1" hidden="1">
      <c r="A1" s="66"/>
      <c r="B1" s="66"/>
      <c r="C1" s="66"/>
      <c r="D1" s="66"/>
      <c r="E1" s="66"/>
      <c r="F1" s="66"/>
      <c r="G1" s="66"/>
      <c r="H1" s="67"/>
      <c r="I1" s="66"/>
      <c r="J1" s="67"/>
      <c r="K1" s="66"/>
      <c r="L1" s="66"/>
      <c r="M1" s="66"/>
      <c r="N1" s="66"/>
      <c r="O1" s="68"/>
      <c r="P1" s="66"/>
      <c r="Q1" s="66"/>
      <c r="R1" s="66"/>
      <c r="S1" s="66"/>
      <c r="T1" s="67"/>
      <c r="U1" s="66"/>
      <c r="V1" s="66"/>
      <c r="W1" s="66"/>
      <c r="X1" s="66"/>
      <c r="Y1" s="66"/>
      <c r="Z1" s="66"/>
      <c r="AA1" s="67"/>
      <c r="AB1" s="67"/>
      <c r="AC1" s="66"/>
      <c r="AD1" s="66"/>
      <c r="AE1" s="66"/>
      <c r="AF1" s="67"/>
      <c r="AG1" s="66"/>
      <c r="AH1" s="69"/>
      <c r="AI1" s="66"/>
      <c r="AJ1" s="67"/>
      <c r="AK1" s="66"/>
      <c r="AL1" s="66"/>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6"/>
      <c r="CD1" s="67"/>
      <c r="CE1" s="66"/>
      <c r="CF1" s="67"/>
      <c r="CG1" s="66"/>
      <c r="CH1" s="67"/>
      <c r="CI1" s="66"/>
      <c r="CJ1" s="67"/>
      <c r="CK1" s="66"/>
      <c r="CL1" s="67"/>
      <c r="CM1" s="67"/>
      <c r="CN1" s="67"/>
      <c r="CO1" s="66"/>
      <c r="CP1" s="67"/>
      <c r="CQ1" s="66"/>
      <c r="CR1" s="66"/>
      <c r="CS1" s="69"/>
      <c r="CT1" s="69"/>
      <c r="CU1" s="70"/>
      <c r="CV1" s="71"/>
    </row>
    <row r="2">
      <c r="A2" s="66" t="s">
        <v>1155</v>
      </c>
      <c r="B2" s="66" t="s">
        <v>3</v>
      </c>
      <c r="C2" s="66" t="s">
        <v>1156</v>
      </c>
      <c r="D2" s="66" t="s">
        <v>1157</v>
      </c>
      <c r="E2" s="66" t="s">
        <v>1158</v>
      </c>
      <c r="F2" s="66" t="s">
        <v>1159</v>
      </c>
      <c r="G2" s="66" t="s">
        <v>1160</v>
      </c>
      <c r="H2" s="67" t="s">
        <v>1161</v>
      </c>
      <c r="I2" s="66" t="s">
        <v>24</v>
      </c>
      <c r="J2" s="67" t="s">
        <v>1162</v>
      </c>
      <c r="K2" s="66" t="s">
        <v>1163</v>
      </c>
      <c r="L2" s="66" t="s">
        <v>1164</v>
      </c>
      <c r="M2" s="66" t="s">
        <v>1165</v>
      </c>
      <c r="N2" s="66" t="s">
        <v>1166</v>
      </c>
      <c r="O2" s="68" t="s">
        <v>1167</v>
      </c>
      <c r="P2" s="66" t="s">
        <v>1168</v>
      </c>
      <c r="Q2" s="66" t="s">
        <v>1169</v>
      </c>
      <c r="R2" s="66" t="s">
        <v>1170</v>
      </c>
      <c r="S2" s="66" t="s">
        <v>1171</v>
      </c>
      <c r="T2" s="67" t="s">
        <v>1172</v>
      </c>
      <c r="U2" s="66" t="s">
        <v>1173</v>
      </c>
      <c r="V2" s="66" t="s">
        <v>1174</v>
      </c>
      <c r="W2" s="66" t="s">
        <v>1175</v>
      </c>
      <c r="X2" s="66" t="s">
        <v>1176</v>
      </c>
      <c r="Y2" s="66" t="s">
        <v>1177</v>
      </c>
      <c r="Z2" s="66" t="s">
        <v>1178</v>
      </c>
      <c r="AA2" s="67" t="s">
        <v>1179</v>
      </c>
      <c r="AB2" s="67" t="s">
        <v>1180</v>
      </c>
      <c r="AC2" s="66" t="s">
        <v>1181</v>
      </c>
      <c r="AD2" s="66" t="s">
        <v>1182</v>
      </c>
      <c r="AE2" s="66" t="s">
        <v>1183</v>
      </c>
      <c r="AF2" s="67" t="s">
        <v>1184</v>
      </c>
      <c r="AG2" s="66" t="s">
        <v>1185</v>
      </c>
      <c r="AH2" s="69" t="s">
        <v>1186</v>
      </c>
      <c r="AI2" s="66" t="s">
        <v>1187</v>
      </c>
      <c r="AJ2" s="67" t="s">
        <v>1188</v>
      </c>
      <c r="AK2" s="66" t="s">
        <v>1189</v>
      </c>
      <c r="AL2" s="66" t="s">
        <v>1190</v>
      </c>
      <c r="AM2" s="67" t="s">
        <v>1191</v>
      </c>
      <c r="AN2" s="67" t="s">
        <v>1192</v>
      </c>
      <c r="AO2" s="67" t="s">
        <v>1193</v>
      </c>
      <c r="AP2" s="67" t="s">
        <v>1194</v>
      </c>
      <c r="AQ2" s="67" t="s">
        <v>1195</v>
      </c>
      <c r="AR2" s="67" t="s">
        <v>1196</v>
      </c>
      <c r="AS2" s="67" t="s">
        <v>1197</v>
      </c>
      <c r="AT2" s="67" t="s">
        <v>1198</v>
      </c>
      <c r="AU2" s="67" t="s">
        <v>1199</v>
      </c>
      <c r="AV2" s="67" t="s">
        <v>1200</v>
      </c>
      <c r="AW2" s="67" t="s">
        <v>1201</v>
      </c>
      <c r="AX2" s="67" t="s">
        <v>1202</v>
      </c>
      <c r="AY2" s="67" t="s">
        <v>1203</v>
      </c>
      <c r="AZ2" s="67" t="s">
        <v>1204</v>
      </c>
      <c r="BA2" s="67" t="s">
        <v>1205</v>
      </c>
      <c r="BB2" s="67" t="s">
        <v>1206</v>
      </c>
      <c r="BC2" s="67" t="s">
        <v>1207</v>
      </c>
      <c r="BD2" s="67" t="s">
        <v>1208</v>
      </c>
      <c r="BE2" s="67" t="s">
        <v>1209</v>
      </c>
      <c r="BF2" s="67" t="s">
        <v>1210</v>
      </c>
      <c r="BG2" s="67" t="s">
        <v>1211</v>
      </c>
      <c r="BH2" s="67" t="s">
        <v>1212</v>
      </c>
      <c r="BI2" s="67" t="s">
        <v>1213</v>
      </c>
      <c r="BJ2" s="67" t="s">
        <v>1214</v>
      </c>
      <c r="BK2" s="67" t="s">
        <v>1215</v>
      </c>
      <c r="BL2" s="67" t="s">
        <v>1216</v>
      </c>
      <c r="BM2" s="67" t="s">
        <v>1217</v>
      </c>
      <c r="BN2" s="67" t="s">
        <v>1218</v>
      </c>
      <c r="BO2" s="67" t="s">
        <v>1219</v>
      </c>
      <c r="BP2" s="67" t="s">
        <v>1220</v>
      </c>
      <c r="BQ2" s="67" t="s">
        <v>1221</v>
      </c>
      <c r="BR2" s="67" t="s">
        <v>1222</v>
      </c>
      <c r="BS2" s="67" t="s">
        <v>1223</v>
      </c>
      <c r="BT2" s="67" t="s">
        <v>1224</v>
      </c>
      <c r="BU2" s="67" t="s">
        <v>1225</v>
      </c>
      <c r="BV2" s="67" t="s">
        <v>1226</v>
      </c>
      <c r="BW2" s="67" t="s">
        <v>1227</v>
      </c>
      <c r="BX2" s="67" t="s">
        <v>1228</v>
      </c>
      <c r="BY2" s="67"/>
      <c r="BZ2" s="67" t="s">
        <v>1229</v>
      </c>
      <c r="CA2" s="67" t="s">
        <v>1230</v>
      </c>
      <c r="CB2" s="67" t="s">
        <v>1231</v>
      </c>
      <c r="CC2" s="66" t="s">
        <v>1232</v>
      </c>
      <c r="CD2" s="67" t="s">
        <v>1233</v>
      </c>
      <c r="CE2" s="66" t="s">
        <v>1234</v>
      </c>
      <c r="CF2" s="67" t="s">
        <v>1235</v>
      </c>
      <c r="CG2" s="66" t="s">
        <v>1236</v>
      </c>
      <c r="CH2" s="67" t="s">
        <v>1237</v>
      </c>
      <c r="CI2" s="66" t="s">
        <v>1238</v>
      </c>
      <c r="CJ2" s="67" t="s">
        <v>1239</v>
      </c>
      <c r="CK2" s="66" t="s">
        <v>1240</v>
      </c>
      <c r="CL2" s="67" t="s">
        <v>1241</v>
      </c>
      <c r="CM2" s="67" t="s">
        <v>1242</v>
      </c>
      <c r="CN2" s="67" t="s">
        <v>1243</v>
      </c>
      <c r="CO2" s="66" t="s">
        <v>1244</v>
      </c>
      <c r="CP2" s="67" t="s">
        <v>1245</v>
      </c>
      <c r="CQ2" s="66" t="s">
        <v>1246</v>
      </c>
      <c r="CR2" s="66" t="s">
        <v>1247</v>
      </c>
      <c r="CS2" s="69" t="s">
        <v>1248</v>
      </c>
      <c r="CT2" s="69" t="s">
        <v>1249</v>
      </c>
      <c r="CU2" s="70" t="s">
        <v>1250</v>
      </c>
      <c r="CV2" s="71" t="s">
        <v>31</v>
      </c>
    </row>
    <row r="3">
      <c r="A3" s="72">
        <v>44375.63026149306</v>
      </c>
      <c r="B3" s="73" t="s">
        <v>34</v>
      </c>
      <c r="C3" s="73" t="s">
        <v>1251</v>
      </c>
      <c r="D3" s="73">
        <v>377.0</v>
      </c>
      <c r="E3" s="74" t="s">
        <v>1252</v>
      </c>
      <c r="F3" s="73" t="s">
        <v>1253</v>
      </c>
      <c r="G3" s="73" t="s">
        <v>1254</v>
      </c>
      <c r="H3" s="74" t="s">
        <v>1255</v>
      </c>
      <c r="I3" s="73" t="s">
        <v>1256</v>
      </c>
      <c r="J3" s="74" t="s">
        <v>1257</v>
      </c>
      <c r="K3" s="73" t="s">
        <v>1258</v>
      </c>
      <c r="L3" s="74" t="s">
        <v>1259</v>
      </c>
      <c r="M3" s="74"/>
      <c r="N3" s="73" t="s">
        <v>1260</v>
      </c>
      <c r="O3" s="75"/>
      <c r="P3" s="74"/>
      <c r="Q3" s="74"/>
      <c r="R3" s="73" t="s">
        <v>1261</v>
      </c>
      <c r="S3" s="73" t="s">
        <v>1262</v>
      </c>
      <c r="T3" s="74" t="s">
        <v>1263</v>
      </c>
      <c r="U3" s="73" t="s">
        <v>1264</v>
      </c>
      <c r="V3" s="73" t="s">
        <v>1265</v>
      </c>
      <c r="W3" s="73"/>
      <c r="X3" s="73" t="s">
        <v>1266</v>
      </c>
      <c r="Y3" s="74"/>
      <c r="Z3" s="74"/>
      <c r="AA3" s="73" t="s">
        <v>1267</v>
      </c>
      <c r="AB3" s="73" t="s">
        <v>73</v>
      </c>
      <c r="AC3" s="73" t="s">
        <v>73</v>
      </c>
      <c r="AD3" s="73" t="s">
        <v>1268</v>
      </c>
      <c r="AE3" s="73" t="s">
        <v>1268</v>
      </c>
      <c r="AF3" s="74"/>
      <c r="AG3" s="73" t="s">
        <v>73</v>
      </c>
      <c r="AH3" s="74"/>
      <c r="AI3" s="73" t="s">
        <v>73</v>
      </c>
      <c r="AJ3" s="74"/>
      <c r="AK3" s="73" t="s">
        <v>1269</v>
      </c>
      <c r="AL3" s="73" t="s">
        <v>1270</v>
      </c>
      <c r="AM3" s="74"/>
      <c r="AN3" s="74" t="s">
        <v>1271</v>
      </c>
      <c r="AO3" s="74" t="s">
        <v>1272</v>
      </c>
      <c r="AP3" s="74">
        <v>47.0</v>
      </c>
      <c r="AQ3" s="74"/>
      <c r="AR3" s="74" t="s">
        <v>35</v>
      </c>
      <c r="AS3" s="74" t="s">
        <v>1273</v>
      </c>
      <c r="AT3" s="74" t="s">
        <v>1274</v>
      </c>
      <c r="AU3" s="74">
        <v>42.0</v>
      </c>
      <c r="AV3" s="74"/>
      <c r="AW3" s="74" t="s">
        <v>35</v>
      </c>
      <c r="AX3" s="74" t="s">
        <v>1275</v>
      </c>
      <c r="AY3" s="74" t="s">
        <v>1276</v>
      </c>
      <c r="AZ3" s="74">
        <v>26.0</v>
      </c>
      <c r="BA3" s="74" t="s">
        <v>35</v>
      </c>
      <c r="BB3" s="74" t="s">
        <v>35</v>
      </c>
      <c r="BC3" s="74" t="s">
        <v>1275</v>
      </c>
      <c r="BD3" s="74" t="s">
        <v>1277</v>
      </c>
      <c r="BE3" s="74">
        <v>24.0</v>
      </c>
      <c r="BF3" s="74" t="s">
        <v>35</v>
      </c>
      <c r="BG3" s="74" t="s">
        <v>35</v>
      </c>
      <c r="BH3" s="74"/>
      <c r="BI3" s="74"/>
      <c r="BJ3" s="74"/>
      <c r="BK3" s="74"/>
      <c r="BL3" s="74"/>
      <c r="BM3" s="74" t="s">
        <v>1278</v>
      </c>
      <c r="BN3" s="74" t="s">
        <v>1279</v>
      </c>
      <c r="BO3" s="74">
        <v>3500.0</v>
      </c>
      <c r="BP3" s="74" t="s">
        <v>1273</v>
      </c>
      <c r="BQ3" s="74" t="s">
        <v>1280</v>
      </c>
      <c r="BR3" s="74">
        <v>2500.0</v>
      </c>
      <c r="BS3" s="74" t="s">
        <v>1275</v>
      </c>
      <c r="BT3" s="74" t="s">
        <v>1281</v>
      </c>
      <c r="BU3" s="74">
        <v>2000.0</v>
      </c>
      <c r="BV3" s="74" t="s">
        <v>1282</v>
      </c>
      <c r="BW3" s="74" t="s">
        <v>1283</v>
      </c>
      <c r="BX3" s="74">
        <v>1800.0</v>
      </c>
      <c r="BZ3" s="74">
        <v>300.0</v>
      </c>
      <c r="CA3" s="74" t="s">
        <v>1284</v>
      </c>
      <c r="CB3" s="74"/>
      <c r="CC3" s="73" t="s">
        <v>73</v>
      </c>
      <c r="CD3" s="74"/>
      <c r="CE3" s="73" t="s">
        <v>37</v>
      </c>
      <c r="CF3" s="74"/>
      <c r="CG3" s="73" t="s">
        <v>37</v>
      </c>
      <c r="CH3" s="74"/>
      <c r="CI3" s="73" t="s">
        <v>35</v>
      </c>
      <c r="CJ3" s="74" t="s">
        <v>1285</v>
      </c>
      <c r="CK3" s="73" t="s">
        <v>73</v>
      </c>
      <c r="CL3" s="74"/>
      <c r="CM3" s="73" t="s">
        <v>73</v>
      </c>
      <c r="CN3" s="74"/>
      <c r="CO3" s="73" t="s">
        <v>73</v>
      </c>
      <c r="CP3" s="74"/>
      <c r="CQ3" s="73" t="s">
        <v>35</v>
      </c>
      <c r="CR3" s="73" t="s">
        <v>1286</v>
      </c>
      <c r="CS3" s="74" t="s">
        <v>1287</v>
      </c>
      <c r="CT3" s="74" t="s">
        <v>1288</v>
      </c>
      <c r="CU3" s="76">
        <f t="shared" ref="CU3:CU112" si="1">ROW()</f>
        <v>3</v>
      </c>
      <c r="CV3" s="77">
        <f>IFERROR(__xludf.DUMMYFUNCTION("IFERROR(QUERY(Presidente!$A$3:$AD112, ""SELECT AD WHERE A = '"" &amp; $B3 &amp; ""'""),"""")"),600.0)</f>
        <v>600</v>
      </c>
    </row>
    <row r="4">
      <c r="A4" s="72">
        <v>44375.30280506944</v>
      </c>
      <c r="B4" s="73" t="s">
        <v>50</v>
      </c>
      <c r="C4" s="73" t="s">
        <v>1289</v>
      </c>
      <c r="D4" s="73">
        <v>94.0</v>
      </c>
      <c r="F4" s="73" t="s">
        <v>1290</v>
      </c>
      <c r="G4" s="73" t="s">
        <v>1291</v>
      </c>
      <c r="I4" s="73" t="s">
        <v>1292</v>
      </c>
      <c r="K4" s="73" t="s">
        <v>1293</v>
      </c>
      <c r="N4" s="73" t="s">
        <v>1260</v>
      </c>
      <c r="O4" s="78"/>
      <c r="R4" s="73" t="s">
        <v>1261</v>
      </c>
      <c r="S4" s="73" t="s">
        <v>1294</v>
      </c>
      <c r="T4" s="73" t="s">
        <v>1295</v>
      </c>
      <c r="U4" s="73" t="s">
        <v>1296</v>
      </c>
      <c r="V4" s="73" t="s">
        <v>1297</v>
      </c>
      <c r="Z4" s="73" t="s">
        <v>1298</v>
      </c>
      <c r="AA4" s="73" t="s">
        <v>73</v>
      </c>
      <c r="AB4" s="73" t="s">
        <v>73</v>
      </c>
      <c r="AC4" s="73" t="s">
        <v>73</v>
      </c>
      <c r="AD4" s="73" t="s">
        <v>1268</v>
      </c>
      <c r="AE4" s="73" t="s">
        <v>1268</v>
      </c>
      <c r="AG4" s="73" t="s">
        <v>73</v>
      </c>
      <c r="AI4" s="73" t="s">
        <v>73</v>
      </c>
      <c r="AK4" s="73" t="s">
        <v>1269</v>
      </c>
      <c r="AL4" s="73" t="s">
        <v>1299</v>
      </c>
      <c r="CC4" s="73" t="s">
        <v>35</v>
      </c>
      <c r="CE4" s="73" t="s">
        <v>37</v>
      </c>
      <c r="CG4" s="73" t="s">
        <v>84</v>
      </c>
      <c r="CI4" s="73" t="s">
        <v>73</v>
      </c>
      <c r="CK4" s="73" t="s">
        <v>73</v>
      </c>
      <c r="CM4" s="73" t="s">
        <v>35</v>
      </c>
      <c r="CO4" s="73" t="s">
        <v>73</v>
      </c>
      <c r="CQ4" s="73" t="s">
        <v>35</v>
      </c>
      <c r="CR4" s="73" t="s">
        <v>1300</v>
      </c>
      <c r="CT4" s="74" t="s">
        <v>1301</v>
      </c>
      <c r="CU4" s="79">
        <f t="shared" si="1"/>
        <v>4</v>
      </c>
      <c r="CV4" s="77">
        <f>IFERROR(__xludf.DUMMYFUNCTION("IFERROR(QUERY(Presidente!$A$3:$AD112, ""SELECT AD WHERE A = '"" &amp; $B4 &amp; ""'""),"""")"),601.0)</f>
        <v>601</v>
      </c>
    </row>
    <row r="5">
      <c r="A5" s="72">
        <v>44375.313933287034</v>
      </c>
      <c r="B5" s="73" t="s">
        <v>60</v>
      </c>
      <c r="C5" s="73" t="s">
        <v>1302</v>
      </c>
      <c r="D5" s="73">
        <v>648.0</v>
      </c>
      <c r="E5" s="74"/>
      <c r="F5" s="73" t="s">
        <v>1303</v>
      </c>
      <c r="G5" s="73" t="s">
        <v>1304</v>
      </c>
      <c r="H5" s="74" t="s">
        <v>1305</v>
      </c>
      <c r="I5" s="73" t="s">
        <v>1306</v>
      </c>
      <c r="J5" s="74" t="s">
        <v>1307</v>
      </c>
      <c r="K5" s="73" t="s">
        <v>1308</v>
      </c>
      <c r="L5" s="73" t="s">
        <v>1309</v>
      </c>
      <c r="M5" s="74"/>
      <c r="N5" s="73" t="s">
        <v>1310</v>
      </c>
      <c r="O5" s="75">
        <v>4.66857980159E11</v>
      </c>
      <c r="P5" s="73">
        <v>416.0</v>
      </c>
      <c r="Q5" s="80" t="s">
        <v>1311</v>
      </c>
      <c r="R5" s="73" t="s">
        <v>1261</v>
      </c>
      <c r="S5" s="73" t="s">
        <v>1294</v>
      </c>
      <c r="T5" s="74"/>
      <c r="U5" s="74" t="s">
        <v>73</v>
      </c>
      <c r="V5" s="74" t="s">
        <v>73</v>
      </c>
      <c r="W5" s="74" t="s">
        <v>73</v>
      </c>
      <c r="X5" s="73" t="s">
        <v>1312</v>
      </c>
      <c r="Y5" s="74" t="s">
        <v>1313</v>
      </c>
      <c r="Z5" s="74" t="s">
        <v>73</v>
      </c>
      <c r="AA5" s="73" t="s">
        <v>1267</v>
      </c>
      <c r="AB5" s="74" t="s">
        <v>73</v>
      </c>
      <c r="AC5" s="73" t="s">
        <v>73</v>
      </c>
      <c r="AD5" s="73" t="s">
        <v>1268</v>
      </c>
      <c r="AE5" s="73" t="s">
        <v>1268</v>
      </c>
      <c r="AF5" s="74" t="s">
        <v>73</v>
      </c>
      <c r="AG5" s="73" t="s">
        <v>73</v>
      </c>
      <c r="AH5" s="74"/>
      <c r="AI5" s="73" t="s">
        <v>73</v>
      </c>
      <c r="AJ5" s="74"/>
      <c r="AK5" s="73" t="s">
        <v>1314</v>
      </c>
      <c r="AL5" s="73" t="s">
        <v>1270</v>
      </c>
      <c r="AM5" s="74"/>
      <c r="AN5" s="74" t="s">
        <v>1315</v>
      </c>
      <c r="AO5" s="74" t="s">
        <v>1316</v>
      </c>
      <c r="AP5" s="74">
        <v>39.0</v>
      </c>
      <c r="AQ5" s="74"/>
      <c r="AR5" s="74" t="s">
        <v>35</v>
      </c>
      <c r="AS5" s="74" t="s">
        <v>1278</v>
      </c>
      <c r="AT5" s="74" t="s">
        <v>1317</v>
      </c>
      <c r="AU5" s="74">
        <v>40.0</v>
      </c>
      <c r="AV5" s="74"/>
      <c r="AW5" s="74" t="s">
        <v>35</v>
      </c>
      <c r="AX5" s="74" t="s">
        <v>1275</v>
      </c>
      <c r="AY5" s="74" t="s">
        <v>1318</v>
      </c>
      <c r="AZ5" s="74">
        <v>6.0</v>
      </c>
      <c r="BA5" s="74" t="s">
        <v>35</v>
      </c>
      <c r="BB5" s="74"/>
      <c r="BC5" s="74"/>
      <c r="BD5" s="74"/>
      <c r="BE5" s="74"/>
      <c r="BF5" s="74"/>
      <c r="BH5" s="74"/>
      <c r="BI5" s="74"/>
      <c r="BJ5" s="74"/>
      <c r="BK5" s="74"/>
      <c r="BL5" s="74"/>
      <c r="BM5" s="74" t="s">
        <v>1315</v>
      </c>
      <c r="BN5" s="74" t="s">
        <v>1319</v>
      </c>
      <c r="BO5" s="74">
        <v>600.0</v>
      </c>
      <c r="BP5" s="74" t="s">
        <v>1278</v>
      </c>
      <c r="BQ5" s="74" t="s">
        <v>1320</v>
      </c>
      <c r="BR5" s="74">
        <v>3200.0</v>
      </c>
      <c r="BS5" s="74"/>
      <c r="BT5" s="74"/>
      <c r="BU5" s="74"/>
      <c r="BV5" s="74"/>
      <c r="BW5" s="74"/>
      <c r="BX5" s="74"/>
      <c r="BZ5" s="74"/>
      <c r="CA5" s="74" t="s">
        <v>73</v>
      </c>
      <c r="CB5" s="74"/>
      <c r="CC5" s="73" t="s">
        <v>73</v>
      </c>
      <c r="CD5" s="74"/>
      <c r="CE5" s="73" t="s">
        <v>37</v>
      </c>
      <c r="CF5" s="74"/>
      <c r="CG5" s="73" t="s">
        <v>37</v>
      </c>
      <c r="CH5" s="74"/>
      <c r="CI5" s="73" t="s">
        <v>35</v>
      </c>
      <c r="CJ5" s="74" t="s">
        <v>1321</v>
      </c>
      <c r="CK5" s="73" t="s">
        <v>73</v>
      </c>
      <c r="CL5" s="74"/>
      <c r="CM5" s="73" t="s">
        <v>73</v>
      </c>
      <c r="CN5" s="74"/>
      <c r="CO5" s="73" t="s">
        <v>73</v>
      </c>
      <c r="CP5" s="74"/>
      <c r="CQ5" s="73" t="s">
        <v>35</v>
      </c>
      <c r="CR5" s="73" t="s">
        <v>1322</v>
      </c>
      <c r="CS5" s="74" t="s">
        <v>1323</v>
      </c>
      <c r="CT5" s="74" t="s">
        <v>1324</v>
      </c>
      <c r="CU5" s="79">
        <f t="shared" si="1"/>
        <v>5</v>
      </c>
      <c r="CV5" s="77">
        <f>IFERROR(__xludf.DUMMYFUNCTION("IFERROR(QUERY(Presidente!$A$3:$AD112, ""SELECT AD WHERE A = '"" &amp; $B5 &amp; ""'""),"""")"),602.0)</f>
        <v>602</v>
      </c>
    </row>
    <row r="6">
      <c r="A6" s="72">
        <v>44375.32124723379</v>
      </c>
      <c r="B6" s="73" t="s">
        <v>72</v>
      </c>
      <c r="C6" s="73" t="s">
        <v>1325</v>
      </c>
      <c r="D6" s="73">
        <v>161.0</v>
      </c>
      <c r="E6" s="73" t="s">
        <v>1326</v>
      </c>
      <c r="F6" s="73" t="s">
        <v>1327</v>
      </c>
      <c r="G6" s="73" t="s">
        <v>1328</v>
      </c>
      <c r="H6" s="74" t="s">
        <v>1329</v>
      </c>
      <c r="I6" s="73">
        <v>3817000.0</v>
      </c>
      <c r="J6" s="74"/>
      <c r="K6" s="73" t="s">
        <v>1330</v>
      </c>
      <c r="L6" s="73" t="s">
        <v>1331</v>
      </c>
      <c r="M6" s="74"/>
      <c r="N6" s="73" t="s">
        <v>1332</v>
      </c>
      <c r="O6" s="75">
        <v>4.60163740141E11</v>
      </c>
      <c r="P6" s="73">
        <v>390.0</v>
      </c>
      <c r="Q6" s="73">
        <v>282.0</v>
      </c>
      <c r="R6" s="73" t="s">
        <v>1261</v>
      </c>
      <c r="S6" s="73" t="s">
        <v>1333</v>
      </c>
      <c r="T6" s="73" t="s">
        <v>1334</v>
      </c>
      <c r="U6" s="73" t="s">
        <v>1335</v>
      </c>
      <c r="V6" s="73" t="s">
        <v>1336</v>
      </c>
      <c r="W6" s="73" t="s">
        <v>1337</v>
      </c>
      <c r="X6" s="73" t="s">
        <v>1338</v>
      </c>
      <c r="Y6" s="74"/>
      <c r="Z6" s="74"/>
      <c r="AA6" s="73" t="s">
        <v>1267</v>
      </c>
      <c r="AB6" s="73" t="s">
        <v>1267</v>
      </c>
      <c r="AC6" s="73" t="s">
        <v>73</v>
      </c>
      <c r="AD6" s="73" t="s">
        <v>1268</v>
      </c>
      <c r="AE6" s="73" t="s">
        <v>1268</v>
      </c>
      <c r="AF6" s="74" t="s">
        <v>1284</v>
      </c>
      <c r="AG6" s="73" t="s">
        <v>73</v>
      </c>
      <c r="AH6" s="74"/>
      <c r="AI6" s="73" t="s">
        <v>73</v>
      </c>
      <c r="AJ6" s="74"/>
      <c r="AK6" s="73" t="s">
        <v>1269</v>
      </c>
      <c r="AL6" s="73" t="s">
        <v>1270</v>
      </c>
      <c r="AM6" s="74"/>
      <c r="AN6" s="74" t="s">
        <v>1339</v>
      </c>
      <c r="AO6" s="74" t="s">
        <v>77</v>
      </c>
      <c r="AP6" s="74">
        <v>49.0</v>
      </c>
      <c r="AQ6" s="74"/>
      <c r="AR6" s="74" t="s">
        <v>73</v>
      </c>
      <c r="AS6" s="74" t="s">
        <v>1340</v>
      </c>
      <c r="AT6" s="74" t="s">
        <v>1341</v>
      </c>
      <c r="AU6" s="74">
        <v>49.0</v>
      </c>
      <c r="AV6" s="74"/>
      <c r="AW6" s="74" t="s">
        <v>35</v>
      </c>
      <c r="AX6" s="74" t="s">
        <v>1342</v>
      </c>
      <c r="AY6" s="74" t="s">
        <v>1343</v>
      </c>
      <c r="AZ6" s="74">
        <v>27.0</v>
      </c>
      <c r="BA6" s="74"/>
      <c r="BB6" s="74" t="s">
        <v>35</v>
      </c>
      <c r="BC6" s="74" t="s">
        <v>1344</v>
      </c>
      <c r="BD6" s="74" t="s">
        <v>1345</v>
      </c>
      <c r="BE6" s="74">
        <v>29.0</v>
      </c>
      <c r="BF6" s="74"/>
      <c r="BG6" s="74" t="s">
        <v>35</v>
      </c>
      <c r="BH6" s="74" t="s">
        <v>1344</v>
      </c>
      <c r="BI6" s="74" t="s">
        <v>1346</v>
      </c>
      <c r="BJ6" s="74">
        <v>22.0</v>
      </c>
      <c r="BK6" s="74"/>
      <c r="BL6" s="74"/>
      <c r="BM6" s="74" t="s">
        <v>1340</v>
      </c>
      <c r="BN6" s="74" t="s">
        <v>1347</v>
      </c>
      <c r="BO6" s="74">
        <v>2500.0</v>
      </c>
      <c r="BP6" s="74" t="s">
        <v>1348</v>
      </c>
      <c r="BQ6" s="74" t="s">
        <v>1349</v>
      </c>
      <c r="BR6" s="74">
        <v>2000.0</v>
      </c>
      <c r="BS6" s="74" t="s">
        <v>1344</v>
      </c>
      <c r="BT6" s="74" t="s">
        <v>1350</v>
      </c>
      <c r="BU6" s="74">
        <v>1500.0</v>
      </c>
      <c r="BV6" s="74"/>
      <c r="BW6" s="74"/>
      <c r="BX6" s="74"/>
      <c r="BZ6" s="74">
        <v>400.0</v>
      </c>
      <c r="CA6" s="74" t="s">
        <v>1351</v>
      </c>
      <c r="CB6" s="74"/>
      <c r="CC6" s="73" t="s">
        <v>73</v>
      </c>
      <c r="CD6" s="74"/>
      <c r="CE6" s="73" t="s">
        <v>37</v>
      </c>
      <c r="CF6" s="74"/>
      <c r="CG6" s="73" t="s">
        <v>84</v>
      </c>
      <c r="CH6" s="74"/>
      <c r="CI6" s="73" t="s">
        <v>73</v>
      </c>
      <c r="CJ6" s="74"/>
      <c r="CK6" s="73" t="s">
        <v>73</v>
      </c>
      <c r="CL6" s="74"/>
      <c r="CM6" s="73" t="s">
        <v>73</v>
      </c>
      <c r="CN6" s="74"/>
      <c r="CO6" s="73" t="s">
        <v>73</v>
      </c>
      <c r="CP6" s="74"/>
      <c r="CQ6" s="73" t="s">
        <v>35</v>
      </c>
      <c r="CR6" s="73" t="s">
        <v>1352</v>
      </c>
      <c r="CS6" s="74" t="s">
        <v>1353</v>
      </c>
      <c r="CT6" s="74" t="s">
        <v>1354</v>
      </c>
      <c r="CU6" s="79">
        <f t="shared" si="1"/>
        <v>6</v>
      </c>
      <c r="CV6" s="77">
        <f>IFERROR(__xludf.DUMMYFUNCTION("IFERROR(QUERY(Presidente!$A$3:$AD112, ""SELECT AD WHERE A = '"" &amp; $B6 &amp; ""'""),"""")"),603.0)</f>
        <v>603</v>
      </c>
    </row>
    <row r="7">
      <c r="A7" s="72">
        <v>44375.2969671875</v>
      </c>
      <c r="B7" s="73" t="s">
        <v>83</v>
      </c>
      <c r="C7" s="73" t="s">
        <v>1355</v>
      </c>
      <c r="D7" s="73">
        <v>83.0</v>
      </c>
      <c r="E7" s="73" t="s">
        <v>1356</v>
      </c>
      <c r="F7" s="73" t="s">
        <v>1357</v>
      </c>
      <c r="G7" s="73" t="s">
        <v>1358</v>
      </c>
      <c r="H7" s="74" t="s">
        <v>1255</v>
      </c>
      <c r="I7" s="73" t="s">
        <v>1359</v>
      </c>
      <c r="J7" s="74" t="s">
        <v>1360</v>
      </c>
      <c r="K7" s="73" t="s">
        <v>1361</v>
      </c>
      <c r="L7" s="73" t="s">
        <v>1362</v>
      </c>
      <c r="M7" s="74"/>
      <c r="N7" s="73" t="s">
        <v>1260</v>
      </c>
      <c r="O7" s="75"/>
      <c r="P7" s="74"/>
      <c r="Q7" s="74"/>
      <c r="R7" s="73" t="s">
        <v>1261</v>
      </c>
      <c r="S7" s="73" t="s">
        <v>1294</v>
      </c>
      <c r="T7" s="73" t="s">
        <v>1363</v>
      </c>
      <c r="U7" s="73" t="s">
        <v>1364</v>
      </c>
      <c r="V7" s="73" t="s">
        <v>1365</v>
      </c>
      <c r="W7" s="74"/>
      <c r="X7" s="73" t="s">
        <v>1366</v>
      </c>
      <c r="Y7" s="74"/>
      <c r="Z7" s="74"/>
      <c r="AA7" s="73" t="s">
        <v>1267</v>
      </c>
      <c r="AB7" s="73" t="s">
        <v>73</v>
      </c>
      <c r="AC7" s="73" t="s">
        <v>73</v>
      </c>
      <c r="AD7" s="73" t="s">
        <v>1268</v>
      </c>
      <c r="AE7" s="73" t="s">
        <v>1268</v>
      </c>
      <c r="AF7" s="74"/>
      <c r="AG7" s="73" t="s">
        <v>73</v>
      </c>
      <c r="AH7" s="74"/>
      <c r="AI7" s="73" t="s">
        <v>73</v>
      </c>
      <c r="AJ7" s="74"/>
      <c r="AK7" s="73" t="s">
        <v>1314</v>
      </c>
      <c r="AL7" s="73" t="s">
        <v>1367</v>
      </c>
      <c r="AM7" s="74"/>
      <c r="AN7" s="74" t="s">
        <v>1340</v>
      </c>
      <c r="AO7" s="74" t="s">
        <v>1368</v>
      </c>
      <c r="AP7" s="74">
        <v>46.0</v>
      </c>
      <c r="AQ7" s="74"/>
      <c r="AR7" s="74" t="s">
        <v>35</v>
      </c>
      <c r="AS7" s="74" t="s">
        <v>1369</v>
      </c>
      <c r="AT7" s="74" t="s">
        <v>1370</v>
      </c>
      <c r="AU7" s="74">
        <v>41.0</v>
      </c>
      <c r="AV7" s="74"/>
      <c r="AW7" s="74" t="s">
        <v>35</v>
      </c>
      <c r="AX7" s="74" t="s">
        <v>1371</v>
      </c>
      <c r="AY7" s="74" t="s">
        <v>1372</v>
      </c>
      <c r="AZ7" s="74">
        <v>65.0</v>
      </c>
      <c r="BA7" s="74"/>
      <c r="BB7" s="74"/>
      <c r="BC7" s="74" t="s">
        <v>1373</v>
      </c>
      <c r="BD7" s="74" t="s">
        <v>1374</v>
      </c>
      <c r="BE7" s="74">
        <v>21.0</v>
      </c>
      <c r="BF7" s="74"/>
      <c r="BG7" s="74" t="s">
        <v>35</v>
      </c>
      <c r="BH7" s="74" t="s">
        <v>1375</v>
      </c>
      <c r="BI7" s="74" t="s">
        <v>1376</v>
      </c>
      <c r="BJ7" s="74">
        <v>44491.0</v>
      </c>
      <c r="BK7" s="74" t="s">
        <v>35</v>
      </c>
      <c r="BL7" s="74" t="s">
        <v>35</v>
      </c>
      <c r="BM7" s="74" t="s">
        <v>1340</v>
      </c>
      <c r="BN7" s="74" t="s">
        <v>1377</v>
      </c>
      <c r="BO7" s="74">
        <v>5000.0</v>
      </c>
      <c r="BP7" s="74" t="s">
        <v>1369</v>
      </c>
      <c r="BQ7" s="74" t="s">
        <v>1378</v>
      </c>
      <c r="BR7" s="74">
        <v>1100.0</v>
      </c>
      <c r="BS7" s="74" t="s">
        <v>1344</v>
      </c>
      <c r="BT7" s="74" t="s">
        <v>1378</v>
      </c>
      <c r="BU7" s="74">
        <v>1100.0</v>
      </c>
      <c r="BV7" s="74"/>
      <c r="BW7" s="74"/>
      <c r="BX7" s="74"/>
      <c r="BZ7" s="74"/>
      <c r="CA7" s="74" t="s">
        <v>1351</v>
      </c>
      <c r="CB7" s="74"/>
      <c r="CC7" s="73" t="s">
        <v>73</v>
      </c>
      <c r="CD7" s="74"/>
      <c r="CE7" s="73" t="s">
        <v>37</v>
      </c>
      <c r="CF7" s="74"/>
      <c r="CG7" s="73" t="s">
        <v>37</v>
      </c>
      <c r="CH7" s="74"/>
      <c r="CI7" s="73" t="s">
        <v>73</v>
      </c>
      <c r="CJ7" s="74"/>
      <c r="CK7" s="73" t="s">
        <v>35</v>
      </c>
      <c r="CL7" s="74" t="s">
        <v>1379</v>
      </c>
      <c r="CM7" s="73" t="s">
        <v>1351</v>
      </c>
      <c r="CN7" s="74"/>
      <c r="CO7" s="73" t="s">
        <v>73</v>
      </c>
      <c r="CP7" s="74"/>
      <c r="CQ7" s="73" t="s">
        <v>35</v>
      </c>
      <c r="CR7" s="73" t="s">
        <v>1380</v>
      </c>
      <c r="CS7" s="74" t="s">
        <v>1381</v>
      </c>
      <c r="CT7" s="74" t="s">
        <v>1382</v>
      </c>
      <c r="CU7" s="79">
        <f t="shared" si="1"/>
        <v>7</v>
      </c>
      <c r="CV7" s="77">
        <f>IFERROR(__xludf.DUMMYFUNCTION("IFERROR(QUERY(Presidente!$A$3:$AD112, ""SELECT AD WHERE A = '"" &amp; $B7 &amp; ""'""),"""")"),604.0)</f>
        <v>604</v>
      </c>
    </row>
    <row r="8">
      <c r="A8" s="72">
        <v>44375.32666501157</v>
      </c>
      <c r="B8" s="73" t="s">
        <v>93</v>
      </c>
      <c r="C8" s="73" t="s">
        <v>1383</v>
      </c>
      <c r="D8" s="73">
        <v>712.0</v>
      </c>
      <c r="E8" s="73" t="s">
        <v>1384</v>
      </c>
      <c r="F8" s="73" t="s">
        <v>1385</v>
      </c>
      <c r="G8" s="73" t="s">
        <v>1386</v>
      </c>
      <c r="H8" s="74" t="s">
        <v>1255</v>
      </c>
      <c r="I8" s="73" t="s">
        <v>1387</v>
      </c>
      <c r="J8" s="74"/>
      <c r="K8" s="74"/>
      <c r="L8" s="74" t="s">
        <v>1388</v>
      </c>
      <c r="M8" s="74"/>
      <c r="N8" s="73" t="s">
        <v>1260</v>
      </c>
      <c r="O8" s="75">
        <v>4.51699570124E11</v>
      </c>
      <c r="P8" s="73">
        <v>258.0</v>
      </c>
      <c r="Q8" s="73" t="s">
        <v>1389</v>
      </c>
      <c r="R8" s="73" t="s">
        <v>1261</v>
      </c>
      <c r="S8" s="73" t="s">
        <v>1262</v>
      </c>
      <c r="T8" s="74"/>
      <c r="U8" s="74"/>
      <c r="V8" s="74"/>
      <c r="W8" s="73" t="s">
        <v>1390</v>
      </c>
      <c r="X8" s="74"/>
      <c r="Y8" s="74"/>
      <c r="Z8" s="74"/>
      <c r="AA8" s="74" t="s">
        <v>73</v>
      </c>
      <c r="AB8" s="73" t="s">
        <v>73</v>
      </c>
      <c r="AC8" s="73" t="s">
        <v>73</v>
      </c>
      <c r="AD8" s="73" t="s">
        <v>1268</v>
      </c>
      <c r="AE8" s="73" t="s">
        <v>1268</v>
      </c>
      <c r="AF8" s="74"/>
      <c r="AG8" s="73" t="s">
        <v>73</v>
      </c>
      <c r="AH8" s="74"/>
      <c r="AI8" s="73" t="s">
        <v>73</v>
      </c>
      <c r="AJ8" s="74"/>
      <c r="AK8" s="73" t="s">
        <v>1314</v>
      </c>
      <c r="AL8" s="73" t="s">
        <v>1270</v>
      </c>
      <c r="AM8" s="74"/>
      <c r="AN8" s="74" t="s">
        <v>1278</v>
      </c>
      <c r="AO8" s="74" t="s">
        <v>1391</v>
      </c>
      <c r="AP8" s="74">
        <v>58.0</v>
      </c>
      <c r="AQ8" s="74"/>
      <c r="AR8" s="74" t="s">
        <v>35</v>
      </c>
      <c r="AS8" s="74" t="s">
        <v>1315</v>
      </c>
      <c r="AT8" s="74" t="s">
        <v>97</v>
      </c>
      <c r="AU8" s="74">
        <v>42.0</v>
      </c>
      <c r="AV8" s="74"/>
      <c r="AW8" s="74"/>
      <c r="AX8" s="74" t="s">
        <v>1392</v>
      </c>
      <c r="AY8" s="74" t="s">
        <v>1393</v>
      </c>
      <c r="AZ8" s="74">
        <v>23.0</v>
      </c>
      <c r="BA8" s="74"/>
      <c r="BB8" s="74" t="s">
        <v>35</v>
      </c>
      <c r="BC8" s="74"/>
      <c r="BD8" s="74"/>
      <c r="BE8" s="74"/>
      <c r="BF8" s="74"/>
      <c r="BG8" s="74"/>
      <c r="BH8" s="74"/>
      <c r="BI8" s="74"/>
      <c r="BJ8" s="74"/>
      <c r="BK8" s="74"/>
      <c r="BL8" s="74"/>
      <c r="BM8" s="74" t="s">
        <v>1278</v>
      </c>
      <c r="BN8" s="74" t="s">
        <v>1394</v>
      </c>
      <c r="BO8" s="74">
        <v>3000.0</v>
      </c>
      <c r="BP8" s="74" t="s">
        <v>1395</v>
      </c>
      <c r="BQ8" s="74" t="s">
        <v>1396</v>
      </c>
      <c r="BR8" s="74">
        <v>800.0</v>
      </c>
      <c r="BS8" s="74"/>
      <c r="BT8" s="74"/>
      <c r="BU8" s="74"/>
      <c r="BV8" s="74"/>
      <c r="BW8" s="74"/>
      <c r="BX8" s="74"/>
      <c r="BZ8" s="74"/>
      <c r="CA8" s="74" t="s">
        <v>73</v>
      </c>
      <c r="CB8" s="74"/>
      <c r="CC8" s="73" t="s">
        <v>73</v>
      </c>
      <c r="CD8" s="74"/>
      <c r="CE8" s="73" t="s">
        <v>37</v>
      </c>
      <c r="CF8" s="74"/>
      <c r="CG8" s="73" t="s">
        <v>37</v>
      </c>
      <c r="CH8" s="74"/>
      <c r="CI8" s="73" t="s">
        <v>73</v>
      </c>
      <c r="CJ8" s="74"/>
      <c r="CK8" s="73" t="s">
        <v>73</v>
      </c>
      <c r="CL8" s="74"/>
      <c r="CM8" s="73" t="s">
        <v>35</v>
      </c>
      <c r="CN8" s="74"/>
      <c r="CO8" s="73" t="s">
        <v>73</v>
      </c>
      <c r="CP8" s="74"/>
      <c r="CQ8" s="73" t="s">
        <v>35</v>
      </c>
      <c r="CR8" s="73" t="s">
        <v>1397</v>
      </c>
      <c r="CS8" s="74" t="s">
        <v>1381</v>
      </c>
      <c r="CT8" s="74" t="s">
        <v>1301</v>
      </c>
      <c r="CU8" s="79">
        <f t="shared" si="1"/>
        <v>8</v>
      </c>
      <c r="CV8" s="77">
        <f>IFERROR(__xludf.DUMMYFUNCTION("IFERROR(QUERY(Presidente!$A$3:$AD112, ""SELECT AD WHERE A = '"" &amp; $B8 &amp; ""'""),"""")"),605.0)</f>
        <v>605</v>
      </c>
    </row>
    <row r="9">
      <c r="A9" s="72">
        <v>44375.30032635416</v>
      </c>
      <c r="B9" s="73" t="s">
        <v>103</v>
      </c>
      <c r="C9" s="73" t="s">
        <v>1398</v>
      </c>
      <c r="D9" s="73">
        <v>1341.0</v>
      </c>
      <c r="E9" s="73" t="s">
        <v>1399</v>
      </c>
      <c r="F9" s="73" t="s">
        <v>1400</v>
      </c>
      <c r="G9" s="73" t="s">
        <v>1401</v>
      </c>
      <c r="H9" s="74" t="s">
        <v>1329</v>
      </c>
      <c r="I9" s="73" t="s">
        <v>1402</v>
      </c>
      <c r="J9" s="74" t="s">
        <v>1403</v>
      </c>
      <c r="K9" s="73" t="s">
        <v>1404</v>
      </c>
      <c r="L9" s="73" t="s">
        <v>1405</v>
      </c>
      <c r="M9" s="74"/>
      <c r="N9" s="73" t="s">
        <v>1260</v>
      </c>
      <c r="O9" s="75"/>
      <c r="P9" s="74"/>
      <c r="R9" s="73" t="s">
        <v>1261</v>
      </c>
      <c r="S9" s="73" t="s">
        <v>1294</v>
      </c>
      <c r="T9" s="73" t="s">
        <v>1406</v>
      </c>
      <c r="U9" s="73" t="s">
        <v>1407</v>
      </c>
      <c r="V9" s="73" t="s">
        <v>1408</v>
      </c>
      <c r="W9" s="74"/>
      <c r="X9" s="73" t="s">
        <v>1312</v>
      </c>
      <c r="Y9" s="74" t="s">
        <v>1284</v>
      </c>
      <c r="Z9" s="74" t="s">
        <v>1284</v>
      </c>
      <c r="AA9" s="73" t="s">
        <v>1267</v>
      </c>
      <c r="AB9" s="73" t="s">
        <v>73</v>
      </c>
      <c r="AC9" s="73" t="s">
        <v>73</v>
      </c>
      <c r="AD9" s="73" t="s">
        <v>1268</v>
      </c>
      <c r="AE9" s="73" t="s">
        <v>1268</v>
      </c>
      <c r="AF9" s="74" t="s">
        <v>1284</v>
      </c>
      <c r="AG9" s="73" t="s">
        <v>73</v>
      </c>
      <c r="AH9" s="74"/>
      <c r="AI9" s="73" t="s">
        <v>73</v>
      </c>
      <c r="AJ9" s="74"/>
      <c r="AK9" s="73" t="s">
        <v>1314</v>
      </c>
      <c r="AL9" s="73" t="s">
        <v>1270</v>
      </c>
      <c r="AM9" s="74"/>
      <c r="AN9" s="74" t="s">
        <v>1278</v>
      </c>
      <c r="AO9" s="74" t="s">
        <v>1409</v>
      </c>
      <c r="AP9" s="74">
        <v>58.0</v>
      </c>
      <c r="AQ9" s="74"/>
      <c r="AR9" s="74" t="s">
        <v>35</v>
      </c>
      <c r="AS9" s="74" t="s">
        <v>1315</v>
      </c>
      <c r="AT9" s="74" t="s">
        <v>1410</v>
      </c>
      <c r="AU9" s="74">
        <v>48.0</v>
      </c>
      <c r="AV9" s="74"/>
      <c r="AW9" s="74" t="s">
        <v>73</v>
      </c>
      <c r="AX9" s="74" t="s">
        <v>1411</v>
      </c>
      <c r="AY9" s="74" t="s">
        <v>1412</v>
      </c>
      <c r="AZ9" s="74">
        <v>15.0</v>
      </c>
      <c r="BA9" s="74" t="s">
        <v>35</v>
      </c>
      <c r="BB9" s="74"/>
      <c r="BC9" s="74" t="s">
        <v>1411</v>
      </c>
      <c r="BD9" s="74" t="s">
        <v>1413</v>
      </c>
      <c r="BE9" s="74">
        <v>11.0</v>
      </c>
      <c r="BF9" s="74" t="s">
        <v>35</v>
      </c>
      <c r="BH9" s="74"/>
      <c r="BI9" s="74"/>
      <c r="BJ9" s="74"/>
      <c r="BK9" s="74"/>
      <c r="BL9" s="74"/>
      <c r="BM9" s="74" t="s">
        <v>1278</v>
      </c>
      <c r="BN9" s="74" t="s">
        <v>1414</v>
      </c>
      <c r="BO9" s="74">
        <v>1500.0</v>
      </c>
      <c r="BP9" s="74"/>
      <c r="BQ9" s="74"/>
      <c r="BR9" s="74"/>
      <c r="BS9" s="74"/>
      <c r="BT9" s="74"/>
      <c r="BU9" s="74"/>
      <c r="BV9" s="74"/>
      <c r="BW9" s="74"/>
      <c r="BX9" s="74"/>
      <c r="BZ9" s="74">
        <v>200.0</v>
      </c>
      <c r="CA9" s="74" t="s">
        <v>73</v>
      </c>
      <c r="CB9" s="74"/>
      <c r="CC9" s="73" t="s">
        <v>35</v>
      </c>
      <c r="CD9" s="74" t="s">
        <v>1415</v>
      </c>
      <c r="CE9" s="73" t="s">
        <v>37</v>
      </c>
      <c r="CF9" s="74"/>
      <c r="CG9" s="73" t="s">
        <v>1416</v>
      </c>
      <c r="CH9" s="74"/>
      <c r="CI9" s="73" t="s">
        <v>73</v>
      </c>
      <c r="CJ9" s="74"/>
      <c r="CK9" s="73" t="s">
        <v>73</v>
      </c>
      <c r="CL9" s="74"/>
      <c r="CM9" s="73" t="s">
        <v>35</v>
      </c>
      <c r="CN9" s="74" t="s">
        <v>1417</v>
      </c>
      <c r="CO9" s="73" t="s">
        <v>73</v>
      </c>
      <c r="CP9" s="74"/>
      <c r="CQ9" s="73" t="s">
        <v>73</v>
      </c>
      <c r="CR9" s="73" t="s">
        <v>1418</v>
      </c>
      <c r="CS9" s="74" t="s">
        <v>1419</v>
      </c>
      <c r="CT9" s="74" t="s">
        <v>1420</v>
      </c>
      <c r="CU9" s="79">
        <f t="shared" si="1"/>
        <v>9</v>
      </c>
      <c r="CV9" s="77">
        <f>IFERROR(__xludf.DUMMYFUNCTION("IFERROR(QUERY(Presidente!$A$3:$AD112, ""SELECT AD WHERE A = '"" &amp; $B9 &amp; ""'""),"""")"),606.0)</f>
        <v>606</v>
      </c>
    </row>
    <row r="10">
      <c r="A10" s="72">
        <v>44375.382655636575</v>
      </c>
      <c r="B10" s="73" t="s">
        <v>113</v>
      </c>
      <c r="C10" s="73" t="s">
        <v>1421</v>
      </c>
      <c r="D10" s="73">
        <v>31.0</v>
      </c>
      <c r="E10" s="73" t="s">
        <v>1252</v>
      </c>
      <c r="F10" s="73" t="s">
        <v>1422</v>
      </c>
      <c r="G10" s="74" t="s">
        <v>1423</v>
      </c>
      <c r="H10" s="74" t="s">
        <v>1255</v>
      </c>
      <c r="I10" s="73" t="s">
        <v>1424</v>
      </c>
      <c r="J10" s="74" t="s">
        <v>1425</v>
      </c>
      <c r="K10" s="73" t="s">
        <v>1426</v>
      </c>
      <c r="L10" s="74"/>
      <c r="M10" s="74"/>
      <c r="N10" s="73" t="s">
        <v>1260</v>
      </c>
      <c r="O10" s="75"/>
      <c r="P10" s="74"/>
      <c r="R10" s="73" t="s">
        <v>1261</v>
      </c>
      <c r="S10" s="73" t="s">
        <v>1294</v>
      </c>
      <c r="T10" s="73" t="s">
        <v>1427</v>
      </c>
      <c r="U10" s="74"/>
      <c r="V10" s="74"/>
      <c r="W10" s="73" t="s">
        <v>1428</v>
      </c>
      <c r="X10" s="73" t="s">
        <v>1312</v>
      </c>
      <c r="Y10" s="74"/>
      <c r="Z10" s="74"/>
      <c r="AA10" s="74" t="s">
        <v>73</v>
      </c>
      <c r="AB10" s="73" t="s">
        <v>73</v>
      </c>
      <c r="AC10" s="73" t="s">
        <v>73</v>
      </c>
      <c r="AD10" s="73" t="s">
        <v>1268</v>
      </c>
      <c r="AE10" s="73" t="s">
        <v>1268</v>
      </c>
      <c r="AF10" s="74" t="s">
        <v>1284</v>
      </c>
      <c r="AG10" s="73" t="s">
        <v>1284</v>
      </c>
      <c r="AH10" s="74"/>
      <c r="AI10" s="73" t="s">
        <v>73</v>
      </c>
      <c r="AJ10" s="74"/>
      <c r="AK10" s="73" t="s">
        <v>1314</v>
      </c>
      <c r="AL10" s="73" t="s">
        <v>1299</v>
      </c>
      <c r="AM10" s="74"/>
      <c r="AN10" s="74" t="s">
        <v>1273</v>
      </c>
      <c r="AO10" s="74" t="s">
        <v>1429</v>
      </c>
      <c r="AP10" s="74">
        <v>50.0</v>
      </c>
      <c r="AQ10" s="74"/>
      <c r="AR10" s="74" t="s">
        <v>35</v>
      </c>
      <c r="AS10" s="74" t="s">
        <v>1430</v>
      </c>
      <c r="AT10" s="74" t="s">
        <v>1431</v>
      </c>
      <c r="AU10" s="74">
        <v>26.0</v>
      </c>
      <c r="AV10" s="74"/>
      <c r="AW10" s="74"/>
      <c r="AX10" s="74"/>
      <c r="AY10" s="74"/>
      <c r="AZ10" s="74"/>
      <c r="BA10" s="74"/>
      <c r="BB10" s="74"/>
      <c r="BC10" s="74"/>
      <c r="BD10" s="74"/>
      <c r="BE10" s="74"/>
      <c r="BF10" s="74"/>
      <c r="BG10" s="74"/>
      <c r="BH10" s="74"/>
      <c r="BI10" s="74"/>
      <c r="BJ10" s="74"/>
      <c r="BK10" s="74"/>
      <c r="BL10" s="74"/>
      <c r="BM10" s="74" t="s">
        <v>1273</v>
      </c>
      <c r="BN10" s="74" t="s">
        <v>1432</v>
      </c>
      <c r="BO10" s="74">
        <v>4000.0</v>
      </c>
      <c r="BP10" s="74"/>
      <c r="BQ10" s="74"/>
      <c r="BR10" s="74"/>
      <c r="BS10" s="74"/>
      <c r="BT10" s="74"/>
      <c r="BV10" s="74"/>
      <c r="BW10" s="74"/>
      <c r="BZ10" s="74"/>
      <c r="CA10" s="74" t="s">
        <v>1284</v>
      </c>
      <c r="CB10" s="74"/>
      <c r="CC10" s="73" t="s">
        <v>1284</v>
      </c>
      <c r="CD10" s="74"/>
      <c r="CE10" s="73" t="s">
        <v>84</v>
      </c>
      <c r="CF10" s="74"/>
      <c r="CG10" s="73" t="s">
        <v>84</v>
      </c>
      <c r="CH10" s="74"/>
      <c r="CI10" s="73" t="s">
        <v>73</v>
      </c>
      <c r="CJ10" s="74"/>
      <c r="CK10" s="73" t="s">
        <v>73</v>
      </c>
      <c r="CL10" s="74"/>
      <c r="CM10" s="73" t="s">
        <v>73</v>
      </c>
      <c r="CN10" s="74"/>
      <c r="CO10" s="73" t="s">
        <v>73</v>
      </c>
      <c r="CP10" s="74"/>
      <c r="CQ10" s="73" t="s">
        <v>35</v>
      </c>
      <c r="CR10" s="73" t="s">
        <v>1433</v>
      </c>
      <c r="CS10" s="74" t="s">
        <v>1434</v>
      </c>
      <c r="CT10" s="74" t="s">
        <v>1435</v>
      </c>
      <c r="CU10" s="79">
        <f t="shared" si="1"/>
        <v>10</v>
      </c>
      <c r="CV10" s="77">
        <f>IFERROR(__xludf.DUMMYFUNCTION("IFERROR(QUERY(Presidente!$A$3:$AD112, ""SELECT AD WHERE A = '"" &amp; $B10 &amp; ""'""),"""")"),607.0)</f>
        <v>607</v>
      </c>
    </row>
    <row r="11">
      <c r="A11" s="72">
        <v>44375.3200571875</v>
      </c>
      <c r="B11" s="73" t="s">
        <v>124</v>
      </c>
      <c r="C11" s="73" t="s">
        <v>1436</v>
      </c>
      <c r="D11" s="73">
        <v>811.0</v>
      </c>
      <c r="E11" s="73" t="s">
        <v>1437</v>
      </c>
      <c r="F11" s="73" t="s">
        <v>1438</v>
      </c>
      <c r="G11" s="73" t="s">
        <v>1439</v>
      </c>
      <c r="H11" s="73" t="s">
        <v>1255</v>
      </c>
      <c r="I11" s="74"/>
      <c r="J11" s="74"/>
      <c r="K11" s="73" t="s">
        <v>1440</v>
      </c>
      <c r="L11" s="73" t="s">
        <v>1441</v>
      </c>
      <c r="M11" s="74"/>
      <c r="N11" s="73" t="s">
        <v>1260</v>
      </c>
      <c r="O11" s="75"/>
      <c r="P11" s="74"/>
      <c r="R11" s="73" t="s">
        <v>1261</v>
      </c>
      <c r="S11" s="73" t="s">
        <v>1294</v>
      </c>
      <c r="T11" s="73" t="s">
        <v>1442</v>
      </c>
      <c r="U11" s="73" t="s">
        <v>1443</v>
      </c>
      <c r="V11" s="73" t="s">
        <v>1442</v>
      </c>
      <c r="W11" s="74"/>
      <c r="X11" s="73" t="s">
        <v>1312</v>
      </c>
      <c r="Y11" s="74"/>
      <c r="Z11" s="74"/>
      <c r="AA11" s="73" t="s">
        <v>73</v>
      </c>
      <c r="AB11" s="73" t="s">
        <v>73</v>
      </c>
      <c r="AC11" s="73" t="s">
        <v>73</v>
      </c>
      <c r="AD11" s="73" t="s">
        <v>1268</v>
      </c>
      <c r="AE11" s="73" t="s">
        <v>1268</v>
      </c>
      <c r="AF11" s="74" t="s">
        <v>1444</v>
      </c>
      <c r="AG11" s="73" t="s">
        <v>73</v>
      </c>
      <c r="AH11" s="74"/>
      <c r="AI11" s="73" t="s">
        <v>73</v>
      </c>
      <c r="AJ11" s="74"/>
      <c r="AK11" s="73" t="s">
        <v>1437</v>
      </c>
      <c r="AL11" s="73" t="s">
        <v>1270</v>
      </c>
      <c r="AM11" s="74"/>
      <c r="AN11" s="74" t="s">
        <v>1340</v>
      </c>
      <c r="AO11" s="74" t="s">
        <v>127</v>
      </c>
      <c r="AP11" s="74">
        <v>40.0</v>
      </c>
      <c r="AQ11" s="74"/>
      <c r="AR11" s="74" t="s">
        <v>35</v>
      </c>
      <c r="AS11" s="74" t="s">
        <v>1445</v>
      </c>
      <c r="AT11" s="74" t="s">
        <v>1446</v>
      </c>
      <c r="AU11" s="74">
        <v>38.0</v>
      </c>
      <c r="AV11" s="74"/>
      <c r="AW11" s="74"/>
      <c r="AX11" s="74" t="s">
        <v>1348</v>
      </c>
      <c r="AY11" s="74" t="s">
        <v>1447</v>
      </c>
      <c r="AZ11" s="74">
        <v>11.0</v>
      </c>
      <c r="BA11" s="74" t="s">
        <v>35</v>
      </c>
      <c r="BB11" s="74"/>
      <c r="BC11" s="74" t="s">
        <v>1348</v>
      </c>
      <c r="BD11" s="74" t="s">
        <v>1448</v>
      </c>
      <c r="BE11" s="74">
        <v>10.0</v>
      </c>
      <c r="BF11" s="74" t="s">
        <v>35</v>
      </c>
      <c r="BH11" s="74"/>
      <c r="BI11" s="74"/>
      <c r="BJ11" s="74"/>
      <c r="BK11" s="74"/>
      <c r="BL11" s="74"/>
      <c r="BM11" s="74" t="s">
        <v>1340</v>
      </c>
      <c r="BN11" s="74" t="s">
        <v>1449</v>
      </c>
      <c r="BO11" s="74">
        <v>1400.0</v>
      </c>
      <c r="BP11" s="74" t="s">
        <v>1450</v>
      </c>
      <c r="BQ11" s="74" t="s">
        <v>1451</v>
      </c>
      <c r="BR11" s="74">
        <v>1500.0</v>
      </c>
      <c r="BS11" s="74"/>
      <c r="BT11" s="74"/>
      <c r="BU11" s="74"/>
      <c r="BV11" s="74"/>
      <c r="BW11" s="74"/>
      <c r="BX11" s="74"/>
      <c r="BZ11" s="74">
        <v>1000.0</v>
      </c>
      <c r="CA11" s="73" t="s">
        <v>73</v>
      </c>
      <c r="CB11" s="74"/>
      <c r="CC11" s="73" t="s">
        <v>35</v>
      </c>
      <c r="CD11" s="74" t="s">
        <v>1452</v>
      </c>
      <c r="CE11" s="73" t="s">
        <v>1416</v>
      </c>
      <c r="CF11" s="74"/>
      <c r="CG11" s="73" t="s">
        <v>1416</v>
      </c>
      <c r="CH11" s="74"/>
      <c r="CI11" s="73" t="s">
        <v>73</v>
      </c>
      <c r="CJ11" s="74"/>
      <c r="CK11" s="73" t="s">
        <v>73</v>
      </c>
      <c r="CL11" s="74"/>
      <c r="CM11" s="73" t="s">
        <v>73</v>
      </c>
      <c r="CN11" s="74"/>
      <c r="CO11" s="73" t="s">
        <v>73</v>
      </c>
      <c r="CP11" s="74"/>
      <c r="CQ11" s="73" t="s">
        <v>73</v>
      </c>
      <c r="CR11" s="73" t="s">
        <v>1453</v>
      </c>
      <c r="CS11" s="74" t="s">
        <v>1323</v>
      </c>
      <c r="CT11" s="74" t="s">
        <v>1454</v>
      </c>
      <c r="CU11" s="79">
        <f t="shared" si="1"/>
        <v>11</v>
      </c>
      <c r="CV11" s="77">
        <f>IFERROR(__xludf.DUMMYFUNCTION("IFERROR(QUERY(Presidente!$A$3:$AD112, ""SELECT AD WHERE A = '"" &amp; $B11 &amp; ""'""),"""")"),608.0)</f>
        <v>608</v>
      </c>
    </row>
    <row r="12">
      <c r="A12" s="72">
        <v>44375.31980222222</v>
      </c>
      <c r="B12" s="73" t="s">
        <v>134</v>
      </c>
      <c r="C12" s="73" t="s">
        <v>1455</v>
      </c>
      <c r="D12" s="73">
        <v>4350.0</v>
      </c>
      <c r="E12" s="73" t="s">
        <v>1456</v>
      </c>
      <c r="F12" s="73" t="s">
        <v>1457</v>
      </c>
      <c r="G12" s="73" t="s">
        <v>1458</v>
      </c>
      <c r="H12" s="74" t="s">
        <v>1255</v>
      </c>
      <c r="I12" s="73" t="s">
        <v>1459</v>
      </c>
      <c r="J12" s="74"/>
      <c r="K12" s="73" t="s">
        <v>1460</v>
      </c>
      <c r="L12" s="73" t="s">
        <v>1461</v>
      </c>
      <c r="M12" s="74"/>
      <c r="N12" s="73" t="s">
        <v>1462</v>
      </c>
      <c r="O12" s="75"/>
      <c r="P12" s="74"/>
      <c r="Q12" s="74"/>
      <c r="R12" s="73" t="s">
        <v>1261</v>
      </c>
      <c r="S12" s="73" t="s">
        <v>1294</v>
      </c>
      <c r="T12" s="73" t="s">
        <v>1463</v>
      </c>
      <c r="U12" s="74" t="s">
        <v>1464</v>
      </c>
      <c r="V12" s="74" t="s">
        <v>1465</v>
      </c>
      <c r="W12" s="74"/>
      <c r="X12" s="73" t="s">
        <v>1466</v>
      </c>
      <c r="Y12" s="74"/>
      <c r="Z12" s="74"/>
      <c r="AA12" s="73" t="s">
        <v>1467</v>
      </c>
      <c r="AB12" s="73" t="s">
        <v>1267</v>
      </c>
      <c r="AC12" s="73" t="s">
        <v>73</v>
      </c>
      <c r="AD12" s="73" t="s">
        <v>1268</v>
      </c>
      <c r="AE12" s="73" t="s">
        <v>1268</v>
      </c>
      <c r="AF12" s="74"/>
      <c r="AG12" s="73" t="s">
        <v>73</v>
      </c>
      <c r="AH12" s="74"/>
      <c r="AI12" s="73" t="s">
        <v>73</v>
      </c>
      <c r="AJ12" s="74"/>
      <c r="AK12" s="73" t="s">
        <v>1269</v>
      </c>
      <c r="AL12" s="73" t="s">
        <v>1299</v>
      </c>
      <c r="AM12" s="74" t="s">
        <v>1468</v>
      </c>
      <c r="AN12" s="74" t="s">
        <v>1445</v>
      </c>
      <c r="AO12" s="74" t="s">
        <v>1469</v>
      </c>
      <c r="AP12" s="74">
        <v>36.0</v>
      </c>
      <c r="AQ12" s="74"/>
      <c r="AR12" s="74" t="s">
        <v>35</v>
      </c>
      <c r="AS12" s="74"/>
      <c r="AT12" s="74"/>
      <c r="AU12" s="74"/>
      <c r="AV12" s="74"/>
      <c r="AW12" s="74"/>
      <c r="AX12" s="74"/>
      <c r="AY12" s="74"/>
      <c r="AZ12" s="74"/>
      <c r="BA12" s="74"/>
      <c r="BB12" s="74"/>
      <c r="BC12" s="74"/>
      <c r="BD12" s="74"/>
      <c r="BE12" s="74"/>
      <c r="BF12" s="74"/>
      <c r="BH12" s="74"/>
      <c r="BI12" s="74"/>
      <c r="BJ12" s="74"/>
      <c r="BK12" s="74"/>
      <c r="BL12" s="74"/>
      <c r="BM12" s="74" t="s">
        <v>1445</v>
      </c>
      <c r="BN12" s="74" t="s">
        <v>1470</v>
      </c>
      <c r="BO12" s="74">
        <v>3000.0</v>
      </c>
      <c r="BP12" s="74"/>
      <c r="BQ12" s="74"/>
      <c r="BR12" s="74"/>
      <c r="BS12" s="74"/>
      <c r="BT12" s="74"/>
      <c r="BU12" s="74"/>
      <c r="BV12" s="74"/>
      <c r="BW12" s="74"/>
      <c r="BX12" s="74"/>
      <c r="BZ12" s="74"/>
      <c r="CA12" s="74"/>
      <c r="CB12" s="74"/>
      <c r="CC12" s="73" t="s">
        <v>73</v>
      </c>
      <c r="CD12" s="74"/>
      <c r="CE12" s="73" t="s">
        <v>84</v>
      </c>
      <c r="CF12" s="74"/>
      <c r="CG12" s="73" t="s">
        <v>37</v>
      </c>
      <c r="CH12" s="74"/>
      <c r="CI12" s="73" t="s">
        <v>73</v>
      </c>
      <c r="CJ12" s="74"/>
      <c r="CK12" s="73" t="s">
        <v>35</v>
      </c>
      <c r="CL12" s="74" t="s">
        <v>1471</v>
      </c>
      <c r="CM12" s="73" t="s">
        <v>35</v>
      </c>
      <c r="CN12" s="74" t="s">
        <v>1472</v>
      </c>
      <c r="CO12" s="73" t="s">
        <v>35</v>
      </c>
      <c r="CP12" s="74" t="s">
        <v>1473</v>
      </c>
      <c r="CQ12" s="73" t="s">
        <v>35</v>
      </c>
      <c r="CR12" s="73" t="s">
        <v>1474</v>
      </c>
      <c r="CS12" s="74" t="s">
        <v>1323</v>
      </c>
      <c r="CT12" s="74" t="s">
        <v>1475</v>
      </c>
      <c r="CU12" s="79">
        <f t="shared" si="1"/>
        <v>12</v>
      </c>
      <c r="CV12" s="77">
        <f>IFERROR(__xludf.DUMMYFUNCTION("IFERROR(QUERY(Presidente!$A$3:$AD112, ""SELECT AD WHERE A = '"" &amp; $B12 &amp; ""'""),"""")"),609.0)</f>
        <v>609</v>
      </c>
    </row>
    <row r="13">
      <c r="A13" s="72">
        <v>44375.6303971875</v>
      </c>
      <c r="B13" s="73" t="s">
        <v>145</v>
      </c>
      <c r="C13" s="73" t="s">
        <v>1476</v>
      </c>
      <c r="D13" s="73">
        <v>118.0</v>
      </c>
      <c r="E13" s="74" t="s">
        <v>1475</v>
      </c>
      <c r="F13" s="73" t="s">
        <v>1477</v>
      </c>
      <c r="G13" s="74" t="s">
        <v>1475</v>
      </c>
      <c r="H13" s="74" t="s">
        <v>1475</v>
      </c>
      <c r="I13" s="74" t="s">
        <v>1475</v>
      </c>
      <c r="J13" s="74" t="s">
        <v>1475</v>
      </c>
      <c r="K13" s="74" t="s">
        <v>1475</v>
      </c>
      <c r="L13" s="74" t="s">
        <v>1475</v>
      </c>
      <c r="M13" s="74" t="s">
        <v>1475</v>
      </c>
      <c r="N13" s="73" t="s">
        <v>1462</v>
      </c>
      <c r="O13" s="75" t="s">
        <v>1475</v>
      </c>
      <c r="P13" s="74" t="s">
        <v>1475</v>
      </c>
      <c r="Q13" s="81" t="s">
        <v>1475</v>
      </c>
      <c r="R13" s="73" t="s">
        <v>1478</v>
      </c>
      <c r="S13" s="73" t="s">
        <v>1294</v>
      </c>
      <c r="T13" s="73" t="s">
        <v>1479</v>
      </c>
      <c r="U13" s="73" t="s">
        <v>1480</v>
      </c>
      <c r="V13" s="73" t="s">
        <v>1481</v>
      </c>
      <c r="W13" s="73" t="s">
        <v>1482</v>
      </c>
      <c r="X13" s="73" t="s">
        <v>1483</v>
      </c>
      <c r="Y13" s="74" t="s">
        <v>1475</v>
      </c>
      <c r="Z13" s="74" t="s">
        <v>1475</v>
      </c>
      <c r="AA13" s="73" t="s">
        <v>73</v>
      </c>
      <c r="AB13" s="73" t="s">
        <v>73</v>
      </c>
      <c r="AC13" s="73" t="s">
        <v>73</v>
      </c>
      <c r="AD13" s="73" t="s">
        <v>1268</v>
      </c>
      <c r="AE13" s="73" t="s">
        <v>1268</v>
      </c>
      <c r="AF13" s="74" t="s">
        <v>1475</v>
      </c>
      <c r="AG13" s="73" t="s">
        <v>73</v>
      </c>
      <c r="AH13" s="74" t="s">
        <v>1475</v>
      </c>
      <c r="AI13" s="73" t="s">
        <v>73</v>
      </c>
      <c r="AJ13" s="74" t="s">
        <v>1475</v>
      </c>
      <c r="AK13" s="73" t="s">
        <v>1314</v>
      </c>
      <c r="AL13" s="73" t="s">
        <v>1484</v>
      </c>
      <c r="AM13" s="74" t="s">
        <v>1475</v>
      </c>
      <c r="AN13" s="74" t="s">
        <v>1475</v>
      </c>
      <c r="AO13" s="74" t="s">
        <v>1475</v>
      </c>
      <c r="AP13" s="74" t="s">
        <v>1475</v>
      </c>
      <c r="AQ13" s="74" t="s">
        <v>1475</v>
      </c>
      <c r="AR13" s="74" t="s">
        <v>1475</v>
      </c>
      <c r="AS13" s="74" t="s">
        <v>1475</v>
      </c>
      <c r="AT13" s="74" t="s">
        <v>1475</v>
      </c>
      <c r="AU13" s="74" t="s">
        <v>1475</v>
      </c>
      <c r="AV13" s="74" t="s">
        <v>1475</v>
      </c>
      <c r="AW13" s="74" t="s">
        <v>1475</v>
      </c>
      <c r="AX13" s="74" t="s">
        <v>1475</v>
      </c>
      <c r="AY13" s="74" t="s">
        <v>1475</v>
      </c>
      <c r="AZ13" s="74" t="s">
        <v>1475</v>
      </c>
      <c r="BA13" s="74" t="s">
        <v>1475</v>
      </c>
      <c r="BB13" s="74" t="s">
        <v>1475</v>
      </c>
      <c r="BC13" s="74" t="s">
        <v>1475</v>
      </c>
      <c r="BD13" s="74" t="s">
        <v>1475</v>
      </c>
      <c r="BE13" s="74" t="s">
        <v>1475</v>
      </c>
      <c r="BF13" s="74" t="s">
        <v>1475</v>
      </c>
      <c r="BG13" s="81" t="s">
        <v>1475</v>
      </c>
      <c r="BH13" s="74" t="s">
        <v>1475</v>
      </c>
      <c r="BI13" s="74" t="s">
        <v>1475</v>
      </c>
      <c r="BJ13" s="74" t="s">
        <v>1475</v>
      </c>
      <c r="BK13" s="74" t="s">
        <v>1475</v>
      </c>
      <c r="BL13" s="74" t="s">
        <v>1475</v>
      </c>
      <c r="BM13" s="74" t="s">
        <v>1475</v>
      </c>
      <c r="BN13" s="74" t="s">
        <v>1475</v>
      </c>
      <c r="BO13" s="74" t="s">
        <v>1475</v>
      </c>
      <c r="BP13" s="74" t="s">
        <v>1475</v>
      </c>
      <c r="BQ13" s="74" t="s">
        <v>1475</v>
      </c>
      <c r="BR13" s="74" t="s">
        <v>1475</v>
      </c>
      <c r="BS13" s="74" t="s">
        <v>1475</v>
      </c>
      <c r="BT13" s="74" t="s">
        <v>1475</v>
      </c>
      <c r="BU13" s="74" t="s">
        <v>1475</v>
      </c>
      <c r="BV13" s="74" t="s">
        <v>1475</v>
      </c>
      <c r="BW13" s="74" t="s">
        <v>1475</v>
      </c>
      <c r="BX13" s="74" t="s">
        <v>1475</v>
      </c>
      <c r="BZ13" s="74" t="s">
        <v>1475</v>
      </c>
      <c r="CA13" s="74" t="s">
        <v>1475</v>
      </c>
      <c r="CB13" s="74" t="s">
        <v>1475</v>
      </c>
      <c r="CC13" s="73" t="s">
        <v>35</v>
      </c>
      <c r="CD13" s="74" t="s">
        <v>1475</v>
      </c>
      <c r="CE13" s="73" t="s">
        <v>37</v>
      </c>
      <c r="CF13" s="74" t="s">
        <v>1475</v>
      </c>
      <c r="CG13" s="73" t="s">
        <v>37</v>
      </c>
      <c r="CH13" s="74" t="s">
        <v>1475</v>
      </c>
      <c r="CI13" s="73" t="s">
        <v>73</v>
      </c>
      <c r="CJ13" s="74" t="s">
        <v>1475</v>
      </c>
      <c r="CK13" s="73" t="s">
        <v>73</v>
      </c>
      <c r="CL13" s="74" t="s">
        <v>1475</v>
      </c>
      <c r="CM13" s="73" t="s">
        <v>73</v>
      </c>
      <c r="CN13" s="74" t="s">
        <v>1475</v>
      </c>
      <c r="CO13" s="73" t="s">
        <v>73</v>
      </c>
      <c r="CP13" s="74" t="s">
        <v>1475</v>
      </c>
      <c r="CQ13" s="73" t="s">
        <v>1260</v>
      </c>
      <c r="CR13" s="73" t="s">
        <v>1485</v>
      </c>
      <c r="CS13" s="74" t="s">
        <v>1323</v>
      </c>
      <c r="CT13" s="74" t="s">
        <v>1475</v>
      </c>
      <c r="CU13" s="76">
        <f t="shared" si="1"/>
        <v>13</v>
      </c>
      <c r="CV13" s="77">
        <f>IFERROR(__xludf.DUMMYFUNCTION("IFERROR(QUERY(Presidente!$A$3:$AD112, ""SELECT AD WHERE A = '"" &amp; $B13 &amp; ""'""),"""")"),610.0)</f>
        <v>610</v>
      </c>
    </row>
    <row r="14">
      <c r="A14" s="72">
        <v>44375.35362731482</v>
      </c>
      <c r="B14" s="73" t="s">
        <v>153</v>
      </c>
      <c r="C14" s="73" t="s">
        <v>1486</v>
      </c>
      <c r="D14" s="73">
        <v>65.0</v>
      </c>
      <c r="E14" s="74"/>
      <c r="F14" s="73" t="s">
        <v>1487</v>
      </c>
      <c r="G14" s="74" t="s">
        <v>1488</v>
      </c>
      <c r="H14" s="74" t="s">
        <v>1255</v>
      </c>
      <c r="I14" s="73" t="s">
        <v>1489</v>
      </c>
      <c r="J14" s="74"/>
      <c r="K14" s="74"/>
      <c r="L14" s="74"/>
      <c r="M14" s="74"/>
      <c r="N14" s="73" t="s">
        <v>1260</v>
      </c>
      <c r="O14" s="75"/>
      <c r="P14" s="74"/>
      <c r="Q14" s="74"/>
      <c r="R14" s="73" t="s">
        <v>1261</v>
      </c>
      <c r="S14" s="73" t="s">
        <v>1294</v>
      </c>
      <c r="T14" s="73" t="s">
        <v>1490</v>
      </c>
      <c r="U14" s="74"/>
      <c r="V14" s="74"/>
      <c r="W14" s="74"/>
      <c r="X14" s="74"/>
      <c r="Y14" s="74"/>
      <c r="Z14" s="74"/>
      <c r="AA14" s="74" t="s">
        <v>1284</v>
      </c>
      <c r="AB14" s="73" t="s">
        <v>73</v>
      </c>
      <c r="AC14" s="73" t="s">
        <v>73</v>
      </c>
      <c r="AD14" s="73" t="s">
        <v>1268</v>
      </c>
      <c r="AE14" s="73" t="s">
        <v>1268</v>
      </c>
      <c r="AF14" s="74"/>
      <c r="AG14" s="73" t="s">
        <v>73</v>
      </c>
      <c r="AH14" s="74"/>
      <c r="AI14" s="73" t="s">
        <v>73</v>
      </c>
      <c r="AJ14" s="74"/>
      <c r="AK14" s="73" t="s">
        <v>1269</v>
      </c>
      <c r="AL14" s="73" t="s">
        <v>1491</v>
      </c>
      <c r="AM14" s="74"/>
      <c r="AN14" s="74" t="s">
        <v>1278</v>
      </c>
      <c r="AO14" s="74" t="s">
        <v>1492</v>
      </c>
      <c r="AP14" s="74">
        <v>44.0</v>
      </c>
      <c r="AQ14" s="74"/>
      <c r="AR14" s="74" t="s">
        <v>35</v>
      </c>
      <c r="AS14" s="74" t="s">
        <v>1315</v>
      </c>
      <c r="AT14" s="74" t="s">
        <v>1493</v>
      </c>
      <c r="AU14" s="74">
        <v>48.0</v>
      </c>
      <c r="AV14" s="74"/>
      <c r="AW14" s="74"/>
      <c r="AX14" s="74"/>
      <c r="AY14" s="74"/>
      <c r="AZ14" s="74"/>
      <c r="BA14" s="74"/>
      <c r="BB14" s="74"/>
      <c r="BC14" s="74"/>
      <c r="BD14" s="74"/>
      <c r="BE14" s="74"/>
      <c r="BF14" s="74"/>
      <c r="BH14" s="74"/>
      <c r="BI14" s="74"/>
      <c r="BJ14" s="74"/>
      <c r="BK14" s="74"/>
      <c r="BL14" s="74"/>
      <c r="BM14" s="74" t="s">
        <v>1494</v>
      </c>
      <c r="BN14" s="74" t="s">
        <v>1495</v>
      </c>
      <c r="BO14" s="74">
        <v>3000.0</v>
      </c>
      <c r="BP14" s="74"/>
      <c r="BQ14" s="74"/>
      <c r="BR14" s="74"/>
      <c r="BS14" s="74"/>
      <c r="BT14" s="74"/>
      <c r="BU14" s="74"/>
      <c r="BV14" s="74"/>
      <c r="BW14" s="74"/>
      <c r="BX14" s="74"/>
      <c r="BZ14" s="74"/>
      <c r="CA14" s="74" t="s">
        <v>1284</v>
      </c>
      <c r="CB14" s="74"/>
      <c r="CC14" s="73" t="s">
        <v>73</v>
      </c>
      <c r="CD14" s="74"/>
      <c r="CE14" s="73" t="s">
        <v>84</v>
      </c>
      <c r="CF14" s="74"/>
      <c r="CG14" s="73" t="s">
        <v>84</v>
      </c>
      <c r="CH14" s="74"/>
      <c r="CI14" s="73" t="s">
        <v>73</v>
      </c>
      <c r="CJ14" s="74"/>
      <c r="CK14" s="73" t="s">
        <v>73</v>
      </c>
      <c r="CL14" s="74"/>
      <c r="CM14" s="73" t="s">
        <v>73</v>
      </c>
      <c r="CN14" s="74"/>
      <c r="CO14" s="73" t="s">
        <v>73</v>
      </c>
      <c r="CP14" s="74"/>
      <c r="CQ14" s="73" t="s">
        <v>35</v>
      </c>
      <c r="CR14" s="73" t="s">
        <v>1496</v>
      </c>
      <c r="CS14" s="74" t="s">
        <v>1497</v>
      </c>
      <c r="CT14" s="74" t="s">
        <v>1498</v>
      </c>
      <c r="CU14" s="79">
        <f t="shared" si="1"/>
        <v>14</v>
      </c>
      <c r="CV14" s="77">
        <f>IFERROR(__xludf.DUMMYFUNCTION("IFERROR(QUERY(Presidente!$A$3:$AD112, ""SELECT AD WHERE A = '"" &amp; $B14 &amp; ""'""),"""")"),611.0)</f>
        <v>611</v>
      </c>
    </row>
    <row r="15">
      <c r="A15" s="72">
        <v>44375.37062258102</v>
      </c>
      <c r="B15" s="73" t="s">
        <v>163</v>
      </c>
      <c r="C15" s="73" t="s">
        <v>1499</v>
      </c>
      <c r="D15" s="73">
        <v>326.0</v>
      </c>
      <c r="E15" s="74"/>
      <c r="F15" s="73" t="s">
        <v>1500</v>
      </c>
      <c r="G15" s="73" t="s">
        <v>1501</v>
      </c>
      <c r="H15" s="74" t="s">
        <v>1255</v>
      </c>
      <c r="I15" s="73" t="s">
        <v>1502</v>
      </c>
      <c r="J15" s="74" t="s">
        <v>1503</v>
      </c>
      <c r="K15" s="73" t="s">
        <v>1504</v>
      </c>
      <c r="L15" s="73" t="s">
        <v>1505</v>
      </c>
      <c r="M15" s="74"/>
      <c r="N15" s="73" t="s">
        <v>1462</v>
      </c>
      <c r="O15" s="75">
        <v>4.48540690108E11</v>
      </c>
      <c r="P15" s="73">
        <v>418.0</v>
      </c>
      <c r="Q15" s="80" t="s">
        <v>1506</v>
      </c>
      <c r="R15" s="73" t="s">
        <v>1261</v>
      </c>
      <c r="S15" s="73" t="s">
        <v>1262</v>
      </c>
      <c r="T15" s="73" t="s">
        <v>1479</v>
      </c>
      <c r="U15" s="73" t="s">
        <v>1507</v>
      </c>
      <c r="V15" s="73" t="s">
        <v>1508</v>
      </c>
      <c r="W15" s="73" t="s">
        <v>1509</v>
      </c>
      <c r="X15" s="73" t="s">
        <v>1510</v>
      </c>
      <c r="Y15" s="73" t="s">
        <v>1511</v>
      </c>
      <c r="Z15" s="73" t="s">
        <v>1512</v>
      </c>
      <c r="AA15" s="74" t="s">
        <v>73</v>
      </c>
      <c r="AB15" s="73" t="s">
        <v>1513</v>
      </c>
      <c r="AC15" s="73" t="s">
        <v>73</v>
      </c>
      <c r="AD15" s="73" t="s">
        <v>1268</v>
      </c>
      <c r="AE15" s="73" t="s">
        <v>1268</v>
      </c>
      <c r="AF15" s="74"/>
      <c r="AG15" s="73" t="s">
        <v>73</v>
      </c>
      <c r="AH15" s="74"/>
      <c r="AI15" s="73" t="s">
        <v>73</v>
      </c>
      <c r="AJ15" s="74"/>
      <c r="AK15" s="73" t="s">
        <v>1314</v>
      </c>
      <c r="AL15" s="73" t="s">
        <v>1270</v>
      </c>
      <c r="AM15" s="74"/>
      <c r="AN15" s="74" t="s">
        <v>1445</v>
      </c>
      <c r="AO15" s="74" t="s">
        <v>167</v>
      </c>
      <c r="AP15" s="74">
        <v>48.0</v>
      </c>
      <c r="AQ15" s="74"/>
      <c r="AR15" s="74" t="s">
        <v>35</v>
      </c>
      <c r="AS15" s="74" t="s">
        <v>1340</v>
      </c>
      <c r="AT15" s="74" t="s">
        <v>1514</v>
      </c>
      <c r="AU15" s="74">
        <v>52.0</v>
      </c>
      <c r="AV15" s="74"/>
      <c r="AW15" s="74" t="s">
        <v>35</v>
      </c>
      <c r="AX15" s="74" t="s">
        <v>1344</v>
      </c>
      <c r="AY15" s="74" t="s">
        <v>1515</v>
      </c>
      <c r="AZ15" s="74">
        <v>21.0</v>
      </c>
      <c r="BA15" s="74" t="s">
        <v>35</v>
      </c>
      <c r="BB15" s="74"/>
      <c r="BC15" s="74" t="s">
        <v>1344</v>
      </c>
      <c r="BD15" s="74" t="s">
        <v>1516</v>
      </c>
      <c r="BE15" s="74">
        <v>12.0</v>
      </c>
      <c r="BF15" s="74" t="s">
        <v>35</v>
      </c>
      <c r="BH15" s="74"/>
      <c r="BI15" s="74"/>
      <c r="BJ15" s="74"/>
      <c r="BK15" s="74"/>
      <c r="BL15" s="74"/>
      <c r="BM15" s="74" t="s">
        <v>1517</v>
      </c>
      <c r="BN15" s="74" t="s">
        <v>1518</v>
      </c>
      <c r="BO15" s="74">
        <v>1500.0</v>
      </c>
      <c r="BP15" s="74" t="s">
        <v>1340</v>
      </c>
      <c r="BQ15" s="74" t="s">
        <v>1519</v>
      </c>
      <c r="BR15" s="74">
        <v>6000.0</v>
      </c>
      <c r="BS15" s="74"/>
      <c r="BT15" s="74"/>
      <c r="BU15" s="74"/>
      <c r="BV15" s="74"/>
      <c r="BW15" s="74"/>
      <c r="BX15" s="74"/>
      <c r="BZ15" s="74"/>
      <c r="CA15" s="74" t="s">
        <v>73</v>
      </c>
      <c r="CB15" s="74"/>
      <c r="CC15" s="73" t="s">
        <v>73</v>
      </c>
      <c r="CD15" s="74"/>
      <c r="CE15" s="73" t="s">
        <v>37</v>
      </c>
      <c r="CF15" s="74"/>
      <c r="CG15" s="73" t="s">
        <v>1416</v>
      </c>
      <c r="CH15" s="74"/>
      <c r="CI15" s="73" t="s">
        <v>35</v>
      </c>
      <c r="CJ15" s="74" t="s">
        <v>1520</v>
      </c>
      <c r="CK15" s="73" t="s">
        <v>73</v>
      </c>
      <c r="CL15" s="74"/>
      <c r="CM15" s="73" t="s">
        <v>35</v>
      </c>
      <c r="CN15" s="74" t="s">
        <v>1521</v>
      </c>
      <c r="CO15" s="73" t="s">
        <v>73</v>
      </c>
      <c r="CP15" s="74"/>
      <c r="CQ15" s="73" t="s">
        <v>35</v>
      </c>
      <c r="CR15" s="73" t="s">
        <v>1522</v>
      </c>
      <c r="CS15" s="74" t="s">
        <v>1323</v>
      </c>
      <c r="CT15" s="74" t="s">
        <v>1523</v>
      </c>
      <c r="CU15" s="79">
        <f t="shared" si="1"/>
        <v>15</v>
      </c>
      <c r="CV15" s="77">
        <f>IFERROR(__xludf.DUMMYFUNCTION("IFERROR(QUERY(Presidente!$A$3:$AD112, ""SELECT AD WHERE A = '"" &amp; $B15 &amp; ""'""),"""")"),612.0)</f>
        <v>612</v>
      </c>
    </row>
    <row r="16">
      <c r="A16" s="72">
        <v>44375.59369163195</v>
      </c>
      <c r="B16" s="73" t="s">
        <v>173</v>
      </c>
      <c r="C16" s="73" t="s">
        <v>1524</v>
      </c>
      <c r="D16" s="73">
        <v>260.0</v>
      </c>
      <c r="E16" s="73" t="s">
        <v>1525</v>
      </c>
      <c r="F16" s="73" t="s">
        <v>1526</v>
      </c>
      <c r="G16" s="73" t="s">
        <v>1527</v>
      </c>
      <c r="H16" s="74" t="s">
        <v>1329</v>
      </c>
      <c r="I16" s="73" t="s">
        <v>1528</v>
      </c>
      <c r="J16" s="74" t="s">
        <v>1529</v>
      </c>
      <c r="K16" s="74"/>
      <c r="L16" s="74"/>
      <c r="M16" s="74"/>
      <c r="N16" s="73" t="s">
        <v>1332</v>
      </c>
      <c r="O16" s="75"/>
      <c r="P16" s="74"/>
      <c r="Q16" s="74"/>
      <c r="R16" s="73" t="s">
        <v>1261</v>
      </c>
      <c r="S16" s="73" t="s">
        <v>1294</v>
      </c>
      <c r="T16" s="74" t="s">
        <v>1530</v>
      </c>
      <c r="U16" s="73" t="s">
        <v>1531</v>
      </c>
      <c r="V16" s="73" t="s">
        <v>1532</v>
      </c>
      <c r="W16" s="74"/>
      <c r="X16" s="73" t="s">
        <v>1312</v>
      </c>
      <c r="Y16" s="74"/>
      <c r="Z16" s="74"/>
      <c r="AA16" s="74" t="s">
        <v>35</v>
      </c>
      <c r="AB16" s="73" t="s">
        <v>1267</v>
      </c>
      <c r="AC16" s="73" t="s">
        <v>73</v>
      </c>
      <c r="AD16" s="73" t="s">
        <v>1268</v>
      </c>
      <c r="AE16" s="73" t="s">
        <v>1268</v>
      </c>
      <c r="AF16" s="74"/>
      <c r="AG16" s="73" t="s">
        <v>73</v>
      </c>
      <c r="AH16" s="74"/>
      <c r="AI16" s="73" t="s">
        <v>73</v>
      </c>
      <c r="AJ16" s="74"/>
      <c r="AK16" s="73" t="s">
        <v>1314</v>
      </c>
      <c r="AL16" s="73" t="s">
        <v>1270</v>
      </c>
      <c r="AM16" s="74"/>
      <c r="AN16" s="74" t="s">
        <v>1278</v>
      </c>
      <c r="AO16" s="74" t="s">
        <v>1533</v>
      </c>
      <c r="AP16" s="74" t="s">
        <v>1534</v>
      </c>
      <c r="AQ16" s="74"/>
      <c r="AR16" s="74" t="s">
        <v>35</v>
      </c>
      <c r="AS16" s="74" t="s">
        <v>1315</v>
      </c>
      <c r="AT16" s="74" t="s">
        <v>1535</v>
      </c>
      <c r="AU16" s="74">
        <v>60.0</v>
      </c>
      <c r="AV16" s="74"/>
      <c r="AW16" s="74"/>
      <c r="AX16" s="74" t="s">
        <v>1411</v>
      </c>
      <c r="AY16" s="74" t="s">
        <v>1536</v>
      </c>
      <c r="AZ16" s="74">
        <v>19.0</v>
      </c>
      <c r="BA16" s="74" t="s">
        <v>35</v>
      </c>
      <c r="BB16" s="74"/>
      <c r="BC16" s="74"/>
      <c r="BD16" s="74"/>
      <c r="BE16" s="74"/>
      <c r="BF16" s="74"/>
      <c r="BH16" s="74"/>
      <c r="BI16" s="74"/>
      <c r="BJ16" s="74"/>
      <c r="BK16" s="74"/>
      <c r="BL16" s="74"/>
      <c r="BM16" s="74" t="s">
        <v>1278</v>
      </c>
      <c r="BN16" s="74" t="s">
        <v>1537</v>
      </c>
      <c r="BO16" s="74">
        <v>1000.0</v>
      </c>
      <c r="BP16" s="74" t="s">
        <v>1315</v>
      </c>
      <c r="BQ16" s="74" t="s">
        <v>1538</v>
      </c>
      <c r="BR16" s="74">
        <v>4000.0</v>
      </c>
      <c r="BS16" s="74" t="s">
        <v>1539</v>
      </c>
      <c r="BT16" s="74" t="s">
        <v>1540</v>
      </c>
      <c r="BU16" s="74">
        <v>1100.0</v>
      </c>
      <c r="BV16" s="74"/>
      <c r="BW16" s="74"/>
      <c r="BX16" s="74"/>
      <c r="BZ16" s="74">
        <v>300.0</v>
      </c>
      <c r="CA16" s="74" t="s">
        <v>73</v>
      </c>
      <c r="CB16" s="74"/>
      <c r="CC16" s="73" t="s">
        <v>73</v>
      </c>
      <c r="CD16" s="74"/>
      <c r="CE16" s="73" t="s">
        <v>37</v>
      </c>
      <c r="CF16" s="74"/>
      <c r="CG16" s="73" t="s">
        <v>37</v>
      </c>
      <c r="CH16" s="74"/>
      <c r="CI16" s="73" t="s">
        <v>73</v>
      </c>
      <c r="CJ16" s="74"/>
      <c r="CK16" s="73" t="s">
        <v>73</v>
      </c>
      <c r="CL16" s="74"/>
      <c r="CM16" s="73" t="s">
        <v>73</v>
      </c>
      <c r="CN16" s="74"/>
      <c r="CO16" s="73" t="s">
        <v>73</v>
      </c>
      <c r="CP16" s="74"/>
      <c r="CQ16" s="73" t="s">
        <v>35</v>
      </c>
      <c r="CR16" s="73" t="s">
        <v>1541</v>
      </c>
      <c r="CS16" s="74" t="s">
        <v>1419</v>
      </c>
      <c r="CT16" s="74" t="s">
        <v>1542</v>
      </c>
      <c r="CU16" s="76">
        <f t="shared" si="1"/>
        <v>16</v>
      </c>
      <c r="CV16" s="77">
        <f>IFERROR(__xludf.DUMMYFUNCTION("IFERROR(QUERY(Presidente!$A$3:$AD112, ""SELECT AD WHERE A = '"" &amp; $B16 &amp; ""'""),"""")"),613.0)</f>
        <v>613</v>
      </c>
    </row>
    <row r="17">
      <c r="A17" s="72">
        <v>44375.30008385416</v>
      </c>
      <c r="B17" s="73" t="s">
        <v>183</v>
      </c>
      <c r="C17" s="73" t="s">
        <v>1543</v>
      </c>
      <c r="D17" s="73">
        <v>1026.0</v>
      </c>
      <c r="E17" s="73" t="s">
        <v>1544</v>
      </c>
      <c r="F17" s="73" t="s">
        <v>1545</v>
      </c>
      <c r="G17" s="73" t="s">
        <v>1546</v>
      </c>
      <c r="H17" s="74" t="s">
        <v>1329</v>
      </c>
      <c r="I17" s="73" t="s">
        <v>1547</v>
      </c>
      <c r="J17" s="74" t="s">
        <v>1548</v>
      </c>
      <c r="K17" s="73" t="s">
        <v>1549</v>
      </c>
      <c r="L17" s="73" t="s">
        <v>1550</v>
      </c>
      <c r="M17" s="74"/>
      <c r="N17" s="73" t="s">
        <v>1260</v>
      </c>
      <c r="O17" s="75"/>
      <c r="P17" s="74"/>
      <c r="Q17" s="74"/>
      <c r="R17" s="73" t="s">
        <v>1261</v>
      </c>
      <c r="S17" s="73" t="s">
        <v>1294</v>
      </c>
      <c r="T17" s="74"/>
      <c r="U17" s="74"/>
      <c r="V17" s="74"/>
      <c r="W17" s="74"/>
      <c r="X17" s="73" t="s">
        <v>1551</v>
      </c>
      <c r="Y17" s="74"/>
      <c r="Z17" s="74"/>
      <c r="AA17" s="74" t="s">
        <v>73</v>
      </c>
      <c r="AB17" s="73" t="s">
        <v>73</v>
      </c>
      <c r="AC17" s="73" t="s">
        <v>73</v>
      </c>
      <c r="AD17" s="73" t="s">
        <v>1268</v>
      </c>
      <c r="AE17" s="73" t="s">
        <v>1268</v>
      </c>
      <c r="AF17" s="74"/>
      <c r="AG17" s="73" t="s">
        <v>73</v>
      </c>
      <c r="AH17" s="74"/>
      <c r="AI17" s="73" t="s">
        <v>73</v>
      </c>
      <c r="AJ17" s="74"/>
      <c r="AK17" s="73" t="s">
        <v>1314</v>
      </c>
      <c r="AL17" s="73" t="s">
        <v>1491</v>
      </c>
      <c r="AM17" s="74"/>
      <c r="AN17" s="74" t="s">
        <v>1340</v>
      </c>
      <c r="AO17" s="74" t="s">
        <v>1552</v>
      </c>
      <c r="AP17" s="74">
        <v>51.0</v>
      </c>
      <c r="AQ17" s="74"/>
      <c r="AR17" s="74" t="s">
        <v>35</v>
      </c>
      <c r="AS17" s="74" t="s">
        <v>1445</v>
      </c>
      <c r="AT17" s="74" t="s">
        <v>1553</v>
      </c>
      <c r="AU17" s="74">
        <v>48.0</v>
      </c>
      <c r="AV17" s="74"/>
      <c r="AW17" s="74" t="s">
        <v>35</v>
      </c>
      <c r="AX17" s="74"/>
      <c r="AY17" s="74"/>
      <c r="AZ17" s="74"/>
      <c r="BA17" s="74"/>
      <c r="BB17" s="74"/>
      <c r="BC17" s="74"/>
      <c r="BD17" s="74"/>
      <c r="BE17" s="74"/>
      <c r="BF17" s="74"/>
      <c r="BG17" s="74"/>
      <c r="BH17" s="74"/>
      <c r="BI17" s="74"/>
      <c r="BJ17" s="74"/>
      <c r="BK17" s="74"/>
      <c r="BL17" s="74"/>
      <c r="BM17" s="74" t="s">
        <v>1340</v>
      </c>
      <c r="BN17" s="74" t="s">
        <v>1554</v>
      </c>
      <c r="BO17" s="74">
        <v>1200.0</v>
      </c>
      <c r="BP17" s="74" t="s">
        <v>1445</v>
      </c>
      <c r="BQ17" s="74" t="s">
        <v>1555</v>
      </c>
      <c r="BR17" s="74">
        <v>1200.0</v>
      </c>
      <c r="BS17" s="74"/>
      <c r="BT17" s="74"/>
      <c r="BU17" s="74"/>
      <c r="BV17" s="74"/>
      <c r="BW17" s="74"/>
      <c r="BX17" s="74"/>
      <c r="BZ17" s="74"/>
      <c r="CA17" s="74" t="s">
        <v>73</v>
      </c>
      <c r="CB17" s="74"/>
      <c r="CC17" s="73" t="s">
        <v>73</v>
      </c>
      <c r="CD17" s="74"/>
      <c r="CE17" s="73" t="s">
        <v>37</v>
      </c>
      <c r="CF17" s="74"/>
      <c r="CG17" s="73" t="s">
        <v>84</v>
      </c>
      <c r="CH17" s="74"/>
      <c r="CI17" s="73" t="s">
        <v>35</v>
      </c>
      <c r="CJ17" s="74" t="s">
        <v>1556</v>
      </c>
      <c r="CK17" s="73" t="s">
        <v>73</v>
      </c>
      <c r="CL17" s="74"/>
      <c r="CM17" s="73" t="s">
        <v>73</v>
      </c>
      <c r="CN17" s="74"/>
      <c r="CO17" s="73" t="s">
        <v>73</v>
      </c>
      <c r="CP17" s="74"/>
      <c r="CQ17" s="73" t="s">
        <v>35</v>
      </c>
      <c r="CR17" s="73" t="s">
        <v>1557</v>
      </c>
      <c r="CS17" s="74" t="s">
        <v>1287</v>
      </c>
      <c r="CT17" s="74" t="s">
        <v>1523</v>
      </c>
      <c r="CU17" s="79">
        <f t="shared" si="1"/>
        <v>17</v>
      </c>
      <c r="CV17" s="77">
        <f>IFERROR(__xludf.DUMMYFUNCTION("IFERROR(QUERY(Presidente!$A$3:$AD112, ""SELECT AD WHERE A = '"" &amp; $B17 &amp; ""'""),"""")"),614.0)</f>
        <v>614</v>
      </c>
    </row>
    <row r="18">
      <c r="A18" s="72">
        <v>44375.34814594907</v>
      </c>
      <c r="B18" s="73" t="s">
        <v>193</v>
      </c>
      <c r="C18" s="73" t="s">
        <v>1558</v>
      </c>
      <c r="D18" s="73">
        <v>1.0</v>
      </c>
      <c r="E18" s="74"/>
      <c r="F18" s="73" t="s">
        <v>1559</v>
      </c>
      <c r="G18" s="73" t="s">
        <v>1560</v>
      </c>
      <c r="H18" s="74" t="s">
        <v>1329</v>
      </c>
      <c r="I18" s="73" t="s">
        <v>1561</v>
      </c>
      <c r="J18" s="74" t="s">
        <v>1562</v>
      </c>
      <c r="K18" s="73" t="s">
        <v>1563</v>
      </c>
      <c r="L18" s="73" t="s">
        <v>1564</v>
      </c>
      <c r="M18" s="74"/>
      <c r="N18" s="73" t="s">
        <v>1462</v>
      </c>
      <c r="O18" s="75"/>
      <c r="P18" s="74"/>
      <c r="Q18" s="74"/>
      <c r="R18" s="73" t="s">
        <v>1565</v>
      </c>
      <c r="S18" s="73" t="s">
        <v>1566</v>
      </c>
      <c r="T18" s="73" t="s">
        <v>1567</v>
      </c>
      <c r="U18" s="73" t="s">
        <v>1568</v>
      </c>
      <c r="V18" s="73" t="s">
        <v>1569</v>
      </c>
      <c r="W18" s="73" t="s">
        <v>1570</v>
      </c>
      <c r="X18" s="73" t="s">
        <v>1571</v>
      </c>
      <c r="Y18" s="74" t="s">
        <v>1284</v>
      </c>
      <c r="Z18" s="73" t="s">
        <v>1572</v>
      </c>
      <c r="AA18" s="73" t="s">
        <v>1267</v>
      </c>
      <c r="AB18" s="73" t="s">
        <v>73</v>
      </c>
      <c r="AC18" s="73" t="s">
        <v>73</v>
      </c>
      <c r="AD18" s="73" t="s">
        <v>1268</v>
      </c>
      <c r="AE18" s="73" t="s">
        <v>1268</v>
      </c>
      <c r="AF18" s="74" t="s">
        <v>1284</v>
      </c>
      <c r="AG18" s="73" t="s">
        <v>73</v>
      </c>
      <c r="AH18" s="74"/>
      <c r="AI18" s="73" t="s">
        <v>73</v>
      </c>
      <c r="AJ18" s="74"/>
      <c r="AK18" s="73" t="s">
        <v>1314</v>
      </c>
      <c r="AL18" s="73" t="s">
        <v>1573</v>
      </c>
      <c r="AM18" s="74"/>
      <c r="AN18" s="74" t="s">
        <v>1278</v>
      </c>
      <c r="AO18" s="74" t="s">
        <v>196</v>
      </c>
      <c r="AP18" s="74">
        <v>45.0</v>
      </c>
      <c r="AQ18" s="74"/>
      <c r="AR18" s="74" t="s">
        <v>35</v>
      </c>
      <c r="AS18" s="74" t="s">
        <v>1315</v>
      </c>
      <c r="AT18" s="74" t="s">
        <v>197</v>
      </c>
      <c r="AU18" s="74">
        <v>41.0</v>
      </c>
      <c r="AV18" s="74"/>
      <c r="AW18" s="74"/>
      <c r="AX18" s="74" t="s">
        <v>1574</v>
      </c>
      <c r="AY18" s="74" t="s">
        <v>1575</v>
      </c>
      <c r="AZ18" s="74">
        <v>82.0</v>
      </c>
      <c r="BA18" s="74"/>
      <c r="BB18" s="74" t="s">
        <v>35</v>
      </c>
      <c r="BC18" s="74" t="s">
        <v>1392</v>
      </c>
      <c r="BD18" s="74" t="s">
        <v>1576</v>
      </c>
      <c r="BE18" s="74">
        <v>14.0</v>
      </c>
      <c r="BF18" s="74" t="s">
        <v>35</v>
      </c>
      <c r="BG18" s="74"/>
      <c r="BH18" s="74" t="s">
        <v>1411</v>
      </c>
      <c r="BI18" s="74" t="s">
        <v>1577</v>
      </c>
      <c r="BJ18" s="74">
        <v>9.0</v>
      </c>
      <c r="BK18" s="74" t="s">
        <v>35</v>
      </c>
      <c r="BL18" s="74"/>
      <c r="BM18" s="74" t="s">
        <v>1278</v>
      </c>
      <c r="BN18" s="74" t="s">
        <v>1578</v>
      </c>
      <c r="BO18" s="74">
        <v>2500.0</v>
      </c>
      <c r="BP18" s="74" t="s">
        <v>1574</v>
      </c>
      <c r="BQ18" s="74" t="s">
        <v>1538</v>
      </c>
      <c r="BR18" s="74">
        <v>1800.0</v>
      </c>
      <c r="BS18" s="74"/>
      <c r="BT18" s="74"/>
      <c r="BU18" s="74"/>
      <c r="BV18" s="74"/>
      <c r="BW18" s="74"/>
      <c r="BX18" s="74"/>
      <c r="BZ18" s="74">
        <v>300.0</v>
      </c>
      <c r="CA18" s="74" t="s">
        <v>73</v>
      </c>
      <c r="CB18" s="74"/>
      <c r="CC18" s="73" t="s">
        <v>73</v>
      </c>
      <c r="CD18" s="74"/>
      <c r="CE18" s="73" t="s">
        <v>1416</v>
      </c>
      <c r="CF18" s="74"/>
      <c r="CG18" s="73" t="s">
        <v>84</v>
      </c>
      <c r="CH18" s="74"/>
      <c r="CI18" s="73" t="s">
        <v>73</v>
      </c>
      <c r="CJ18" s="74"/>
      <c r="CK18" s="73" t="s">
        <v>73</v>
      </c>
      <c r="CL18" s="74"/>
      <c r="CM18" s="73" t="s">
        <v>73</v>
      </c>
      <c r="CN18" s="74"/>
      <c r="CO18" s="73" t="s">
        <v>73</v>
      </c>
      <c r="CP18" s="74"/>
      <c r="CQ18" s="73" t="s">
        <v>73</v>
      </c>
      <c r="CR18" s="73" t="s">
        <v>1579</v>
      </c>
      <c r="CS18" s="74" t="s">
        <v>1287</v>
      </c>
      <c r="CT18" s="74" t="s">
        <v>1420</v>
      </c>
      <c r="CU18" s="79">
        <f t="shared" si="1"/>
        <v>18</v>
      </c>
      <c r="CV18" s="77">
        <f>IFERROR(__xludf.DUMMYFUNCTION("IFERROR(QUERY(Presidente!$A$3:$AD112, ""SELECT AD WHERE A = '"" &amp; $B18 &amp; ""'""),"""")"),615.0)</f>
        <v>615</v>
      </c>
    </row>
    <row r="19">
      <c r="A19" s="72">
        <v>44375.55513822917</v>
      </c>
      <c r="B19" s="73" t="s">
        <v>203</v>
      </c>
      <c r="C19" s="73" t="s">
        <v>1580</v>
      </c>
      <c r="D19" s="73">
        <v>114.0</v>
      </c>
      <c r="E19" s="73" t="s">
        <v>1356</v>
      </c>
      <c r="F19" s="73" t="s">
        <v>1581</v>
      </c>
      <c r="G19" s="73" t="s">
        <v>1582</v>
      </c>
      <c r="H19" s="74" t="s">
        <v>1255</v>
      </c>
      <c r="I19" s="73" t="s">
        <v>1583</v>
      </c>
      <c r="J19" s="74" t="s">
        <v>1584</v>
      </c>
      <c r="K19" s="74"/>
      <c r="L19" s="73" t="s">
        <v>1585</v>
      </c>
      <c r="M19" s="74"/>
      <c r="N19" s="73" t="s">
        <v>1462</v>
      </c>
      <c r="O19" s="75">
        <v>4.58472690175E11</v>
      </c>
      <c r="P19" s="73">
        <v>329.0</v>
      </c>
      <c r="Q19" s="80" t="s">
        <v>1586</v>
      </c>
      <c r="R19" s="73" t="s">
        <v>1587</v>
      </c>
      <c r="S19" s="73" t="s">
        <v>1294</v>
      </c>
      <c r="T19" s="73" t="s">
        <v>1588</v>
      </c>
      <c r="U19" s="73" t="s">
        <v>1589</v>
      </c>
      <c r="V19" s="73" t="s">
        <v>1590</v>
      </c>
      <c r="W19" s="74"/>
      <c r="X19" s="73" t="s">
        <v>1591</v>
      </c>
      <c r="Y19" s="73" t="s">
        <v>1592</v>
      </c>
      <c r="Z19" s="74"/>
      <c r="AA19" s="74" t="s">
        <v>1284</v>
      </c>
      <c r="AB19" s="73" t="s">
        <v>73</v>
      </c>
      <c r="AC19" s="73" t="s">
        <v>73</v>
      </c>
      <c r="AD19" s="73" t="s">
        <v>1268</v>
      </c>
      <c r="AE19" s="73" t="s">
        <v>1268</v>
      </c>
      <c r="AF19" s="74" t="s">
        <v>1593</v>
      </c>
      <c r="AG19" s="73" t="s">
        <v>73</v>
      </c>
      <c r="AH19" s="74"/>
      <c r="AI19" s="73" t="s">
        <v>73</v>
      </c>
      <c r="AJ19" s="74"/>
      <c r="AK19" s="73" t="s">
        <v>1269</v>
      </c>
      <c r="AL19" s="73" t="s">
        <v>1270</v>
      </c>
      <c r="AM19" s="74"/>
      <c r="AN19" s="74" t="s">
        <v>1271</v>
      </c>
      <c r="AO19" s="74" t="s">
        <v>207</v>
      </c>
      <c r="AP19" s="74">
        <v>52.0</v>
      </c>
      <c r="AQ19" s="74"/>
      <c r="AR19" s="74" t="s">
        <v>35</v>
      </c>
      <c r="AS19" s="74" t="s">
        <v>1445</v>
      </c>
      <c r="AT19" s="74" t="s">
        <v>1594</v>
      </c>
      <c r="AU19" s="74">
        <v>46.0</v>
      </c>
      <c r="AV19" s="74"/>
      <c r="AW19" s="74" t="s">
        <v>35</v>
      </c>
      <c r="AX19" s="74" t="s">
        <v>1348</v>
      </c>
      <c r="AY19" s="74" t="s">
        <v>1595</v>
      </c>
      <c r="AZ19" s="74">
        <v>10.0</v>
      </c>
      <c r="BA19" s="74" t="s">
        <v>35</v>
      </c>
      <c r="BB19" s="74"/>
      <c r="BC19" s="74"/>
      <c r="BD19" s="74"/>
      <c r="BE19" s="74"/>
      <c r="BF19" s="74"/>
      <c r="BG19" s="74"/>
      <c r="BH19" s="74"/>
      <c r="BI19" s="74"/>
      <c r="BJ19" s="74"/>
      <c r="BK19" s="74"/>
      <c r="BL19" s="74"/>
      <c r="BM19" s="74" t="s">
        <v>1340</v>
      </c>
      <c r="BN19" s="74" t="s">
        <v>1596</v>
      </c>
      <c r="BO19" s="74">
        <v>1800.0</v>
      </c>
      <c r="BP19" s="74" t="s">
        <v>1339</v>
      </c>
      <c r="BQ19" s="74" t="s">
        <v>1597</v>
      </c>
      <c r="BR19" s="74">
        <v>1540.0</v>
      </c>
      <c r="BS19" s="74"/>
      <c r="BT19" s="74"/>
      <c r="BV19" s="74"/>
      <c r="BW19" s="74"/>
      <c r="BZ19" s="74"/>
      <c r="CA19" s="74" t="s">
        <v>73</v>
      </c>
      <c r="CB19" s="74"/>
      <c r="CC19" s="73" t="s">
        <v>1351</v>
      </c>
      <c r="CD19" s="74"/>
      <c r="CE19" s="73" t="s">
        <v>37</v>
      </c>
      <c r="CF19" s="74"/>
      <c r="CG19" s="73" t="s">
        <v>37</v>
      </c>
      <c r="CH19" s="74"/>
      <c r="CI19" s="73" t="s">
        <v>35</v>
      </c>
      <c r="CJ19" s="74"/>
      <c r="CK19" s="73" t="s">
        <v>73</v>
      </c>
      <c r="CL19" s="74"/>
      <c r="CM19" s="73" t="s">
        <v>35</v>
      </c>
      <c r="CN19" s="74"/>
      <c r="CO19" s="73" t="s">
        <v>73</v>
      </c>
      <c r="CP19" s="74"/>
      <c r="CQ19" s="73" t="s">
        <v>35</v>
      </c>
      <c r="CR19" s="73" t="s">
        <v>1598</v>
      </c>
      <c r="CS19" s="74" t="s">
        <v>1434</v>
      </c>
      <c r="CT19" s="74" t="s">
        <v>1435</v>
      </c>
      <c r="CU19" s="76">
        <f t="shared" si="1"/>
        <v>19</v>
      </c>
      <c r="CV19" s="77">
        <f>IFERROR(__xludf.DUMMYFUNCTION("IFERROR(QUERY(Presidente!$A$3:$AD112, ""SELECT AD WHERE A = '"" &amp; $B19 &amp; ""'""),"""")"),616.0)</f>
        <v>616</v>
      </c>
    </row>
    <row r="20">
      <c r="A20" s="72">
        <v>44375.39775671296</v>
      </c>
      <c r="B20" s="73" t="s">
        <v>214</v>
      </c>
      <c r="C20" s="73" t="s">
        <v>1599</v>
      </c>
      <c r="D20" s="73">
        <v>407.0</v>
      </c>
      <c r="E20" s="73" t="s">
        <v>1600</v>
      </c>
      <c r="F20" s="73" t="s">
        <v>1601</v>
      </c>
      <c r="G20" s="74"/>
      <c r="H20" s="74" t="s">
        <v>1255</v>
      </c>
      <c r="I20" s="73" t="s">
        <v>1602</v>
      </c>
      <c r="J20" s="74"/>
      <c r="K20" s="73" t="s">
        <v>221</v>
      </c>
      <c r="L20" s="74"/>
      <c r="M20" s="74"/>
      <c r="N20" s="73" t="s">
        <v>1603</v>
      </c>
      <c r="O20" s="75"/>
      <c r="P20" s="74"/>
      <c r="R20" s="73" t="s">
        <v>1261</v>
      </c>
      <c r="S20" s="73" t="s">
        <v>1294</v>
      </c>
      <c r="T20" s="73" t="s">
        <v>1604</v>
      </c>
      <c r="U20" s="74"/>
      <c r="V20" s="74"/>
      <c r="W20" s="74"/>
      <c r="X20" s="73" t="s">
        <v>1605</v>
      </c>
      <c r="Y20" s="74"/>
      <c r="Z20" s="74"/>
      <c r="AA20" s="73" t="s">
        <v>73</v>
      </c>
      <c r="AB20" s="73" t="s">
        <v>73</v>
      </c>
      <c r="AC20" s="73" t="s">
        <v>73</v>
      </c>
      <c r="AD20" s="73" t="s">
        <v>1268</v>
      </c>
      <c r="AE20" s="73" t="s">
        <v>1268</v>
      </c>
      <c r="AF20" s="74" t="s">
        <v>1606</v>
      </c>
      <c r="AG20" s="73" t="s">
        <v>73</v>
      </c>
      <c r="AH20" s="74"/>
      <c r="AI20" s="73" t="s">
        <v>73</v>
      </c>
      <c r="AJ20" s="74"/>
      <c r="AK20" s="73" t="s">
        <v>1314</v>
      </c>
      <c r="AL20" s="73" t="s">
        <v>1607</v>
      </c>
      <c r="AM20" s="74"/>
      <c r="AN20" s="74" t="s">
        <v>1608</v>
      </c>
      <c r="AO20" s="74" t="s">
        <v>1609</v>
      </c>
      <c r="AP20" s="74">
        <v>44.0</v>
      </c>
      <c r="AQ20" s="74"/>
      <c r="AR20" s="74" t="s">
        <v>35</v>
      </c>
      <c r="AS20" s="74" t="s">
        <v>1445</v>
      </c>
      <c r="AT20" s="74" t="s">
        <v>218</v>
      </c>
      <c r="AU20" s="74">
        <v>39.0</v>
      </c>
      <c r="AV20" s="74"/>
      <c r="AW20" s="74"/>
      <c r="AX20" s="74" t="s">
        <v>1348</v>
      </c>
      <c r="AY20" s="74" t="s">
        <v>1610</v>
      </c>
      <c r="AZ20" s="74">
        <v>17.0</v>
      </c>
      <c r="BA20" s="74" t="s">
        <v>35</v>
      </c>
      <c r="BB20" s="74"/>
      <c r="BC20" s="74" t="s">
        <v>1348</v>
      </c>
      <c r="BD20" s="74" t="s">
        <v>1611</v>
      </c>
      <c r="BE20" s="74">
        <v>16.0</v>
      </c>
      <c r="BF20" s="74" t="s">
        <v>35</v>
      </c>
      <c r="BG20" s="74"/>
      <c r="BH20" s="74" t="s">
        <v>1348</v>
      </c>
      <c r="BI20" s="74" t="s">
        <v>1612</v>
      </c>
      <c r="BJ20" s="74">
        <v>10.0</v>
      </c>
      <c r="BK20" s="74" t="s">
        <v>35</v>
      </c>
      <c r="BL20" s="74"/>
      <c r="BM20" s="74" t="s">
        <v>1608</v>
      </c>
      <c r="BN20" s="74" t="s">
        <v>1613</v>
      </c>
      <c r="BO20" s="74">
        <v>2000.0</v>
      </c>
      <c r="BP20" s="74"/>
      <c r="BQ20" s="74"/>
      <c r="BR20" s="74"/>
      <c r="BS20" s="74"/>
      <c r="BT20" s="74"/>
      <c r="BU20" s="74"/>
      <c r="BV20" s="74"/>
      <c r="BW20" s="74"/>
      <c r="BX20" s="74"/>
      <c r="BZ20" s="74"/>
      <c r="CA20" s="74"/>
      <c r="CB20" s="74"/>
      <c r="CC20" s="73" t="s">
        <v>73</v>
      </c>
      <c r="CD20" s="74"/>
      <c r="CE20" s="73" t="s">
        <v>37</v>
      </c>
      <c r="CF20" s="74"/>
      <c r="CG20" s="73" t="s">
        <v>37</v>
      </c>
      <c r="CH20" s="74"/>
      <c r="CI20" s="73" t="s">
        <v>73</v>
      </c>
      <c r="CJ20" s="74"/>
      <c r="CK20" s="73" t="s">
        <v>73</v>
      </c>
      <c r="CL20" s="74"/>
      <c r="CM20" s="73" t="s">
        <v>35</v>
      </c>
      <c r="CN20" s="74" t="s">
        <v>1614</v>
      </c>
      <c r="CO20" s="73" t="s">
        <v>35</v>
      </c>
      <c r="CP20" s="74" t="s">
        <v>1615</v>
      </c>
      <c r="CQ20" s="73" t="s">
        <v>35</v>
      </c>
      <c r="CR20" s="73" t="s">
        <v>1616</v>
      </c>
      <c r="CS20" s="74" t="s">
        <v>1353</v>
      </c>
      <c r="CT20" s="74" t="s">
        <v>1454</v>
      </c>
      <c r="CU20" s="79">
        <f t="shared" si="1"/>
        <v>20</v>
      </c>
      <c r="CV20" s="77">
        <f>IFERROR(__xludf.DUMMYFUNCTION("IFERROR(QUERY(Presidente!$A$3:$AD112, ""SELECT AD WHERE A = '"" &amp; $B20 &amp; ""'""),"""")"),617.0)</f>
        <v>617</v>
      </c>
    </row>
    <row r="21">
      <c r="A21" s="72">
        <v>44375.43595555556</v>
      </c>
      <c r="B21" s="73" t="s">
        <v>224</v>
      </c>
      <c r="C21" s="73" t="s">
        <v>1617</v>
      </c>
      <c r="D21" s="73">
        <v>138.0</v>
      </c>
      <c r="E21" s="74" t="s">
        <v>1618</v>
      </c>
      <c r="F21" s="73" t="s">
        <v>1619</v>
      </c>
      <c r="G21" s="73" t="s">
        <v>1620</v>
      </c>
      <c r="H21" s="74" t="s">
        <v>1255</v>
      </c>
      <c r="I21" s="73" t="s">
        <v>1621</v>
      </c>
      <c r="J21" s="74"/>
      <c r="K21" s="74"/>
      <c r="L21" s="74"/>
      <c r="M21" s="74"/>
      <c r="N21" s="73" t="s">
        <v>1260</v>
      </c>
      <c r="O21" s="75"/>
      <c r="P21" s="74"/>
      <c r="Q21" s="74"/>
      <c r="R21" s="73" t="s">
        <v>1587</v>
      </c>
      <c r="S21" s="73" t="s">
        <v>1262</v>
      </c>
      <c r="T21" s="74"/>
      <c r="U21" s="74"/>
      <c r="V21" s="74"/>
      <c r="W21" s="73" t="s">
        <v>1622</v>
      </c>
      <c r="X21" s="74"/>
      <c r="Y21" s="73" t="s">
        <v>73</v>
      </c>
      <c r="Z21" s="73" t="s">
        <v>73</v>
      </c>
      <c r="AA21" s="73" t="s">
        <v>73</v>
      </c>
      <c r="AB21" s="73" t="s">
        <v>73</v>
      </c>
      <c r="AC21" s="73" t="s">
        <v>73</v>
      </c>
      <c r="AD21" s="73" t="s">
        <v>1268</v>
      </c>
      <c r="AE21" s="73" t="s">
        <v>1268</v>
      </c>
      <c r="AF21" s="74"/>
      <c r="AG21" s="73" t="s">
        <v>73</v>
      </c>
      <c r="AH21" s="74"/>
      <c r="AI21" s="73" t="s">
        <v>73</v>
      </c>
      <c r="AJ21" s="74"/>
      <c r="AK21" s="73" t="s">
        <v>1314</v>
      </c>
      <c r="AL21" s="73" t="s">
        <v>1623</v>
      </c>
      <c r="AM21" s="74"/>
      <c r="AN21" s="74" t="s">
        <v>1340</v>
      </c>
      <c r="AO21" s="74" t="s">
        <v>227</v>
      </c>
      <c r="AP21" s="74">
        <v>56.0</v>
      </c>
      <c r="AQ21" s="74"/>
      <c r="AR21" s="74" t="s">
        <v>35</v>
      </c>
      <c r="AS21" s="74" t="s">
        <v>1445</v>
      </c>
      <c r="AT21" s="74" t="s">
        <v>1624</v>
      </c>
      <c r="AU21" s="74">
        <v>51.0</v>
      </c>
      <c r="AV21" s="74"/>
      <c r="AW21" s="74"/>
      <c r="AX21" s="74" t="s">
        <v>1348</v>
      </c>
      <c r="AY21" s="74" t="s">
        <v>1625</v>
      </c>
      <c r="AZ21" s="74">
        <v>17.0</v>
      </c>
      <c r="BA21" s="74" t="s">
        <v>35</v>
      </c>
      <c r="BB21" s="74"/>
      <c r="BC21" s="74" t="s">
        <v>1626</v>
      </c>
      <c r="BD21" s="74" t="s">
        <v>1627</v>
      </c>
      <c r="BE21" s="74">
        <v>80.0</v>
      </c>
      <c r="BF21" s="74"/>
      <c r="BG21" s="74"/>
      <c r="BH21" s="74" t="s">
        <v>1371</v>
      </c>
      <c r="BI21" s="74" t="s">
        <v>1628</v>
      </c>
      <c r="BJ21" s="74">
        <v>80.0</v>
      </c>
      <c r="BK21" s="74"/>
      <c r="BL21" s="74"/>
      <c r="BM21" s="74" t="s">
        <v>1340</v>
      </c>
      <c r="BN21" s="74" t="s">
        <v>1629</v>
      </c>
      <c r="BO21" s="74">
        <v>4000.0</v>
      </c>
      <c r="BP21" s="74"/>
      <c r="BQ21" s="74"/>
      <c r="BR21" s="74"/>
      <c r="BS21" s="74"/>
      <c r="BT21" s="74"/>
      <c r="BU21" s="74"/>
      <c r="BV21" s="74"/>
      <c r="BW21" s="74"/>
      <c r="BX21" s="74"/>
      <c r="BZ21" s="74"/>
      <c r="CA21" s="74" t="s">
        <v>73</v>
      </c>
      <c r="CB21" s="74"/>
      <c r="CC21" s="73" t="s">
        <v>73</v>
      </c>
      <c r="CD21" s="74"/>
      <c r="CE21" s="73" t="s">
        <v>37</v>
      </c>
      <c r="CF21" s="74"/>
      <c r="CG21" s="73" t="s">
        <v>84</v>
      </c>
      <c r="CH21" s="74"/>
      <c r="CI21" s="73" t="s">
        <v>35</v>
      </c>
      <c r="CJ21" s="74" t="s">
        <v>1630</v>
      </c>
      <c r="CK21" s="73" t="s">
        <v>73</v>
      </c>
      <c r="CL21" s="74"/>
      <c r="CM21" s="73" t="s">
        <v>73</v>
      </c>
      <c r="CN21" s="74"/>
      <c r="CO21" s="73" t="s">
        <v>73</v>
      </c>
      <c r="CP21" s="74"/>
      <c r="CQ21" s="73" t="s">
        <v>73</v>
      </c>
      <c r="CR21" s="73" t="s">
        <v>1631</v>
      </c>
      <c r="CS21" s="74" t="s">
        <v>1287</v>
      </c>
      <c r="CT21" s="74" t="s">
        <v>1454</v>
      </c>
      <c r="CU21" s="79">
        <f t="shared" si="1"/>
        <v>21</v>
      </c>
      <c r="CV21" s="77">
        <f>IFERROR(__xludf.DUMMYFUNCTION("IFERROR(QUERY(Presidente!$A$3:$AD112, ""SELECT AD WHERE A = '"" &amp; $B21 &amp; ""'""),"""")"),618.0)</f>
        <v>618</v>
      </c>
    </row>
    <row r="22">
      <c r="A22" s="72">
        <v>44375.320068807865</v>
      </c>
      <c r="B22" s="73" t="s">
        <v>234</v>
      </c>
      <c r="C22" s="73" t="s">
        <v>1632</v>
      </c>
      <c r="D22" s="73">
        <v>74.0</v>
      </c>
      <c r="E22" s="73" t="s">
        <v>1633</v>
      </c>
      <c r="F22" s="73" t="s">
        <v>1634</v>
      </c>
      <c r="G22" s="73" t="s">
        <v>1635</v>
      </c>
      <c r="H22" s="74" t="s">
        <v>1255</v>
      </c>
      <c r="I22" s="73" t="s">
        <v>1636</v>
      </c>
      <c r="J22" s="74"/>
      <c r="K22" s="73" t="s">
        <v>1637</v>
      </c>
      <c r="L22" s="73" t="s">
        <v>1638</v>
      </c>
      <c r="M22" s="74"/>
      <c r="N22" s="73" t="s">
        <v>1260</v>
      </c>
      <c r="O22" s="75"/>
      <c r="P22" s="74"/>
      <c r="Q22" s="74"/>
      <c r="R22" s="73" t="s">
        <v>1261</v>
      </c>
      <c r="S22" s="73" t="s">
        <v>1294</v>
      </c>
      <c r="T22" s="74"/>
      <c r="U22" s="74"/>
      <c r="V22" s="74"/>
      <c r="W22" s="74"/>
      <c r="X22" s="74"/>
      <c r="Y22" s="74"/>
      <c r="Z22" s="73" t="s">
        <v>1639</v>
      </c>
      <c r="AA22" s="74" t="s">
        <v>73</v>
      </c>
      <c r="AB22" s="73" t="s">
        <v>73</v>
      </c>
      <c r="AC22" s="73" t="s">
        <v>73</v>
      </c>
      <c r="AD22" s="73" t="s">
        <v>1268</v>
      </c>
      <c r="AE22" s="73" t="s">
        <v>1268</v>
      </c>
      <c r="AF22" s="74" t="s">
        <v>1640</v>
      </c>
      <c r="AG22" s="73" t="s">
        <v>73</v>
      </c>
      <c r="AH22" s="74"/>
      <c r="AI22" s="73" t="s">
        <v>73</v>
      </c>
      <c r="AJ22" s="74"/>
      <c r="AK22" s="73" t="s">
        <v>1314</v>
      </c>
      <c r="AL22" s="73" t="s">
        <v>1270</v>
      </c>
      <c r="AM22" s="74"/>
      <c r="AN22" s="74" t="s">
        <v>1278</v>
      </c>
      <c r="AO22" s="74" t="s">
        <v>1641</v>
      </c>
      <c r="AP22" s="74">
        <v>42.0</v>
      </c>
      <c r="AQ22" s="74"/>
      <c r="AR22" s="74" t="s">
        <v>35</v>
      </c>
      <c r="AS22" s="74" t="s">
        <v>1315</v>
      </c>
      <c r="AT22" s="74" t="s">
        <v>1642</v>
      </c>
      <c r="AU22" s="74">
        <v>40.0</v>
      </c>
      <c r="AV22" s="74"/>
      <c r="AW22" s="74" t="s">
        <v>35</v>
      </c>
      <c r="AX22" s="74" t="s">
        <v>1392</v>
      </c>
      <c r="AY22" s="74" t="s">
        <v>1643</v>
      </c>
      <c r="AZ22" s="74">
        <v>22.0</v>
      </c>
      <c r="BA22" s="74"/>
      <c r="BB22" s="74" t="s">
        <v>35</v>
      </c>
      <c r="BC22" s="74" t="s">
        <v>1392</v>
      </c>
      <c r="BD22" s="74" t="s">
        <v>1644</v>
      </c>
      <c r="BE22" s="74">
        <v>13.0</v>
      </c>
      <c r="BF22" s="74" t="s">
        <v>35</v>
      </c>
      <c r="BG22" s="74"/>
      <c r="BH22" s="74"/>
      <c r="BI22" s="74"/>
      <c r="BJ22" s="74"/>
      <c r="BK22" s="74"/>
      <c r="BL22" s="74"/>
      <c r="BM22" s="74" t="s">
        <v>1278</v>
      </c>
      <c r="BN22" s="74" t="s">
        <v>1645</v>
      </c>
      <c r="BO22" s="74">
        <v>2200.0</v>
      </c>
      <c r="BP22" s="74" t="s">
        <v>1315</v>
      </c>
      <c r="BQ22" s="74" t="s">
        <v>1646</v>
      </c>
      <c r="BR22" s="74">
        <v>2500.0</v>
      </c>
      <c r="BS22" s="74" t="s">
        <v>1392</v>
      </c>
      <c r="BT22" s="74" t="s">
        <v>1647</v>
      </c>
      <c r="BU22" s="74">
        <v>1300.0</v>
      </c>
      <c r="BV22" s="74"/>
      <c r="BW22" s="74"/>
      <c r="BX22" s="74"/>
      <c r="BZ22" s="74"/>
      <c r="CA22" s="74"/>
      <c r="CB22" s="74"/>
      <c r="CC22" s="73" t="s">
        <v>73</v>
      </c>
      <c r="CD22" s="74"/>
      <c r="CE22" s="73" t="s">
        <v>1416</v>
      </c>
      <c r="CF22" s="74"/>
      <c r="CG22" s="73" t="s">
        <v>84</v>
      </c>
      <c r="CH22" s="74"/>
      <c r="CI22" s="73" t="s">
        <v>35</v>
      </c>
      <c r="CJ22" s="74" t="s">
        <v>1648</v>
      </c>
      <c r="CK22" s="73" t="s">
        <v>73</v>
      </c>
      <c r="CL22" s="74"/>
      <c r="CM22" s="73" t="s">
        <v>35</v>
      </c>
      <c r="CN22" s="74" t="s">
        <v>1649</v>
      </c>
      <c r="CO22" s="73" t="s">
        <v>73</v>
      </c>
      <c r="CP22" s="74"/>
      <c r="CQ22" s="73" t="s">
        <v>35</v>
      </c>
      <c r="CR22" s="73" t="s">
        <v>1650</v>
      </c>
      <c r="CS22" s="74" t="s">
        <v>1497</v>
      </c>
      <c r="CT22" s="74" t="s">
        <v>1475</v>
      </c>
      <c r="CU22" s="79">
        <f t="shared" si="1"/>
        <v>22</v>
      </c>
      <c r="CV22" s="77">
        <f>IFERROR(__xludf.DUMMYFUNCTION("IFERROR(QUERY(Presidente!$A$3:$AD112, ""SELECT AD WHERE A = '"" &amp; $B22 &amp; ""'""),"""")"),619.0)</f>
        <v>619</v>
      </c>
    </row>
    <row r="23">
      <c r="A23" s="72">
        <v>44375.367770798606</v>
      </c>
      <c r="B23" s="73" t="s">
        <v>244</v>
      </c>
      <c r="C23" s="73" t="s">
        <v>1651</v>
      </c>
      <c r="D23" s="73">
        <v>33.0</v>
      </c>
      <c r="E23" s="73" t="s">
        <v>1478</v>
      </c>
      <c r="F23" s="73" t="s">
        <v>1652</v>
      </c>
      <c r="G23" s="74" t="s">
        <v>1653</v>
      </c>
      <c r="H23" s="74" t="s">
        <v>1255</v>
      </c>
      <c r="I23" s="73" t="s">
        <v>1654</v>
      </c>
      <c r="J23" s="74" t="s">
        <v>1655</v>
      </c>
      <c r="K23" s="73" t="s">
        <v>1656</v>
      </c>
      <c r="L23" s="73" t="s">
        <v>1657</v>
      </c>
      <c r="M23" s="74"/>
      <c r="N23" s="73" t="s">
        <v>1260</v>
      </c>
      <c r="O23" s="75">
        <v>4.62104660141E11</v>
      </c>
      <c r="P23" s="74"/>
      <c r="R23" s="73" t="s">
        <v>1261</v>
      </c>
      <c r="S23" s="73" t="s">
        <v>1294</v>
      </c>
      <c r="T23" s="73" t="s">
        <v>1490</v>
      </c>
      <c r="U23" s="73" t="s">
        <v>1658</v>
      </c>
      <c r="V23" s="73" t="s">
        <v>1659</v>
      </c>
      <c r="W23" s="73" t="s">
        <v>1622</v>
      </c>
      <c r="X23" s="74"/>
      <c r="Y23" s="74"/>
      <c r="Z23" s="74"/>
      <c r="AA23" s="74" t="s">
        <v>73</v>
      </c>
      <c r="AB23" s="73" t="s">
        <v>1267</v>
      </c>
      <c r="AC23" s="73" t="s">
        <v>73</v>
      </c>
      <c r="AD23" s="73" t="s">
        <v>1268</v>
      </c>
      <c r="AE23" s="73" t="s">
        <v>1268</v>
      </c>
      <c r="AF23" s="74" t="s">
        <v>1284</v>
      </c>
      <c r="AG23" s="73" t="s">
        <v>73</v>
      </c>
      <c r="AH23" s="74"/>
      <c r="AI23" s="73" t="s">
        <v>73</v>
      </c>
      <c r="AJ23" s="74"/>
      <c r="AK23" s="73" t="s">
        <v>1314</v>
      </c>
      <c r="AL23" s="73" t="s">
        <v>1491</v>
      </c>
      <c r="AM23" s="74"/>
      <c r="AN23" s="74" t="s">
        <v>1278</v>
      </c>
      <c r="AO23" s="74" t="s">
        <v>1660</v>
      </c>
      <c r="AP23" s="74">
        <v>44.0</v>
      </c>
      <c r="AQ23" s="74"/>
      <c r="AR23" s="74" t="s">
        <v>35</v>
      </c>
      <c r="AS23" s="74" t="s">
        <v>1273</v>
      </c>
      <c r="AT23" s="74" t="s">
        <v>1661</v>
      </c>
      <c r="AU23" s="74">
        <v>38.0</v>
      </c>
      <c r="AV23" s="74"/>
      <c r="AW23" s="74" t="s">
        <v>35</v>
      </c>
      <c r="AX23" s="74"/>
      <c r="AY23" s="74"/>
      <c r="AZ23" s="74"/>
      <c r="BA23" s="74"/>
      <c r="BB23" s="74"/>
      <c r="BC23" s="74"/>
      <c r="BD23" s="74"/>
      <c r="BE23" s="74"/>
      <c r="BF23" s="74"/>
      <c r="BG23" s="74"/>
      <c r="BH23" s="74"/>
      <c r="BI23" s="74"/>
      <c r="BJ23" s="74"/>
      <c r="BK23" s="74"/>
      <c r="BL23" s="74"/>
      <c r="BM23" s="74" t="s">
        <v>1539</v>
      </c>
      <c r="BN23" s="74" t="s">
        <v>1662</v>
      </c>
      <c r="BO23" s="74">
        <v>1400.0</v>
      </c>
      <c r="BP23" s="74" t="s">
        <v>1278</v>
      </c>
      <c r="BQ23" s="74" t="s">
        <v>1663</v>
      </c>
      <c r="BR23" s="74">
        <v>2200.0</v>
      </c>
      <c r="BS23" s="74" t="s">
        <v>1315</v>
      </c>
      <c r="BT23" s="74" t="s">
        <v>1664</v>
      </c>
      <c r="BU23" s="74">
        <v>1100.0</v>
      </c>
      <c r="BV23" s="74"/>
      <c r="BW23" s="74"/>
      <c r="BX23" s="74"/>
      <c r="BZ23" s="74">
        <v>500.0</v>
      </c>
      <c r="CA23" s="74" t="s">
        <v>1284</v>
      </c>
      <c r="CB23" s="74"/>
      <c r="CC23" s="73" t="s">
        <v>73</v>
      </c>
      <c r="CD23" s="74"/>
      <c r="CE23" s="73" t="s">
        <v>37</v>
      </c>
      <c r="CF23" s="74"/>
      <c r="CG23" s="73" t="s">
        <v>1416</v>
      </c>
      <c r="CH23" s="74"/>
      <c r="CI23" s="73" t="s">
        <v>73</v>
      </c>
      <c r="CJ23" s="74"/>
      <c r="CK23" s="73" t="s">
        <v>73</v>
      </c>
      <c r="CL23" s="74"/>
      <c r="CM23" s="73" t="s">
        <v>35</v>
      </c>
      <c r="CN23" s="74" t="s">
        <v>1665</v>
      </c>
      <c r="CO23" s="73" t="s">
        <v>73</v>
      </c>
      <c r="CP23" s="74"/>
      <c r="CQ23" s="73" t="s">
        <v>73</v>
      </c>
      <c r="CR23" s="73" t="s">
        <v>1666</v>
      </c>
      <c r="CS23" s="74" t="s">
        <v>1353</v>
      </c>
      <c r="CT23" s="74" t="s">
        <v>1498</v>
      </c>
      <c r="CU23" s="79">
        <f t="shared" si="1"/>
        <v>23</v>
      </c>
      <c r="CV23" s="77">
        <f>IFERROR(__xludf.DUMMYFUNCTION("IFERROR(QUERY(Presidente!$A$3:$AD112, ""SELECT AD WHERE A = '"" &amp; $B23 &amp; ""'""),"""")"),620.0)</f>
        <v>620</v>
      </c>
    </row>
    <row r="24">
      <c r="A24" s="72">
        <v>44375.5881775</v>
      </c>
      <c r="B24" s="73" t="s">
        <v>254</v>
      </c>
      <c r="C24" s="73" t="s">
        <v>1667</v>
      </c>
      <c r="D24" s="73">
        <v>1308.0</v>
      </c>
      <c r="E24" s="73" t="s">
        <v>1668</v>
      </c>
      <c r="F24" s="73" t="s">
        <v>1669</v>
      </c>
      <c r="G24" s="73" t="s">
        <v>1670</v>
      </c>
      <c r="H24" s="74" t="s">
        <v>1255</v>
      </c>
      <c r="I24" s="73" t="s">
        <v>1671</v>
      </c>
      <c r="J24" s="74" t="s">
        <v>1672</v>
      </c>
      <c r="K24" s="73" t="s">
        <v>1673</v>
      </c>
      <c r="L24" s="73" t="s">
        <v>1674</v>
      </c>
      <c r="M24" s="74"/>
      <c r="N24" s="73" t="s">
        <v>1260</v>
      </c>
      <c r="O24" s="75"/>
      <c r="P24" s="74"/>
      <c r="R24" s="73" t="s">
        <v>1351</v>
      </c>
      <c r="S24" s="73" t="s">
        <v>1675</v>
      </c>
      <c r="T24" s="73" t="s">
        <v>1351</v>
      </c>
      <c r="U24" s="73"/>
      <c r="V24" s="74"/>
      <c r="W24" s="73"/>
      <c r="X24" s="73"/>
      <c r="Y24" s="74"/>
      <c r="Z24" s="73"/>
      <c r="AA24" s="74" t="s">
        <v>1351</v>
      </c>
      <c r="AB24" s="73" t="s">
        <v>73</v>
      </c>
      <c r="AC24" s="73" t="s">
        <v>73</v>
      </c>
      <c r="AD24" s="73" t="s">
        <v>1676</v>
      </c>
      <c r="AE24" s="73" t="s">
        <v>1268</v>
      </c>
      <c r="AF24" s="74" t="s">
        <v>1677</v>
      </c>
      <c r="AG24" s="73" t="s">
        <v>73</v>
      </c>
      <c r="AH24" s="74"/>
      <c r="AI24" s="73" t="s">
        <v>73</v>
      </c>
      <c r="AJ24" s="74"/>
      <c r="AK24" s="73" t="s">
        <v>1678</v>
      </c>
      <c r="AL24" s="73" t="s">
        <v>1679</v>
      </c>
      <c r="AM24" s="74" t="s">
        <v>1680</v>
      </c>
      <c r="AN24" s="74" t="s">
        <v>1430</v>
      </c>
      <c r="AO24" s="74" t="s">
        <v>1681</v>
      </c>
      <c r="AP24" s="74">
        <v>17.0</v>
      </c>
      <c r="AQ24" s="74"/>
      <c r="AR24" s="74" t="s">
        <v>35</v>
      </c>
      <c r="AS24" s="74"/>
      <c r="AT24" s="74"/>
      <c r="AU24" s="74"/>
      <c r="AV24" s="74"/>
      <c r="AW24" s="74" t="s">
        <v>73</v>
      </c>
      <c r="AX24" s="74"/>
      <c r="AY24" s="74"/>
      <c r="AZ24" s="74"/>
      <c r="BA24" s="74" t="s">
        <v>73</v>
      </c>
      <c r="BB24" s="74" t="s">
        <v>73</v>
      </c>
      <c r="BC24" s="74"/>
      <c r="BD24" s="74"/>
      <c r="BE24" s="74"/>
      <c r="BF24" s="74"/>
      <c r="BG24" s="74"/>
      <c r="BH24" s="74"/>
      <c r="BI24" s="74"/>
      <c r="BJ24" s="74"/>
      <c r="BK24" s="74"/>
      <c r="BL24" s="74"/>
      <c r="BM24" s="74" t="s">
        <v>1430</v>
      </c>
      <c r="BN24" s="74" t="s">
        <v>1682</v>
      </c>
      <c r="BO24" s="74">
        <v>1000.0</v>
      </c>
      <c r="BP24" s="74" t="s">
        <v>1683</v>
      </c>
      <c r="BQ24" s="74" t="s">
        <v>1684</v>
      </c>
      <c r="BR24" s="74">
        <v>500.0</v>
      </c>
      <c r="BS24" s="74"/>
      <c r="BT24" s="74"/>
      <c r="BU24" s="74"/>
      <c r="BV24" s="74"/>
      <c r="BW24" s="74"/>
      <c r="BX24" s="74"/>
      <c r="BZ24" s="74">
        <v>500.0</v>
      </c>
      <c r="CA24" s="74" t="s">
        <v>1284</v>
      </c>
      <c r="CB24" s="74"/>
      <c r="CC24" s="73" t="s">
        <v>35</v>
      </c>
      <c r="CD24" s="74" t="s">
        <v>1685</v>
      </c>
      <c r="CE24" s="73" t="s">
        <v>1686</v>
      </c>
      <c r="CF24" s="74"/>
      <c r="CG24" s="73" t="s">
        <v>1687</v>
      </c>
      <c r="CH24" s="74"/>
      <c r="CI24" s="73" t="s">
        <v>73</v>
      </c>
      <c r="CJ24" s="74"/>
      <c r="CK24" s="73" t="s">
        <v>73</v>
      </c>
      <c r="CL24" s="74"/>
      <c r="CM24" s="73" t="s">
        <v>1284</v>
      </c>
      <c r="CN24" s="74"/>
      <c r="CO24" s="73" t="s">
        <v>73</v>
      </c>
      <c r="CP24" s="74"/>
      <c r="CQ24" s="73" t="s">
        <v>35</v>
      </c>
      <c r="CR24" s="73" t="s">
        <v>1688</v>
      </c>
      <c r="CS24" s="74" t="s">
        <v>1419</v>
      </c>
      <c r="CT24" s="74" t="s">
        <v>1542</v>
      </c>
      <c r="CU24" s="76">
        <f t="shared" si="1"/>
        <v>24</v>
      </c>
      <c r="CV24" s="77">
        <f>IFERROR(__xludf.DUMMYFUNCTION("IFERROR(QUERY(Presidente!$A$3:$AD112, ""SELECT AD WHERE A = '"" &amp; $B24 &amp; ""'""),"""")"),621.0)</f>
        <v>621</v>
      </c>
    </row>
    <row r="25">
      <c r="A25" s="72">
        <v>44375.57438185185</v>
      </c>
      <c r="B25" s="73" t="s">
        <v>264</v>
      </c>
      <c r="C25" s="73" t="s">
        <v>1689</v>
      </c>
      <c r="D25" s="73">
        <v>3.0</v>
      </c>
      <c r="E25" s="73" t="s">
        <v>1690</v>
      </c>
      <c r="F25" s="73" t="s">
        <v>1691</v>
      </c>
      <c r="G25" s="73" t="s">
        <v>1692</v>
      </c>
      <c r="H25" s="74" t="s">
        <v>1329</v>
      </c>
      <c r="I25" s="73" t="s">
        <v>1693</v>
      </c>
      <c r="J25" s="74"/>
      <c r="K25" s="73" t="s">
        <v>1694</v>
      </c>
      <c r="L25" s="73" t="s">
        <v>1695</v>
      </c>
      <c r="M25" s="74"/>
      <c r="N25" s="73" t="s">
        <v>1260</v>
      </c>
      <c r="O25" s="75">
        <v>4.45044000141E11</v>
      </c>
      <c r="P25" s="73">
        <v>248.0</v>
      </c>
      <c r="Q25" s="73" t="s">
        <v>1696</v>
      </c>
      <c r="R25" s="73" t="s">
        <v>1261</v>
      </c>
      <c r="S25" s="73" t="s">
        <v>1294</v>
      </c>
      <c r="T25" s="73" t="s">
        <v>1697</v>
      </c>
      <c r="U25" s="74"/>
      <c r="V25" s="74"/>
      <c r="W25" s="73" t="s">
        <v>1698</v>
      </c>
      <c r="X25" s="73" t="s">
        <v>1699</v>
      </c>
      <c r="Y25" s="74"/>
      <c r="Z25" s="74" t="s">
        <v>1700</v>
      </c>
      <c r="AA25" s="74" t="s">
        <v>73</v>
      </c>
      <c r="AB25" s="73" t="s">
        <v>73</v>
      </c>
      <c r="AC25" s="73" t="s">
        <v>73</v>
      </c>
      <c r="AD25" s="73" t="s">
        <v>1268</v>
      </c>
      <c r="AE25" s="73" t="s">
        <v>1268</v>
      </c>
      <c r="AF25" s="74" t="s">
        <v>1701</v>
      </c>
      <c r="AG25" s="73" t="s">
        <v>73</v>
      </c>
      <c r="AH25" s="74"/>
      <c r="AI25" s="73" t="s">
        <v>73</v>
      </c>
      <c r="AJ25" s="74"/>
      <c r="AK25" s="73" t="s">
        <v>1269</v>
      </c>
      <c r="AL25" s="73" t="s">
        <v>1270</v>
      </c>
      <c r="AM25" s="74"/>
      <c r="AN25" s="74" t="s">
        <v>1278</v>
      </c>
      <c r="AO25" s="74" t="s">
        <v>1702</v>
      </c>
      <c r="AP25" s="74">
        <v>47.0</v>
      </c>
      <c r="AQ25" s="74"/>
      <c r="AR25" s="74" t="s">
        <v>35</v>
      </c>
      <c r="AS25" s="74" t="s">
        <v>1315</v>
      </c>
      <c r="AT25" s="74" t="s">
        <v>1703</v>
      </c>
      <c r="AU25" s="74">
        <v>39.0</v>
      </c>
      <c r="AV25" s="74"/>
      <c r="AW25" s="74" t="s">
        <v>35</v>
      </c>
      <c r="AX25" s="74" t="s">
        <v>1392</v>
      </c>
      <c r="AY25" s="74" t="s">
        <v>1704</v>
      </c>
      <c r="AZ25" s="74">
        <v>15.0</v>
      </c>
      <c r="BA25" s="74" t="s">
        <v>35</v>
      </c>
      <c r="BB25" s="74"/>
      <c r="BC25" s="74" t="s">
        <v>1705</v>
      </c>
      <c r="BD25" s="74" t="s">
        <v>1706</v>
      </c>
      <c r="BE25" s="74">
        <v>17.0</v>
      </c>
      <c r="BF25" s="74" t="s">
        <v>35</v>
      </c>
      <c r="BG25" s="74" t="s">
        <v>35</v>
      </c>
      <c r="BH25" s="74"/>
      <c r="BI25" s="74"/>
      <c r="BJ25" s="74"/>
      <c r="BK25" s="74"/>
      <c r="BL25" s="74"/>
      <c r="BM25" s="74" t="s">
        <v>1278</v>
      </c>
      <c r="BN25" s="74" t="s">
        <v>1707</v>
      </c>
      <c r="BO25" s="74">
        <v>1500.0</v>
      </c>
      <c r="BP25" s="74" t="s">
        <v>1315</v>
      </c>
      <c r="BQ25" s="74" t="s">
        <v>1319</v>
      </c>
      <c r="BR25" s="74">
        <v>1000.0</v>
      </c>
      <c r="BS25" s="74" t="s">
        <v>1411</v>
      </c>
      <c r="BT25" s="74" t="s">
        <v>1708</v>
      </c>
      <c r="BU25" s="74">
        <v>600.0</v>
      </c>
      <c r="BV25" s="74"/>
      <c r="BW25" s="74"/>
      <c r="BX25" s="74"/>
      <c r="BZ25" s="74"/>
      <c r="CA25" s="74" t="s">
        <v>73</v>
      </c>
      <c r="CB25" s="74"/>
      <c r="CC25" s="73" t="s">
        <v>73</v>
      </c>
      <c r="CD25" s="74"/>
      <c r="CE25" s="73" t="s">
        <v>84</v>
      </c>
      <c r="CF25" s="74"/>
      <c r="CG25" s="73" t="s">
        <v>37</v>
      </c>
      <c r="CH25" s="74"/>
      <c r="CI25" s="73" t="s">
        <v>73</v>
      </c>
      <c r="CJ25" s="74"/>
      <c r="CK25" s="73" t="s">
        <v>73</v>
      </c>
      <c r="CL25" s="74"/>
      <c r="CM25" s="73" t="s">
        <v>35</v>
      </c>
      <c r="CN25" s="74" t="s">
        <v>1709</v>
      </c>
      <c r="CO25" s="73" t="s">
        <v>73</v>
      </c>
      <c r="CP25" s="74"/>
      <c r="CQ25" s="73" t="s">
        <v>35</v>
      </c>
      <c r="CR25" s="73" t="s">
        <v>1710</v>
      </c>
      <c r="CS25" s="74" t="s">
        <v>1497</v>
      </c>
      <c r="CT25" s="74" t="s">
        <v>1711</v>
      </c>
      <c r="CU25" s="76">
        <f t="shared" si="1"/>
        <v>25</v>
      </c>
      <c r="CV25" s="77">
        <f>IFERROR(__xludf.DUMMYFUNCTION("IFERROR(QUERY(Presidente!$A$3:$AD112, ""SELECT AD WHERE A = '"" &amp; $B25 &amp; ""'""),"""")"),622.0)</f>
        <v>622</v>
      </c>
    </row>
    <row r="26">
      <c r="A26" s="72">
        <v>44375.436402430554</v>
      </c>
      <c r="B26" s="73" t="s">
        <v>274</v>
      </c>
      <c r="C26" s="73" t="s">
        <v>1712</v>
      </c>
      <c r="D26" s="73">
        <v>1542.0</v>
      </c>
      <c r="E26" s="73" t="s">
        <v>1713</v>
      </c>
      <c r="F26" s="73" t="s">
        <v>1714</v>
      </c>
      <c r="G26" s="73" t="s">
        <v>1715</v>
      </c>
      <c r="H26" s="74" t="s">
        <v>1329</v>
      </c>
      <c r="I26" s="73" t="s">
        <v>1716</v>
      </c>
      <c r="J26" s="74"/>
      <c r="K26" s="73" t="s">
        <v>1717</v>
      </c>
      <c r="L26" s="73" t="s">
        <v>1718</v>
      </c>
      <c r="M26" s="74"/>
      <c r="N26" s="73" t="s">
        <v>1260</v>
      </c>
      <c r="O26" s="78"/>
      <c r="R26" s="73" t="s">
        <v>1261</v>
      </c>
      <c r="S26" s="73" t="s">
        <v>1294</v>
      </c>
      <c r="U26" s="73" t="s">
        <v>1719</v>
      </c>
      <c r="V26" s="73" t="s">
        <v>1481</v>
      </c>
      <c r="W26" s="73" t="s">
        <v>1720</v>
      </c>
      <c r="AA26" s="73" t="s">
        <v>73</v>
      </c>
      <c r="AB26" s="73" t="s">
        <v>73</v>
      </c>
      <c r="AC26" s="73" t="s">
        <v>73</v>
      </c>
      <c r="AD26" s="73" t="s">
        <v>1268</v>
      </c>
      <c r="AE26" s="73" t="s">
        <v>1268</v>
      </c>
      <c r="AG26" s="73" t="s">
        <v>73</v>
      </c>
      <c r="AI26" s="73" t="s">
        <v>73</v>
      </c>
      <c r="AK26" s="73" t="s">
        <v>1269</v>
      </c>
      <c r="AL26" s="73" t="s">
        <v>1270</v>
      </c>
      <c r="CC26" s="73" t="s">
        <v>73</v>
      </c>
      <c r="CE26" s="73" t="s">
        <v>84</v>
      </c>
      <c r="CG26" s="73" t="s">
        <v>84</v>
      </c>
      <c r="CI26" s="73" t="s">
        <v>35</v>
      </c>
      <c r="CK26" s="73" t="s">
        <v>73</v>
      </c>
      <c r="CM26" s="73" t="s">
        <v>73</v>
      </c>
      <c r="CO26" s="73" t="s">
        <v>73</v>
      </c>
      <c r="CQ26" s="73" t="s">
        <v>35</v>
      </c>
      <c r="CR26" s="73" t="s">
        <v>1721</v>
      </c>
      <c r="CT26" s="74" t="s">
        <v>1722</v>
      </c>
      <c r="CU26" s="79">
        <f t="shared" si="1"/>
        <v>26</v>
      </c>
      <c r="CV26" s="77">
        <f>IFERROR(__xludf.DUMMYFUNCTION("IFERROR(QUERY(Presidente!$A$3:$AD112, ""SELECT AD WHERE A = '"" &amp; $B26 &amp; ""'""),"""")"),623.0)</f>
        <v>623</v>
      </c>
    </row>
    <row r="27">
      <c r="A27" s="72">
        <v>44375.45142427083</v>
      </c>
      <c r="B27" s="73" t="s">
        <v>284</v>
      </c>
      <c r="C27" s="73" t="s">
        <v>1723</v>
      </c>
      <c r="D27" s="73">
        <v>42.0</v>
      </c>
      <c r="E27" s="74"/>
      <c r="F27" s="73" t="s">
        <v>1724</v>
      </c>
      <c r="G27" s="73" t="s">
        <v>1725</v>
      </c>
      <c r="H27" s="74" t="s">
        <v>1329</v>
      </c>
      <c r="I27" s="74"/>
      <c r="J27" s="74"/>
      <c r="K27" s="73" t="s">
        <v>1726</v>
      </c>
      <c r="L27" s="74" t="s">
        <v>1727</v>
      </c>
      <c r="M27" s="74"/>
      <c r="N27" s="73" t="s">
        <v>1260</v>
      </c>
      <c r="O27" s="75"/>
      <c r="P27" s="74"/>
      <c r="R27" s="73" t="s">
        <v>1261</v>
      </c>
      <c r="S27" s="73" t="s">
        <v>1728</v>
      </c>
      <c r="T27" s="74" t="s">
        <v>1729</v>
      </c>
      <c r="U27" s="74" t="s">
        <v>1730</v>
      </c>
      <c r="V27" s="74" t="s">
        <v>1731</v>
      </c>
      <c r="W27" s="73" t="s">
        <v>1732</v>
      </c>
      <c r="X27" s="73" t="s">
        <v>1733</v>
      </c>
      <c r="Y27" s="74"/>
      <c r="Z27" s="74"/>
      <c r="AA27" s="74" t="s">
        <v>73</v>
      </c>
      <c r="AB27" s="73" t="s">
        <v>1267</v>
      </c>
      <c r="AC27" s="73" t="s">
        <v>73</v>
      </c>
      <c r="AD27" s="73" t="s">
        <v>1268</v>
      </c>
      <c r="AE27" s="73" t="s">
        <v>1268</v>
      </c>
      <c r="AF27" s="74" t="s">
        <v>73</v>
      </c>
      <c r="AG27" s="73" t="s">
        <v>73</v>
      </c>
      <c r="AH27" s="74"/>
      <c r="AI27" s="73" t="s">
        <v>73</v>
      </c>
      <c r="AJ27" s="74"/>
      <c r="AK27" s="73" t="s">
        <v>1314</v>
      </c>
      <c r="AL27" s="73" t="s">
        <v>1270</v>
      </c>
      <c r="AM27" s="74"/>
      <c r="AN27" s="74" t="s">
        <v>1445</v>
      </c>
      <c r="AO27" s="74" t="s">
        <v>1734</v>
      </c>
      <c r="AP27" s="74">
        <v>39.0</v>
      </c>
      <c r="AQ27" s="74"/>
      <c r="AR27" s="74" t="s">
        <v>35</v>
      </c>
      <c r="AS27" s="74" t="s">
        <v>1340</v>
      </c>
      <c r="AT27" s="74" t="s">
        <v>1735</v>
      </c>
      <c r="AU27" s="74">
        <v>43.0</v>
      </c>
      <c r="AV27" s="74"/>
      <c r="AW27" s="74" t="s">
        <v>35</v>
      </c>
      <c r="AX27" s="74" t="s">
        <v>1344</v>
      </c>
      <c r="AY27" s="74" t="s">
        <v>1736</v>
      </c>
      <c r="AZ27" s="74">
        <v>13.0</v>
      </c>
      <c r="BA27" s="74" t="s">
        <v>35</v>
      </c>
      <c r="BB27" s="74"/>
      <c r="BC27" s="74" t="s">
        <v>1344</v>
      </c>
      <c r="BD27" s="74" t="s">
        <v>1737</v>
      </c>
      <c r="BE27" s="74">
        <v>15.0</v>
      </c>
      <c r="BF27" s="74" t="s">
        <v>35</v>
      </c>
      <c r="BH27" s="74"/>
      <c r="BI27" s="74"/>
      <c r="BJ27" s="74"/>
      <c r="BK27" s="74"/>
      <c r="BL27" s="74"/>
      <c r="BM27" s="74" t="s">
        <v>1445</v>
      </c>
      <c r="BN27" s="74" t="s">
        <v>1738</v>
      </c>
      <c r="BO27" s="74">
        <v>3000.0</v>
      </c>
      <c r="BP27" s="74" t="s">
        <v>1340</v>
      </c>
      <c r="BQ27" s="74" t="s">
        <v>1739</v>
      </c>
      <c r="BR27" s="74">
        <v>2500.0</v>
      </c>
      <c r="BS27" s="74" t="s">
        <v>1450</v>
      </c>
      <c r="BT27" s="74" t="s">
        <v>1731</v>
      </c>
      <c r="BU27" s="74">
        <v>1315.0</v>
      </c>
      <c r="BV27" s="74"/>
      <c r="BW27" s="74"/>
      <c r="BZ27" s="74">
        <v>300.0</v>
      </c>
      <c r="CA27" s="74" t="s">
        <v>73</v>
      </c>
      <c r="CB27" s="74"/>
      <c r="CC27" s="73" t="s">
        <v>1740</v>
      </c>
      <c r="CD27" s="74"/>
      <c r="CE27" s="73" t="s">
        <v>37</v>
      </c>
      <c r="CF27" s="74"/>
      <c r="CG27" s="73" t="s">
        <v>37</v>
      </c>
      <c r="CH27" s="74"/>
      <c r="CI27" s="73" t="s">
        <v>73</v>
      </c>
      <c r="CJ27" s="74"/>
      <c r="CK27" s="73" t="s">
        <v>73</v>
      </c>
      <c r="CL27" s="74"/>
      <c r="CM27" s="73" t="s">
        <v>35</v>
      </c>
      <c r="CN27" s="73" t="s">
        <v>1741</v>
      </c>
      <c r="CO27" s="73" t="s">
        <v>73</v>
      </c>
      <c r="CP27" s="74"/>
      <c r="CQ27" s="73" t="s">
        <v>35</v>
      </c>
      <c r="CR27" s="73" t="s">
        <v>1742</v>
      </c>
      <c r="CS27" s="74" t="s">
        <v>1497</v>
      </c>
      <c r="CT27" s="74" t="s">
        <v>1354</v>
      </c>
      <c r="CU27" s="79">
        <f t="shared" si="1"/>
        <v>27</v>
      </c>
      <c r="CV27" s="77">
        <f>IFERROR(__xludf.DUMMYFUNCTION("IFERROR(QUERY(Presidente!$A$3:$AD112, ""SELECT AD WHERE A = '"" &amp; $B27 &amp; ""'""),"""")"),624.0)</f>
        <v>624</v>
      </c>
    </row>
    <row r="28">
      <c r="A28" s="72">
        <v>44375.31025061343</v>
      </c>
      <c r="B28" s="73" t="s">
        <v>294</v>
      </c>
      <c r="C28" s="73" t="s">
        <v>1743</v>
      </c>
      <c r="D28" s="73">
        <v>13.0</v>
      </c>
      <c r="E28" s="74"/>
      <c r="F28" s="73" t="s">
        <v>1744</v>
      </c>
      <c r="G28" s="74" t="s">
        <v>1745</v>
      </c>
      <c r="H28" s="74" t="s">
        <v>1746</v>
      </c>
      <c r="I28" s="73" t="s">
        <v>1747</v>
      </c>
      <c r="J28" s="74" t="s">
        <v>1748</v>
      </c>
      <c r="K28" s="74"/>
      <c r="L28" s="74" t="s">
        <v>1749</v>
      </c>
      <c r="M28" s="74"/>
      <c r="N28" s="73" t="s">
        <v>1260</v>
      </c>
      <c r="O28" s="75"/>
      <c r="P28" s="74"/>
      <c r="R28" s="73" t="s">
        <v>1261</v>
      </c>
      <c r="S28" s="73" t="s">
        <v>1294</v>
      </c>
      <c r="T28" s="73" t="s">
        <v>1750</v>
      </c>
      <c r="U28" s="74"/>
      <c r="V28" s="74"/>
      <c r="W28" s="74"/>
      <c r="X28" s="73" t="s">
        <v>1551</v>
      </c>
      <c r="Y28" s="74"/>
      <c r="Z28" s="74"/>
      <c r="AA28" s="74" t="s">
        <v>73</v>
      </c>
      <c r="AB28" s="73" t="s">
        <v>73</v>
      </c>
      <c r="AC28" s="73" t="s">
        <v>73</v>
      </c>
      <c r="AD28" s="73" t="s">
        <v>1268</v>
      </c>
      <c r="AE28" s="73" t="s">
        <v>1268</v>
      </c>
      <c r="AF28" s="74"/>
      <c r="AG28" s="73" t="s">
        <v>73</v>
      </c>
      <c r="AH28" s="74"/>
      <c r="AI28" s="73" t="s">
        <v>73</v>
      </c>
      <c r="AJ28" s="74"/>
      <c r="AK28" s="73" t="s">
        <v>1269</v>
      </c>
      <c r="AL28" s="73" t="s">
        <v>1270</v>
      </c>
      <c r="AM28" s="74"/>
      <c r="AN28" s="74" t="s">
        <v>1340</v>
      </c>
      <c r="AO28" s="74" t="s">
        <v>297</v>
      </c>
      <c r="AP28" s="74">
        <v>44.0</v>
      </c>
      <c r="AQ28" s="74"/>
      <c r="AR28" s="74" t="s">
        <v>35</v>
      </c>
      <c r="AS28" s="74" t="s">
        <v>1445</v>
      </c>
      <c r="AT28" s="74" t="s">
        <v>1751</v>
      </c>
      <c r="AU28" s="74">
        <v>39.0</v>
      </c>
      <c r="AV28" s="74"/>
      <c r="AW28" s="74" t="s">
        <v>35</v>
      </c>
      <c r="AX28" s="74" t="s">
        <v>1344</v>
      </c>
      <c r="AY28" s="74" t="s">
        <v>1752</v>
      </c>
      <c r="AZ28" s="74">
        <v>22.0</v>
      </c>
      <c r="BA28" s="74"/>
      <c r="BB28" s="74" t="s">
        <v>35</v>
      </c>
      <c r="BC28" s="74"/>
      <c r="BD28" s="74"/>
      <c r="BE28" s="74"/>
      <c r="BF28" s="74"/>
      <c r="BG28" s="74"/>
      <c r="BH28" s="74"/>
      <c r="BI28" s="74"/>
      <c r="BJ28" s="74"/>
      <c r="BK28" s="74"/>
      <c r="BL28" s="74"/>
      <c r="BM28" s="74" t="s">
        <v>1340</v>
      </c>
      <c r="BN28" s="74" t="s">
        <v>1753</v>
      </c>
      <c r="BO28" s="74">
        <v>1500.0</v>
      </c>
      <c r="BP28" s="74" t="s">
        <v>1445</v>
      </c>
      <c r="BQ28" s="74" t="s">
        <v>1754</v>
      </c>
      <c r="BR28" s="74">
        <v>1000.0</v>
      </c>
      <c r="BS28" s="74" t="s">
        <v>1344</v>
      </c>
      <c r="BT28" s="74" t="s">
        <v>1755</v>
      </c>
      <c r="BU28" s="74">
        <v>1200.0</v>
      </c>
      <c r="BV28" s="74"/>
      <c r="BW28" s="74"/>
      <c r="BX28" s="74"/>
      <c r="BZ28" s="74"/>
      <c r="CA28" s="74" t="s">
        <v>73</v>
      </c>
      <c r="CB28" s="74"/>
      <c r="CC28" s="73" t="s">
        <v>73</v>
      </c>
      <c r="CD28" s="74"/>
      <c r="CE28" s="73" t="s">
        <v>37</v>
      </c>
      <c r="CF28" s="74"/>
      <c r="CG28" s="73" t="s">
        <v>37</v>
      </c>
      <c r="CH28" s="74"/>
      <c r="CI28" s="73" t="s">
        <v>73</v>
      </c>
      <c r="CJ28" s="74"/>
      <c r="CK28" s="73" t="s">
        <v>73</v>
      </c>
      <c r="CL28" s="74"/>
      <c r="CM28" s="73" t="s">
        <v>35</v>
      </c>
      <c r="CN28" s="74" t="s">
        <v>1756</v>
      </c>
      <c r="CO28" s="73" t="s">
        <v>35</v>
      </c>
      <c r="CP28" s="74" t="s">
        <v>1757</v>
      </c>
      <c r="CQ28" s="73" t="s">
        <v>35</v>
      </c>
      <c r="CR28" s="73" t="s">
        <v>1758</v>
      </c>
      <c r="CS28" s="74" t="s">
        <v>1419</v>
      </c>
      <c r="CT28" s="74" t="s">
        <v>1523</v>
      </c>
      <c r="CU28" s="79">
        <f t="shared" si="1"/>
        <v>28</v>
      </c>
      <c r="CV28" s="77">
        <f>IFERROR(__xludf.DUMMYFUNCTION("IFERROR(QUERY(Presidente!$A$3:$AD112, ""SELECT AD WHERE A = '"" &amp; $B28 &amp; ""'""),"""")"),625.0)</f>
        <v>625</v>
      </c>
    </row>
    <row r="29">
      <c r="A29" s="72">
        <v>44375.45422900463</v>
      </c>
      <c r="B29" s="73" t="s">
        <v>304</v>
      </c>
      <c r="C29" s="73" t="s">
        <v>1759</v>
      </c>
      <c r="D29" s="73">
        <v>228.0</v>
      </c>
      <c r="E29" s="73" t="s">
        <v>1760</v>
      </c>
      <c r="F29" s="73" t="s">
        <v>1761</v>
      </c>
      <c r="G29" s="73" t="s">
        <v>1762</v>
      </c>
      <c r="H29" s="74" t="s">
        <v>1255</v>
      </c>
      <c r="I29" s="73" t="s">
        <v>1763</v>
      </c>
      <c r="J29" s="74" t="s">
        <v>1764</v>
      </c>
      <c r="K29" s="73" t="s">
        <v>1765</v>
      </c>
      <c r="L29" s="73" t="s">
        <v>1766</v>
      </c>
      <c r="M29" s="74"/>
      <c r="N29" s="73" t="s">
        <v>1260</v>
      </c>
      <c r="O29" s="75"/>
      <c r="P29" s="74"/>
      <c r="R29" s="73" t="s">
        <v>1261</v>
      </c>
      <c r="S29" s="73" t="s">
        <v>1294</v>
      </c>
      <c r="T29" s="73" t="s">
        <v>1767</v>
      </c>
      <c r="U29" s="74" t="s">
        <v>1768</v>
      </c>
      <c r="V29" s="74" t="s">
        <v>1768</v>
      </c>
      <c r="W29" s="74" t="s">
        <v>1769</v>
      </c>
      <c r="X29" s="73" t="s">
        <v>1770</v>
      </c>
      <c r="Y29" s="73" t="s">
        <v>1771</v>
      </c>
      <c r="Z29" s="74" t="s">
        <v>1772</v>
      </c>
      <c r="AA29" s="74" t="s">
        <v>73</v>
      </c>
      <c r="AB29" s="73" t="s">
        <v>73</v>
      </c>
      <c r="AC29" s="73" t="s">
        <v>73</v>
      </c>
      <c r="AD29" s="73" t="s">
        <v>1268</v>
      </c>
      <c r="AE29" s="73" t="s">
        <v>1268</v>
      </c>
      <c r="AF29" s="74" t="s">
        <v>73</v>
      </c>
      <c r="AG29" s="74" t="s">
        <v>73</v>
      </c>
      <c r="AH29" s="73"/>
      <c r="AI29" s="74" t="s">
        <v>73</v>
      </c>
      <c r="AK29" s="73" t="s">
        <v>1314</v>
      </c>
      <c r="AL29" s="73" t="s">
        <v>1270</v>
      </c>
      <c r="AM29" s="74"/>
      <c r="AN29" s="74" t="s">
        <v>1340</v>
      </c>
      <c r="AO29" s="74" t="s">
        <v>308</v>
      </c>
      <c r="AP29" s="74">
        <v>53.0</v>
      </c>
      <c r="AQ29" s="74"/>
      <c r="AR29" s="74" t="s">
        <v>35</v>
      </c>
      <c r="AS29" s="74" t="s">
        <v>1445</v>
      </c>
      <c r="AT29" s="74" t="s">
        <v>309</v>
      </c>
      <c r="AU29" s="74">
        <v>51.0</v>
      </c>
      <c r="AV29" s="74"/>
      <c r="AW29" s="74" t="s">
        <v>35</v>
      </c>
      <c r="AX29" s="74" t="s">
        <v>1344</v>
      </c>
      <c r="AY29" s="74" t="s">
        <v>1773</v>
      </c>
      <c r="AZ29" s="74">
        <v>21.0</v>
      </c>
      <c r="BA29" s="74" t="s">
        <v>35</v>
      </c>
      <c r="BB29" s="74"/>
      <c r="BC29" s="74"/>
      <c r="BD29" s="74"/>
      <c r="BE29" s="74"/>
      <c r="BF29" s="74"/>
      <c r="BG29" s="74" t="s">
        <v>73</v>
      </c>
      <c r="BH29" s="74"/>
      <c r="BI29" s="74"/>
      <c r="BJ29" s="74"/>
      <c r="BK29" s="74"/>
      <c r="BL29" s="74"/>
      <c r="BM29" s="74" t="s">
        <v>1340</v>
      </c>
      <c r="BN29" s="74" t="s">
        <v>1774</v>
      </c>
      <c r="BO29" s="74">
        <v>2100.0</v>
      </c>
      <c r="BP29" s="74" t="s">
        <v>1445</v>
      </c>
      <c r="BQ29" s="74" t="s">
        <v>1775</v>
      </c>
      <c r="BR29" s="74">
        <v>900.0</v>
      </c>
      <c r="BS29" s="74"/>
      <c r="BT29" s="74"/>
      <c r="BU29" s="74"/>
      <c r="BV29" s="74"/>
      <c r="BW29" s="74"/>
      <c r="BX29" s="74"/>
      <c r="BZ29" s="74"/>
      <c r="CA29" s="74" t="s">
        <v>73</v>
      </c>
      <c r="CC29" s="73" t="s">
        <v>73</v>
      </c>
      <c r="CD29" s="74"/>
      <c r="CE29" s="73" t="s">
        <v>37</v>
      </c>
      <c r="CF29" s="74"/>
      <c r="CG29" s="73" t="s">
        <v>37</v>
      </c>
      <c r="CH29" s="74"/>
      <c r="CI29" s="73" t="s">
        <v>73</v>
      </c>
      <c r="CJ29" s="74"/>
      <c r="CK29" s="73" t="s">
        <v>73</v>
      </c>
      <c r="CL29" s="74"/>
      <c r="CM29" s="74" t="s">
        <v>73</v>
      </c>
      <c r="CO29" s="73" t="s">
        <v>73</v>
      </c>
      <c r="CP29" s="74"/>
      <c r="CQ29" s="73" t="s">
        <v>35</v>
      </c>
      <c r="CR29" s="80" t="s">
        <v>1776</v>
      </c>
      <c r="CT29" s="74" t="s">
        <v>1288</v>
      </c>
      <c r="CU29" s="79">
        <f t="shared" si="1"/>
        <v>29</v>
      </c>
      <c r="CV29" s="77">
        <f>IFERROR(__xludf.DUMMYFUNCTION("IFERROR(QUERY(Presidente!$A$3:$AD112, ""SELECT AD WHERE A = '"" &amp; $B29 &amp; ""'""),"""")"),626.0)</f>
        <v>626</v>
      </c>
    </row>
    <row r="30">
      <c r="A30" s="72">
        <v>44375.33235159722</v>
      </c>
      <c r="B30" s="73" t="s">
        <v>315</v>
      </c>
      <c r="C30" s="73" t="s">
        <v>1777</v>
      </c>
      <c r="D30" s="73">
        <v>287.0</v>
      </c>
      <c r="E30" s="73" t="s">
        <v>1778</v>
      </c>
      <c r="F30" s="73" t="s">
        <v>1779</v>
      </c>
      <c r="G30" s="73" t="s">
        <v>1780</v>
      </c>
      <c r="H30" s="74" t="s">
        <v>1329</v>
      </c>
      <c r="I30" s="73" t="s">
        <v>1781</v>
      </c>
      <c r="J30" s="74"/>
      <c r="K30" s="74"/>
      <c r="L30" s="73" t="s">
        <v>1782</v>
      </c>
      <c r="M30" s="74"/>
      <c r="N30" s="73" t="s">
        <v>1260</v>
      </c>
      <c r="O30" s="75">
        <v>4.54549500141E11</v>
      </c>
      <c r="P30" s="74">
        <v>421.0</v>
      </c>
      <c r="Q30" s="74">
        <v>97.0</v>
      </c>
      <c r="R30" s="73" t="s">
        <v>1261</v>
      </c>
      <c r="S30" s="73" t="s">
        <v>1294</v>
      </c>
      <c r="T30" s="74" t="s">
        <v>1284</v>
      </c>
      <c r="U30" s="74" t="s">
        <v>1783</v>
      </c>
      <c r="V30" s="74" t="s">
        <v>1784</v>
      </c>
      <c r="W30" s="73" t="s">
        <v>1785</v>
      </c>
      <c r="X30" s="73" t="s">
        <v>1312</v>
      </c>
      <c r="Y30" s="74" t="s">
        <v>1284</v>
      </c>
      <c r="Z30" s="73" t="s">
        <v>1786</v>
      </c>
      <c r="AA30" s="73" t="s">
        <v>1267</v>
      </c>
      <c r="AB30" s="73" t="s">
        <v>73</v>
      </c>
      <c r="AC30" s="73" t="s">
        <v>73</v>
      </c>
      <c r="AD30" s="73" t="s">
        <v>1268</v>
      </c>
      <c r="AE30" s="73" t="s">
        <v>1268</v>
      </c>
      <c r="AF30" s="74" t="s">
        <v>1284</v>
      </c>
      <c r="AG30" s="73" t="s">
        <v>73</v>
      </c>
      <c r="AH30" s="74"/>
      <c r="AI30" s="73" t="s">
        <v>73</v>
      </c>
      <c r="AJ30" s="74"/>
      <c r="AK30" s="73" t="s">
        <v>1314</v>
      </c>
      <c r="AL30" s="73" t="s">
        <v>1270</v>
      </c>
      <c r="AM30" s="74"/>
      <c r="AN30" s="74" t="s">
        <v>1278</v>
      </c>
      <c r="AO30" s="74" t="s">
        <v>1787</v>
      </c>
      <c r="AP30" s="74">
        <v>44.0</v>
      </c>
      <c r="AQ30" s="74"/>
      <c r="AR30" s="74" t="s">
        <v>35</v>
      </c>
      <c r="AS30" s="74" t="s">
        <v>1315</v>
      </c>
      <c r="AT30" s="74" t="s">
        <v>1788</v>
      </c>
      <c r="AU30" s="74">
        <v>43.0</v>
      </c>
      <c r="AV30" s="74"/>
      <c r="AW30" s="74" t="s">
        <v>35</v>
      </c>
      <c r="AX30" s="74" t="s">
        <v>1392</v>
      </c>
      <c r="AY30" s="74" t="s">
        <v>1789</v>
      </c>
      <c r="AZ30" s="74">
        <v>10.0</v>
      </c>
      <c r="BA30" s="74" t="s">
        <v>35</v>
      </c>
      <c r="BB30" s="74"/>
      <c r="BC30" s="74"/>
      <c r="BD30" s="74"/>
      <c r="BE30" s="74"/>
      <c r="BF30" s="74"/>
      <c r="BG30" s="74"/>
      <c r="BH30" s="74"/>
      <c r="BI30" s="74"/>
      <c r="BJ30" s="74"/>
      <c r="BK30" s="74"/>
      <c r="BL30" s="74"/>
      <c r="BM30" s="74" t="s">
        <v>1278</v>
      </c>
      <c r="BN30" s="74" t="s">
        <v>1790</v>
      </c>
      <c r="BO30" s="74">
        <v>1100.0</v>
      </c>
      <c r="BP30" s="74" t="s">
        <v>1315</v>
      </c>
      <c r="BQ30" s="74" t="s">
        <v>1791</v>
      </c>
      <c r="BR30" s="74">
        <v>1045.0</v>
      </c>
      <c r="BS30" s="74"/>
      <c r="BT30" s="74"/>
      <c r="BU30" s="74"/>
      <c r="BV30" s="74"/>
      <c r="BW30" s="74"/>
      <c r="BX30" s="74"/>
      <c r="BZ30" s="74"/>
      <c r="CA30" s="74" t="s">
        <v>73</v>
      </c>
      <c r="CB30" s="74"/>
      <c r="CC30" s="73" t="s">
        <v>73</v>
      </c>
      <c r="CD30" s="74"/>
      <c r="CE30" s="73" t="s">
        <v>37</v>
      </c>
      <c r="CF30" s="74"/>
      <c r="CG30" s="73" t="s">
        <v>37</v>
      </c>
      <c r="CH30" s="74"/>
      <c r="CI30" s="73" t="s">
        <v>35</v>
      </c>
      <c r="CJ30" s="74" t="s">
        <v>1278</v>
      </c>
      <c r="CK30" s="73" t="s">
        <v>73</v>
      </c>
      <c r="CL30" s="74"/>
      <c r="CM30" s="73" t="s">
        <v>73</v>
      </c>
      <c r="CN30" s="74"/>
      <c r="CO30" s="73" t="s">
        <v>73</v>
      </c>
      <c r="CP30" s="74"/>
      <c r="CQ30" s="73" t="s">
        <v>35</v>
      </c>
      <c r="CR30" s="73" t="s">
        <v>1792</v>
      </c>
      <c r="CS30" s="74" t="s">
        <v>1793</v>
      </c>
      <c r="CT30" s="74" t="s">
        <v>1420</v>
      </c>
      <c r="CU30" s="79">
        <f t="shared" si="1"/>
        <v>30</v>
      </c>
      <c r="CV30" s="77">
        <f>IFERROR(__xludf.DUMMYFUNCTION("IFERROR(QUERY(Presidente!$A$3:$AD112, ""SELECT AD WHERE A = '"" &amp; $B30 &amp; ""'""),"""")"),627.0)</f>
        <v>627</v>
      </c>
    </row>
    <row r="31">
      <c r="A31" s="72">
        <v>44375.616989375005</v>
      </c>
      <c r="B31" s="73" t="s">
        <v>326</v>
      </c>
      <c r="C31" s="73" t="s">
        <v>1794</v>
      </c>
      <c r="D31" s="73">
        <v>231.0</v>
      </c>
      <c r="E31" s="73" t="s">
        <v>1795</v>
      </c>
      <c r="F31" s="73" t="s">
        <v>1796</v>
      </c>
      <c r="G31" s="73" t="s">
        <v>1797</v>
      </c>
      <c r="H31" s="74" t="s">
        <v>1255</v>
      </c>
      <c r="I31" s="73" t="s">
        <v>1798</v>
      </c>
      <c r="J31" s="74" t="s">
        <v>1799</v>
      </c>
      <c r="K31" s="74" t="s">
        <v>1800</v>
      </c>
      <c r="L31" s="74" t="s">
        <v>1801</v>
      </c>
      <c r="M31" s="74"/>
      <c r="N31" s="73" t="s">
        <v>1260</v>
      </c>
      <c r="O31" s="75"/>
      <c r="P31" s="74"/>
      <c r="R31" s="73" t="s">
        <v>1261</v>
      </c>
      <c r="S31" s="73" t="s">
        <v>1294</v>
      </c>
      <c r="T31" s="73" t="s">
        <v>1802</v>
      </c>
      <c r="U31" s="74"/>
      <c r="V31" s="74"/>
      <c r="W31" s="74" t="s">
        <v>1803</v>
      </c>
      <c r="X31" s="73" t="s">
        <v>1804</v>
      </c>
      <c r="Y31" s="74"/>
      <c r="Z31" s="73" t="s">
        <v>1805</v>
      </c>
      <c r="AA31" s="74" t="s">
        <v>73</v>
      </c>
      <c r="AB31" s="73" t="s">
        <v>1267</v>
      </c>
      <c r="AC31" s="73" t="s">
        <v>73</v>
      </c>
      <c r="AD31" s="74" t="s">
        <v>1806</v>
      </c>
      <c r="AE31" s="73" t="s">
        <v>1268</v>
      </c>
      <c r="AF31" s="74" t="s">
        <v>73</v>
      </c>
      <c r="AG31" s="73" t="s">
        <v>73</v>
      </c>
      <c r="AH31" s="74"/>
      <c r="AI31" s="73" t="s">
        <v>73</v>
      </c>
      <c r="AJ31" s="74"/>
      <c r="AK31" s="73" t="s">
        <v>1314</v>
      </c>
      <c r="AL31" s="73" t="s">
        <v>1807</v>
      </c>
      <c r="AM31" s="74"/>
      <c r="AN31" s="74" t="s">
        <v>1315</v>
      </c>
      <c r="AO31" s="74" t="s">
        <v>1808</v>
      </c>
      <c r="AP31" s="74">
        <v>57.0</v>
      </c>
      <c r="AQ31" s="74"/>
      <c r="AR31" s="74"/>
      <c r="AS31" s="74" t="s">
        <v>1411</v>
      </c>
      <c r="AT31" s="74" t="s">
        <v>1809</v>
      </c>
      <c r="AU31" s="74">
        <v>25.0</v>
      </c>
      <c r="AV31" s="74"/>
      <c r="AW31" s="74" t="s">
        <v>35</v>
      </c>
      <c r="AX31" s="74" t="s">
        <v>1278</v>
      </c>
      <c r="AY31" s="74" t="s">
        <v>1810</v>
      </c>
      <c r="AZ31" s="74">
        <v>53.0</v>
      </c>
      <c r="BA31" s="74"/>
      <c r="BB31" s="74" t="s">
        <v>35</v>
      </c>
      <c r="BC31" s="74"/>
      <c r="BD31" s="74"/>
      <c r="BE31" s="74"/>
      <c r="BF31" s="74"/>
      <c r="BH31" s="74"/>
      <c r="BI31" s="74"/>
      <c r="BJ31" s="74"/>
      <c r="BK31" s="74"/>
      <c r="BL31" s="74"/>
      <c r="BM31" s="74" t="s">
        <v>1278</v>
      </c>
      <c r="BN31" s="74" t="s">
        <v>1811</v>
      </c>
      <c r="BO31" s="74">
        <v>10000.0</v>
      </c>
      <c r="BP31" s="74" t="s">
        <v>1411</v>
      </c>
      <c r="BQ31" s="74" t="s">
        <v>1812</v>
      </c>
      <c r="BR31" s="74">
        <v>5000.0</v>
      </c>
      <c r="BS31" s="74"/>
      <c r="BT31" s="74"/>
      <c r="BU31" s="74"/>
      <c r="BV31" s="74"/>
      <c r="BW31" s="74"/>
      <c r="BX31" s="74"/>
      <c r="BZ31" s="74"/>
      <c r="CA31" s="74" t="s">
        <v>73</v>
      </c>
      <c r="CB31" s="74" t="s">
        <v>1813</v>
      </c>
      <c r="CC31" s="73" t="s">
        <v>73</v>
      </c>
      <c r="CD31" s="74"/>
      <c r="CE31" s="73" t="s">
        <v>1416</v>
      </c>
      <c r="CF31" s="74"/>
      <c r="CG31" s="73" t="s">
        <v>1416</v>
      </c>
      <c r="CH31" s="74"/>
      <c r="CI31" s="73" t="s">
        <v>73</v>
      </c>
      <c r="CJ31" s="74"/>
      <c r="CK31" s="73" t="s">
        <v>73</v>
      </c>
      <c r="CL31" s="74"/>
      <c r="CM31" s="73" t="s">
        <v>35</v>
      </c>
      <c r="CN31" s="74" t="s">
        <v>1814</v>
      </c>
      <c r="CO31" s="73" t="s">
        <v>73</v>
      </c>
      <c r="CP31" s="74"/>
      <c r="CQ31" s="73" t="s">
        <v>35</v>
      </c>
      <c r="CR31" s="73" t="s">
        <v>1815</v>
      </c>
      <c r="CS31" s="74" t="s">
        <v>1816</v>
      </c>
      <c r="CT31" s="74" t="s">
        <v>1288</v>
      </c>
      <c r="CU31" s="76">
        <f t="shared" si="1"/>
        <v>31</v>
      </c>
      <c r="CV31" s="77">
        <f>IFERROR(__xludf.DUMMYFUNCTION("IFERROR(QUERY(Presidente!$A$3:$AD112, ""SELECT AD WHERE A = '"" &amp; $B31 &amp; ""'""),"""")"),628.0)</f>
        <v>628</v>
      </c>
    </row>
    <row r="32">
      <c r="A32" s="72">
        <v>44375.56331604166</v>
      </c>
      <c r="B32" s="73" t="s">
        <v>336</v>
      </c>
      <c r="C32" s="73" t="s">
        <v>1817</v>
      </c>
      <c r="D32" s="73">
        <v>454.0</v>
      </c>
      <c r="E32" s="73" t="s">
        <v>1818</v>
      </c>
      <c r="F32" s="73" t="s">
        <v>1819</v>
      </c>
      <c r="G32" s="73" t="s">
        <v>1820</v>
      </c>
      <c r="H32" s="74" t="s">
        <v>1255</v>
      </c>
      <c r="I32" s="73" t="s">
        <v>1821</v>
      </c>
      <c r="J32" s="74" t="s">
        <v>1822</v>
      </c>
      <c r="K32" s="74"/>
      <c r="L32" s="73" t="s">
        <v>1823</v>
      </c>
      <c r="M32" s="74"/>
      <c r="N32" s="73" t="s">
        <v>1260</v>
      </c>
      <c r="O32" s="75">
        <v>1.62718900507E11</v>
      </c>
      <c r="P32" s="74">
        <v>105.0</v>
      </c>
      <c r="Q32" s="74" t="s">
        <v>1824</v>
      </c>
      <c r="R32" s="73" t="s">
        <v>1261</v>
      </c>
      <c r="S32" s="73" t="s">
        <v>1294</v>
      </c>
      <c r="T32" s="73" t="s">
        <v>1825</v>
      </c>
      <c r="U32" s="73" t="s">
        <v>1826</v>
      </c>
      <c r="V32" s="74" t="s">
        <v>1827</v>
      </c>
      <c r="W32" s="74"/>
      <c r="X32" s="73" t="s">
        <v>1828</v>
      </c>
      <c r="Y32" s="74" t="s">
        <v>1827</v>
      </c>
      <c r="Z32" s="74" t="s">
        <v>1829</v>
      </c>
      <c r="AA32" s="74" t="s">
        <v>73</v>
      </c>
      <c r="AB32" s="73" t="s">
        <v>73</v>
      </c>
      <c r="AC32" s="73" t="s">
        <v>73</v>
      </c>
      <c r="AD32" s="73" t="s">
        <v>1268</v>
      </c>
      <c r="AE32" s="73" t="s">
        <v>1268</v>
      </c>
      <c r="AF32" s="74" t="s">
        <v>1830</v>
      </c>
      <c r="AG32" s="73" t="s">
        <v>73</v>
      </c>
      <c r="AH32" s="74"/>
      <c r="AI32" s="73" t="s">
        <v>73</v>
      </c>
      <c r="AJ32" s="74"/>
      <c r="AK32" s="73" t="s">
        <v>1269</v>
      </c>
      <c r="AL32" s="73" t="s">
        <v>1278</v>
      </c>
      <c r="AM32" s="74"/>
      <c r="AN32" s="74" t="s">
        <v>1340</v>
      </c>
      <c r="AO32" s="74" t="s">
        <v>1831</v>
      </c>
      <c r="AP32" s="74">
        <v>53.0</v>
      </c>
      <c r="AQ32" s="74" t="s">
        <v>35</v>
      </c>
      <c r="AR32" s="74" t="s">
        <v>35</v>
      </c>
      <c r="AS32" s="74"/>
      <c r="AT32" s="74"/>
      <c r="AU32" s="74"/>
      <c r="AV32" s="74"/>
      <c r="AW32" s="74"/>
      <c r="AX32" s="74"/>
      <c r="AY32" s="74"/>
      <c r="AZ32" s="74"/>
      <c r="BA32" s="74"/>
      <c r="BB32" s="74"/>
      <c r="BC32" s="74"/>
      <c r="BD32" s="74"/>
      <c r="BE32" s="74"/>
      <c r="BF32" s="74"/>
      <c r="BH32" s="74"/>
      <c r="BI32" s="74"/>
      <c r="BJ32" s="74"/>
      <c r="BK32" s="74"/>
      <c r="BL32" s="74"/>
      <c r="BM32" s="74" t="s">
        <v>1340</v>
      </c>
      <c r="BN32" s="74" t="s">
        <v>1832</v>
      </c>
      <c r="BO32" s="74">
        <v>2000.0</v>
      </c>
      <c r="BP32" s="74"/>
      <c r="BQ32" s="74"/>
      <c r="BR32" s="74"/>
      <c r="BS32" s="74"/>
      <c r="BT32" s="74"/>
      <c r="BV32" s="74"/>
      <c r="BW32" s="74"/>
      <c r="BZ32" s="74"/>
      <c r="CA32" s="74" t="s">
        <v>73</v>
      </c>
      <c r="CC32" s="73" t="s">
        <v>73</v>
      </c>
      <c r="CD32" s="74"/>
      <c r="CE32" s="73" t="s">
        <v>84</v>
      </c>
      <c r="CF32" s="74"/>
      <c r="CG32" s="73" t="s">
        <v>84</v>
      </c>
      <c r="CH32" s="74"/>
      <c r="CI32" s="73" t="s">
        <v>35</v>
      </c>
      <c r="CK32" s="73" t="s">
        <v>35</v>
      </c>
      <c r="CL32" s="73" t="s">
        <v>1833</v>
      </c>
      <c r="CM32" s="73" t="s">
        <v>73</v>
      </c>
      <c r="CO32" s="73" t="s">
        <v>35</v>
      </c>
      <c r="CP32" s="73" t="s">
        <v>1834</v>
      </c>
      <c r="CQ32" s="73" t="s">
        <v>35</v>
      </c>
      <c r="CR32" s="73" t="s">
        <v>1835</v>
      </c>
      <c r="CS32" s="74" t="s">
        <v>1836</v>
      </c>
      <c r="CT32" s="74" t="s">
        <v>1288</v>
      </c>
      <c r="CU32" s="76">
        <f t="shared" si="1"/>
        <v>32</v>
      </c>
      <c r="CV32" s="77">
        <f>IFERROR(__xludf.DUMMYFUNCTION("IFERROR(QUERY(Presidente!$A$3:$AD112, ""SELECT AD WHERE A = '"" &amp; $B32 &amp; ""'""),"""")"),629.0)</f>
        <v>629</v>
      </c>
    </row>
    <row r="33">
      <c r="A33" s="72">
        <v>44375.426208425924</v>
      </c>
      <c r="B33" s="73" t="s">
        <v>346</v>
      </c>
      <c r="C33" s="73" t="s">
        <v>1837</v>
      </c>
      <c r="D33" s="73">
        <v>123.0</v>
      </c>
      <c r="E33" s="73" t="s">
        <v>1838</v>
      </c>
      <c r="F33" s="73" t="s">
        <v>1839</v>
      </c>
      <c r="G33" s="73" t="s">
        <v>1840</v>
      </c>
      <c r="H33" s="74" t="s">
        <v>1255</v>
      </c>
      <c r="I33" s="73" t="s">
        <v>1841</v>
      </c>
      <c r="J33" s="74" t="s">
        <v>1842</v>
      </c>
      <c r="K33" s="73" t="s">
        <v>1843</v>
      </c>
      <c r="L33" s="74"/>
      <c r="M33" s="74"/>
      <c r="N33" s="73" t="s">
        <v>1260</v>
      </c>
      <c r="O33" s="75" t="s">
        <v>1565</v>
      </c>
      <c r="P33" s="74" t="s">
        <v>1844</v>
      </c>
      <c r="Q33" s="74" t="s">
        <v>1844</v>
      </c>
      <c r="R33" s="73" t="s">
        <v>1261</v>
      </c>
      <c r="S33" s="73" t="s">
        <v>1294</v>
      </c>
      <c r="T33" s="74"/>
      <c r="U33" s="74"/>
      <c r="V33" s="74"/>
      <c r="W33" s="73"/>
      <c r="X33" s="73" t="s">
        <v>1312</v>
      </c>
      <c r="Y33" s="74"/>
      <c r="Z33" s="74"/>
      <c r="AA33" s="74" t="s">
        <v>35</v>
      </c>
      <c r="AB33" s="73" t="s">
        <v>1267</v>
      </c>
      <c r="AC33" s="73" t="s">
        <v>73</v>
      </c>
      <c r="AD33" s="73" t="s">
        <v>1268</v>
      </c>
      <c r="AE33" s="73" t="s">
        <v>1268</v>
      </c>
      <c r="AF33" s="74"/>
      <c r="AG33" s="73" t="s">
        <v>73</v>
      </c>
      <c r="AH33" s="74"/>
      <c r="AI33" s="73" t="s">
        <v>73</v>
      </c>
      <c r="AJ33" s="74"/>
      <c r="AK33" s="73" t="s">
        <v>1269</v>
      </c>
      <c r="AL33" s="73" t="s">
        <v>1270</v>
      </c>
      <c r="AM33" s="74"/>
      <c r="AN33" s="74" t="s">
        <v>1278</v>
      </c>
      <c r="AO33" s="74" t="s">
        <v>1845</v>
      </c>
      <c r="AP33" s="74">
        <v>46.0</v>
      </c>
      <c r="AQ33" s="74"/>
      <c r="AR33" s="74" t="s">
        <v>35</v>
      </c>
      <c r="AS33" s="74" t="s">
        <v>1315</v>
      </c>
      <c r="AT33" s="74" t="s">
        <v>1846</v>
      </c>
      <c r="AU33" s="74">
        <v>39.0</v>
      </c>
      <c r="AV33" s="74"/>
      <c r="AW33" s="74" t="s">
        <v>35</v>
      </c>
      <c r="AX33" s="74" t="s">
        <v>1392</v>
      </c>
      <c r="AY33" s="74" t="s">
        <v>1847</v>
      </c>
      <c r="AZ33" s="74">
        <v>19.0</v>
      </c>
      <c r="BA33" s="74" t="s">
        <v>35</v>
      </c>
      <c r="BB33" s="74"/>
      <c r="BC33" s="74"/>
      <c r="BD33" s="74"/>
      <c r="BE33" s="74"/>
      <c r="BF33" s="74"/>
      <c r="BH33" s="74"/>
      <c r="BI33" s="74"/>
      <c r="BJ33" s="74"/>
      <c r="BK33" s="74"/>
      <c r="BL33" s="74"/>
      <c r="BM33" s="74" t="s">
        <v>1278</v>
      </c>
      <c r="BN33" s="74" t="s">
        <v>1848</v>
      </c>
      <c r="BO33" s="74">
        <v>1000.0</v>
      </c>
      <c r="BP33" s="74" t="s">
        <v>1315</v>
      </c>
      <c r="BQ33" s="74" t="s">
        <v>1849</v>
      </c>
      <c r="BR33" s="74">
        <v>5000.0</v>
      </c>
      <c r="BS33" s="74"/>
      <c r="BT33" s="74"/>
      <c r="BU33" s="74"/>
      <c r="BV33" s="74"/>
      <c r="BW33" s="74"/>
      <c r="BX33" s="74"/>
      <c r="BZ33" s="74"/>
      <c r="CA33" s="74"/>
      <c r="CB33" s="74"/>
      <c r="CC33" s="73" t="s">
        <v>73</v>
      </c>
      <c r="CD33" s="74"/>
      <c r="CE33" s="73" t="s">
        <v>37</v>
      </c>
      <c r="CF33" s="74"/>
      <c r="CG33" s="73" t="s">
        <v>37</v>
      </c>
      <c r="CH33" s="74"/>
      <c r="CI33" s="73" t="s">
        <v>73</v>
      </c>
      <c r="CJ33" s="74"/>
      <c r="CK33" s="73" t="s">
        <v>73</v>
      </c>
      <c r="CL33" s="74"/>
      <c r="CM33" s="73" t="s">
        <v>73</v>
      </c>
      <c r="CN33" s="74"/>
      <c r="CO33" s="73" t="s">
        <v>73</v>
      </c>
      <c r="CP33" s="74"/>
      <c r="CQ33" s="73" t="s">
        <v>35</v>
      </c>
      <c r="CR33" s="73" t="s">
        <v>1850</v>
      </c>
      <c r="CS33" s="74" t="s">
        <v>1419</v>
      </c>
      <c r="CT33" s="74" t="s">
        <v>1542</v>
      </c>
      <c r="CU33" s="79">
        <f t="shared" si="1"/>
        <v>33</v>
      </c>
      <c r="CV33" s="77">
        <f>IFERROR(__xludf.DUMMYFUNCTION("IFERROR(QUERY(Presidente!$A$3:$AD112, ""SELECT AD WHERE A = '"" &amp; $B33 &amp; ""'""),"""")"),630.0)</f>
        <v>630</v>
      </c>
    </row>
    <row r="34">
      <c r="A34" s="72">
        <v>44375.320165150464</v>
      </c>
      <c r="B34" s="73" t="s">
        <v>356</v>
      </c>
      <c r="C34" s="73" t="s">
        <v>1851</v>
      </c>
      <c r="D34" s="73">
        <v>3.0</v>
      </c>
      <c r="E34" s="73" t="s">
        <v>1852</v>
      </c>
      <c r="F34" s="73" t="s">
        <v>1853</v>
      </c>
      <c r="G34" s="73" t="s">
        <v>1854</v>
      </c>
      <c r="H34" s="74" t="s">
        <v>1255</v>
      </c>
      <c r="I34" s="73" t="s">
        <v>1424</v>
      </c>
      <c r="J34" s="74" t="s">
        <v>1855</v>
      </c>
      <c r="K34" s="73" t="s">
        <v>1856</v>
      </c>
      <c r="L34" s="73" t="s">
        <v>1857</v>
      </c>
      <c r="M34" s="74"/>
      <c r="N34" s="73" t="s">
        <v>1260</v>
      </c>
      <c r="O34" s="75"/>
      <c r="P34" s="74"/>
      <c r="R34" s="73" t="s">
        <v>1261</v>
      </c>
      <c r="S34" s="73" t="s">
        <v>1294</v>
      </c>
      <c r="T34" s="73" t="s">
        <v>1858</v>
      </c>
      <c r="U34" s="73" t="s">
        <v>1859</v>
      </c>
      <c r="V34" s="73" t="s">
        <v>1860</v>
      </c>
      <c r="W34" s="74"/>
      <c r="X34" s="73" t="s">
        <v>1861</v>
      </c>
      <c r="Y34" s="74"/>
      <c r="Z34" s="73" t="s">
        <v>1862</v>
      </c>
      <c r="AA34" s="73" t="s">
        <v>1267</v>
      </c>
      <c r="AB34" s="73" t="s">
        <v>73</v>
      </c>
      <c r="AC34" s="73" t="s">
        <v>73</v>
      </c>
      <c r="AD34" s="73" t="s">
        <v>1268</v>
      </c>
      <c r="AE34" s="73" t="s">
        <v>1268</v>
      </c>
      <c r="AF34" s="74" t="s">
        <v>1863</v>
      </c>
      <c r="AG34" s="73" t="s">
        <v>73</v>
      </c>
      <c r="AH34" s="74"/>
      <c r="AI34" s="73" t="s">
        <v>73</v>
      </c>
      <c r="AJ34" s="74"/>
      <c r="AK34" s="73" t="s">
        <v>1314</v>
      </c>
      <c r="AL34" s="73" t="s">
        <v>1491</v>
      </c>
      <c r="AM34" s="74"/>
      <c r="AN34" s="74" t="s">
        <v>1864</v>
      </c>
      <c r="AO34" s="74" t="s">
        <v>1865</v>
      </c>
      <c r="AP34" s="74">
        <v>49.0</v>
      </c>
      <c r="AQ34" s="74"/>
      <c r="AR34" s="74" t="s">
        <v>35</v>
      </c>
      <c r="AS34" s="74" t="s">
        <v>1866</v>
      </c>
      <c r="AT34" s="74" t="s">
        <v>1867</v>
      </c>
      <c r="AU34" s="74">
        <v>50.0</v>
      </c>
      <c r="AV34" s="74"/>
      <c r="AW34" s="74" t="s">
        <v>35</v>
      </c>
      <c r="AX34" s="74"/>
      <c r="AY34" s="74"/>
      <c r="AZ34" s="74"/>
      <c r="BA34" s="74"/>
      <c r="BB34" s="74"/>
      <c r="BC34" s="74"/>
      <c r="BD34" s="74"/>
      <c r="BE34" s="74"/>
      <c r="BF34" s="74"/>
      <c r="BG34" s="74"/>
      <c r="BH34" s="74"/>
      <c r="BI34" s="74"/>
      <c r="BJ34" s="74"/>
      <c r="BK34" s="74"/>
      <c r="BL34" s="74"/>
      <c r="BM34" s="74" t="s">
        <v>1271</v>
      </c>
      <c r="BN34" s="74" t="s">
        <v>1868</v>
      </c>
      <c r="BO34" s="74"/>
      <c r="BP34" s="74" t="s">
        <v>1866</v>
      </c>
      <c r="BQ34" s="74" t="s">
        <v>1869</v>
      </c>
      <c r="BR34" s="74">
        <v>1900.0</v>
      </c>
      <c r="BS34" s="74"/>
      <c r="BT34" s="74"/>
      <c r="BU34" s="74"/>
      <c r="BV34" s="74"/>
      <c r="BW34" s="74"/>
      <c r="BZ34" s="74"/>
      <c r="CA34" s="74" t="s">
        <v>73</v>
      </c>
      <c r="CB34" s="74"/>
      <c r="CC34" s="73" t="s">
        <v>1284</v>
      </c>
      <c r="CD34" s="74"/>
      <c r="CE34" s="73" t="s">
        <v>37</v>
      </c>
      <c r="CF34" s="74"/>
      <c r="CG34" s="73" t="s">
        <v>37</v>
      </c>
      <c r="CH34" s="74"/>
      <c r="CI34" s="73" t="s">
        <v>35</v>
      </c>
      <c r="CJ34" s="73" t="s">
        <v>1870</v>
      </c>
      <c r="CK34" s="73" t="s">
        <v>73</v>
      </c>
      <c r="CL34" s="74"/>
      <c r="CM34" s="73" t="s">
        <v>73</v>
      </c>
      <c r="CN34" s="74"/>
      <c r="CO34" s="73" t="s">
        <v>73</v>
      </c>
      <c r="CP34" s="74"/>
      <c r="CQ34" s="73" t="s">
        <v>35</v>
      </c>
      <c r="CR34" s="73" t="s">
        <v>1871</v>
      </c>
      <c r="CS34" s="74" t="s">
        <v>1434</v>
      </c>
      <c r="CT34" s="74" t="s">
        <v>1435</v>
      </c>
      <c r="CU34" s="79">
        <f t="shared" si="1"/>
        <v>34</v>
      </c>
      <c r="CV34" s="77">
        <f>IFERROR(__xludf.DUMMYFUNCTION("IFERROR(QUERY(Presidente!$A$3:$AD112, ""SELECT AD WHERE A = '"" &amp; $B34 &amp; ""'""),"""")"),631.0)</f>
        <v>631</v>
      </c>
    </row>
    <row r="35">
      <c r="A35" s="72">
        <v>44375.3711603125</v>
      </c>
      <c r="B35" s="73" t="s">
        <v>366</v>
      </c>
      <c r="C35" s="73" t="s">
        <v>1872</v>
      </c>
      <c r="D35" s="73">
        <v>198.0</v>
      </c>
      <c r="E35" s="73" t="s">
        <v>1873</v>
      </c>
      <c r="F35" s="73" t="s">
        <v>1874</v>
      </c>
      <c r="G35" s="73" t="s">
        <v>1875</v>
      </c>
      <c r="H35" s="74" t="s">
        <v>1255</v>
      </c>
      <c r="I35" s="73" t="s">
        <v>1876</v>
      </c>
      <c r="J35" s="74"/>
      <c r="K35" s="73" t="s">
        <v>1877</v>
      </c>
      <c r="L35" s="73" t="s">
        <v>1878</v>
      </c>
      <c r="M35" s="74"/>
      <c r="N35" s="73" t="s">
        <v>1260</v>
      </c>
      <c r="O35" s="75"/>
      <c r="P35" s="74"/>
      <c r="Q35" s="74"/>
      <c r="R35" s="73" t="s">
        <v>1261</v>
      </c>
      <c r="S35" s="73" t="s">
        <v>1294</v>
      </c>
      <c r="T35" s="73" t="s">
        <v>1879</v>
      </c>
      <c r="U35" s="74"/>
      <c r="V35" s="74"/>
      <c r="W35" s="73" t="s">
        <v>1880</v>
      </c>
      <c r="X35" s="73" t="s">
        <v>1881</v>
      </c>
      <c r="Y35" s="74"/>
      <c r="Z35" s="73" t="s">
        <v>1882</v>
      </c>
      <c r="AA35" s="74" t="s">
        <v>73</v>
      </c>
      <c r="AB35" s="73" t="s">
        <v>73</v>
      </c>
      <c r="AC35" s="73" t="s">
        <v>73</v>
      </c>
      <c r="AD35" s="73" t="s">
        <v>1268</v>
      </c>
      <c r="AE35" s="73" t="s">
        <v>1268</v>
      </c>
      <c r="AF35" s="74" t="s">
        <v>1701</v>
      </c>
      <c r="AG35" s="73" t="s">
        <v>73</v>
      </c>
      <c r="AH35" s="74"/>
      <c r="AI35" s="73" t="s">
        <v>73</v>
      </c>
      <c r="AJ35" s="74"/>
      <c r="AK35" s="73" t="s">
        <v>1314</v>
      </c>
      <c r="AL35" s="73" t="s">
        <v>1883</v>
      </c>
      <c r="AM35" s="74"/>
      <c r="AN35" s="74" t="s">
        <v>1315</v>
      </c>
      <c r="AO35" s="74" t="s">
        <v>1884</v>
      </c>
      <c r="AP35" s="74">
        <v>57.0</v>
      </c>
      <c r="AQ35" s="74" t="s">
        <v>35</v>
      </c>
      <c r="AR35" s="74" t="s">
        <v>35</v>
      </c>
      <c r="AS35" s="74" t="s">
        <v>1411</v>
      </c>
      <c r="AT35" s="74" t="s">
        <v>1885</v>
      </c>
      <c r="AU35" s="74">
        <v>17.0</v>
      </c>
      <c r="AV35" s="74" t="s">
        <v>35</v>
      </c>
      <c r="AW35" s="74" t="s">
        <v>35</v>
      </c>
      <c r="AX35" s="74"/>
      <c r="AY35" s="74"/>
      <c r="AZ35" s="74"/>
      <c r="BA35" s="74"/>
      <c r="BB35" s="74"/>
      <c r="BC35" s="74"/>
      <c r="BD35" s="74"/>
      <c r="BE35" s="74"/>
      <c r="BF35" s="74"/>
      <c r="BG35" s="74"/>
      <c r="BH35" s="74"/>
      <c r="BI35" s="74"/>
      <c r="BJ35" s="74"/>
      <c r="BK35" s="74"/>
      <c r="BL35" s="74"/>
      <c r="BM35" s="74" t="s">
        <v>1315</v>
      </c>
      <c r="BN35" s="74" t="s">
        <v>1886</v>
      </c>
      <c r="BO35" s="74">
        <v>4000.0</v>
      </c>
      <c r="BP35" s="74" t="s">
        <v>1411</v>
      </c>
      <c r="BQ35" s="74" t="s">
        <v>1887</v>
      </c>
      <c r="BR35" s="74">
        <v>1300.0</v>
      </c>
      <c r="BS35" s="74"/>
      <c r="BT35" s="74"/>
      <c r="BU35" s="74"/>
      <c r="BV35" s="74"/>
      <c r="BW35" s="74"/>
      <c r="BX35" s="74"/>
      <c r="BZ35" s="74"/>
      <c r="CA35" s="74"/>
      <c r="CB35" s="74"/>
      <c r="CC35" s="73" t="s">
        <v>73</v>
      </c>
      <c r="CD35" s="74"/>
      <c r="CE35" s="73" t="s">
        <v>37</v>
      </c>
      <c r="CF35" s="74"/>
      <c r="CG35" s="73" t="s">
        <v>37</v>
      </c>
      <c r="CH35" s="74"/>
      <c r="CI35" s="73" t="s">
        <v>35</v>
      </c>
      <c r="CJ35" s="74" t="s">
        <v>1888</v>
      </c>
      <c r="CK35" s="73" t="s">
        <v>73</v>
      </c>
      <c r="CL35" s="74"/>
      <c r="CM35" s="73" t="s">
        <v>73</v>
      </c>
      <c r="CN35" s="74"/>
      <c r="CO35" s="73" t="s">
        <v>73</v>
      </c>
      <c r="CP35" s="74"/>
      <c r="CQ35" s="73" t="s">
        <v>35</v>
      </c>
      <c r="CR35" s="73" t="s">
        <v>1889</v>
      </c>
      <c r="CS35" s="74" t="s">
        <v>1497</v>
      </c>
      <c r="CT35" s="74" t="s">
        <v>1711</v>
      </c>
      <c r="CU35" s="79">
        <f t="shared" si="1"/>
        <v>35</v>
      </c>
      <c r="CV35" s="77">
        <f>IFERROR(__xludf.DUMMYFUNCTION("IFERROR(QUERY(Presidente!$A$3:$AD112, ""SELECT AD WHERE A = '"" &amp; $B35 &amp; ""'""),"""")"),632.0)</f>
        <v>632</v>
      </c>
    </row>
    <row r="36">
      <c r="A36" s="72">
        <v>44375.36525959491</v>
      </c>
      <c r="B36" s="73" t="s">
        <v>376</v>
      </c>
      <c r="C36" s="73" t="s">
        <v>1890</v>
      </c>
      <c r="D36" s="73">
        <v>65.0</v>
      </c>
      <c r="E36" s="74"/>
      <c r="F36" s="73" t="s">
        <v>1891</v>
      </c>
      <c r="G36" s="73" t="s">
        <v>1892</v>
      </c>
      <c r="H36" s="73" t="s">
        <v>1255</v>
      </c>
      <c r="I36" s="74"/>
      <c r="J36" s="74"/>
      <c r="K36" s="74"/>
      <c r="L36" s="74"/>
      <c r="M36" s="74"/>
      <c r="N36" s="73" t="s">
        <v>1462</v>
      </c>
      <c r="O36" s="75"/>
      <c r="P36" s="74"/>
      <c r="R36" s="73" t="s">
        <v>1261</v>
      </c>
      <c r="S36" s="73" t="s">
        <v>1262</v>
      </c>
      <c r="T36" s="74"/>
      <c r="U36" s="73" t="s">
        <v>1893</v>
      </c>
      <c r="V36" s="73" t="s">
        <v>1894</v>
      </c>
      <c r="W36" s="73" t="s">
        <v>1895</v>
      </c>
      <c r="X36" s="73" t="s">
        <v>1896</v>
      </c>
      <c r="Y36" s="74"/>
      <c r="Z36" s="73" t="s">
        <v>1897</v>
      </c>
      <c r="AA36" s="73" t="s">
        <v>73</v>
      </c>
      <c r="AB36" s="73" t="s">
        <v>73</v>
      </c>
      <c r="AC36" s="73" t="s">
        <v>73</v>
      </c>
      <c r="AD36" s="73" t="s">
        <v>1268</v>
      </c>
      <c r="AE36" s="73" t="s">
        <v>1268</v>
      </c>
      <c r="AF36" s="74"/>
      <c r="AG36" s="73" t="s">
        <v>73</v>
      </c>
      <c r="AH36" s="74"/>
      <c r="AI36" s="73" t="s">
        <v>73</v>
      </c>
      <c r="AJ36" s="74"/>
      <c r="AK36" s="73" t="s">
        <v>1314</v>
      </c>
      <c r="AL36" s="73" t="s">
        <v>1270</v>
      </c>
      <c r="AM36" s="74"/>
      <c r="AN36" s="74" t="s">
        <v>1340</v>
      </c>
      <c r="AO36" s="74" t="s">
        <v>379</v>
      </c>
      <c r="AP36" s="74">
        <v>48.0</v>
      </c>
      <c r="AQ36" s="74"/>
      <c r="AR36" s="74" t="s">
        <v>35</v>
      </c>
      <c r="AS36" s="74" t="s">
        <v>1445</v>
      </c>
      <c r="AT36" s="74" t="s">
        <v>380</v>
      </c>
      <c r="AU36" s="74">
        <v>47.0</v>
      </c>
      <c r="AV36" s="74"/>
      <c r="AW36" s="74"/>
      <c r="AX36" s="74" t="s">
        <v>1344</v>
      </c>
      <c r="AY36" s="74" t="s">
        <v>1898</v>
      </c>
      <c r="AZ36" s="74">
        <v>12.0</v>
      </c>
      <c r="BA36" s="74" t="s">
        <v>35</v>
      </c>
      <c r="BB36" s="74"/>
      <c r="BC36" s="74"/>
      <c r="BD36" s="74"/>
      <c r="BE36" s="74"/>
      <c r="BF36" s="74"/>
      <c r="BH36" s="74"/>
      <c r="BI36" s="74"/>
      <c r="BJ36" s="74"/>
      <c r="BK36" s="74"/>
      <c r="BL36" s="74"/>
      <c r="BM36" s="74" t="s">
        <v>1340</v>
      </c>
      <c r="BN36" s="74" t="s">
        <v>1899</v>
      </c>
      <c r="BO36" s="74">
        <v>5000.0</v>
      </c>
      <c r="BP36" s="74"/>
      <c r="BQ36" s="74"/>
      <c r="BR36" s="74"/>
      <c r="BS36" s="74"/>
      <c r="BT36" s="74"/>
      <c r="BU36" s="74"/>
      <c r="BV36" s="74"/>
      <c r="BW36" s="74"/>
      <c r="BX36" s="74"/>
      <c r="BZ36" s="74"/>
      <c r="CA36" s="74"/>
      <c r="CB36" s="74"/>
      <c r="CC36" s="73" t="s">
        <v>35</v>
      </c>
      <c r="CD36" s="73" t="s">
        <v>1900</v>
      </c>
      <c r="CE36" s="73" t="s">
        <v>37</v>
      </c>
      <c r="CF36" s="74"/>
      <c r="CG36" s="73" t="s">
        <v>37</v>
      </c>
      <c r="CH36" s="74"/>
      <c r="CI36" s="73" t="s">
        <v>35</v>
      </c>
      <c r="CJ36" s="74" t="s">
        <v>1901</v>
      </c>
      <c r="CK36" s="73" t="s">
        <v>73</v>
      </c>
      <c r="CL36" s="74"/>
      <c r="CM36" s="73" t="s">
        <v>73</v>
      </c>
      <c r="CN36" s="74"/>
      <c r="CO36" s="73" t="s">
        <v>73</v>
      </c>
      <c r="CP36" s="74"/>
      <c r="CQ36" s="73" t="s">
        <v>73</v>
      </c>
      <c r="CR36" s="73" t="s">
        <v>1902</v>
      </c>
      <c r="CS36" s="74" t="s">
        <v>1323</v>
      </c>
      <c r="CT36" s="74" t="s">
        <v>1454</v>
      </c>
      <c r="CU36" s="79">
        <f t="shared" si="1"/>
        <v>36</v>
      </c>
      <c r="CV36" s="77">
        <f>IFERROR(__xludf.DUMMYFUNCTION("IFERROR(QUERY(Presidente!$A$3:$AD112, ""SELECT AD WHERE A = '"" &amp; $B36 &amp; ""'""),"""")"),633.0)</f>
        <v>633</v>
      </c>
    </row>
    <row r="37">
      <c r="A37" s="72">
        <v>44375.46177446759</v>
      </c>
      <c r="B37" s="73" t="s">
        <v>386</v>
      </c>
      <c r="C37" s="73" t="s">
        <v>1903</v>
      </c>
      <c r="D37" s="73">
        <v>3.0</v>
      </c>
      <c r="E37" s="73" t="s">
        <v>1904</v>
      </c>
      <c r="F37" s="73" t="s">
        <v>1905</v>
      </c>
      <c r="G37" s="73" t="s">
        <v>1906</v>
      </c>
      <c r="H37" s="74" t="s">
        <v>1255</v>
      </c>
      <c r="I37" s="73" t="s">
        <v>1907</v>
      </c>
      <c r="J37" s="74" t="s">
        <v>1908</v>
      </c>
      <c r="K37" s="73" t="s">
        <v>1909</v>
      </c>
      <c r="L37" s="73" t="s">
        <v>1910</v>
      </c>
      <c r="M37" s="74"/>
      <c r="N37" s="73" t="s">
        <v>1260</v>
      </c>
      <c r="O37" s="78"/>
      <c r="P37" s="74"/>
      <c r="R37" s="73" t="s">
        <v>1261</v>
      </c>
      <c r="S37" s="73" t="s">
        <v>1294</v>
      </c>
      <c r="T37" s="73" t="s">
        <v>1911</v>
      </c>
      <c r="U37" s="73" t="s">
        <v>1912</v>
      </c>
      <c r="V37" s="73" t="s">
        <v>1913</v>
      </c>
      <c r="W37" s="73"/>
      <c r="X37" s="73" t="s">
        <v>1312</v>
      </c>
      <c r="Y37" s="74"/>
      <c r="Z37" s="73" t="s">
        <v>1914</v>
      </c>
      <c r="AA37" s="74" t="s">
        <v>73</v>
      </c>
      <c r="AB37" s="73" t="s">
        <v>73</v>
      </c>
      <c r="AC37" s="73" t="s">
        <v>73</v>
      </c>
      <c r="AD37" s="73" t="s">
        <v>1268</v>
      </c>
      <c r="AE37" s="73" t="s">
        <v>1268</v>
      </c>
      <c r="AF37" s="74" t="s">
        <v>1915</v>
      </c>
      <c r="AG37" s="73" t="s">
        <v>73</v>
      </c>
      <c r="AH37" s="74"/>
      <c r="AI37" s="73" t="s">
        <v>73</v>
      </c>
      <c r="AJ37" s="74"/>
      <c r="AK37" s="73" t="s">
        <v>1314</v>
      </c>
      <c r="AL37" s="73" t="s">
        <v>1916</v>
      </c>
      <c r="AM37" s="74"/>
      <c r="AN37" s="74" t="s">
        <v>1278</v>
      </c>
      <c r="AO37" s="74" t="s">
        <v>1917</v>
      </c>
      <c r="AP37" s="74">
        <v>54.0</v>
      </c>
      <c r="AQ37" s="74"/>
      <c r="AR37" s="74" t="s">
        <v>35</v>
      </c>
      <c r="AS37" s="74" t="s">
        <v>1315</v>
      </c>
      <c r="AT37" s="74" t="s">
        <v>1918</v>
      </c>
      <c r="AU37" s="74">
        <v>49.0</v>
      </c>
      <c r="AV37" s="74"/>
      <c r="AW37" s="74"/>
      <c r="AX37" s="74" t="s">
        <v>1919</v>
      </c>
      <c r="AY37" s="74" t="s">
        <v>1920</v>
      </c>
      <c r="AZ37" s="74">
        <v>52.0</v>
      </c>
      <c r="BA37" s="74"/>
      <c r="BB37" s="74" t="s">
        <v>35</v>
      </c>
      <c r="BC37" s="74"/>
      <c r="BD37" s="74"/>
      <c r="BE37" s="74"/>
      <c r="BF37" s="74"/>
      <c r="BH37" s="74"/>
      <c r="BI37" s="74"/>
      <c r="BJ37" s="74"/>
      <c r="BK37" s="74"/>
      <c r="BL37" s="74"/>
      <c r="BM37" s="74" t="s">
        <v>1278</v>
      </c>
      <c r="BN37" s="74" t="s">
        <v>1921</v>
      </c>
      <c r="BO37" s="74">
        <v>2000.0</v>
      </c>
      <c r="BP37" s="74" t="s">
        <v>1919</v>
      </c>
      <c r="BQ37" s="74" t="s">
        <v>1319</v>
      </c>
      <c r="BR37" s="74">
        <v>1200.0</v>
      </c>
      <c r="BS37" s="74" t="s">
        <v>1539</v>
      </c>
      <c r="BT37" s="74" t="s">
        <v>1922</v>
      </c>
      <c r="BU37" s="74">
        <v>800.0</v>
      </c>
      <c r="BV37" s="74"/>
      <c r="BW37" s="74"/>
      <c r="BZ37" s="74">
        <v>300.0</v>
      </c>
      <c r="CA37" s="74" t="s">
        <v>73</v>
      </c>
      <c r="CB37" s="74"/>
      <c r="CC37" s="73" t="s">
        <v>73</v>
      </c>
      <c r="CD37" s="74"/>
      <c r="CE37" s="73" t="s">
        <v>37</v>
      </c>
      <c r="CF37" s="74"/>
      <c r="CG37" s="73" t="s">
        <v>37</v>
      </c>
      <c r="CH37" s="74"/>
      <c r="CI37" s="73" t="s">
        <v>73</v>
      </c>
      <c r="CJ37" s="74"/>
      <c r="CK37" s="73" t="s">
        <v>73</v>
      </c>
      <c r="CL37" s="74"/>
      <c r="CM37" s="73" t="s">
        <v>73</v>
      </c>
      <c r="CN37" s="74"/>
      <c r="CO37" s="73" t="s">
        <v>73</v>
      </c>
      <c r="CP37" s="74"/>
      <c r="CQ37" s="73" t="s">
        <v>35</v>
      </c>
      <c r="CR37" s="73" t="s">
        <v>1923</v>
      </c>
      <c r="CS37" s="74" t="s">
        <v>1836</v>
      </c>
      <c r="CT37" s="74" t="s">
        <v>1924</v>
      </c>
      <c r="CU37" s="76">
        <f t="shared" si="1"/>
        <v>37</v>
      </c>
      <c r="CV37" s="77">
        <f>IFERROR(__xludf.DUMMYFUNCTION("IFERROR(QUERY(Presidente!$A$3:$AD112, ""SELECT AD WHERE A = '"" &amp; $B37 &amp; ""'""),"""")"),634.0)</f>
        <v>634</v>
      </c>
    </row>
    <row r="38">
      <c r="A38" s="72">
        <v>44375.368403298606</v>
      </c>
      <c r="B38" s="73" t="s">
        <v>396</v>
      </c>
      <c r="C38" s="73" t="s">
        <v>1925</v>
      </c>
      <c r="D38" s="73">
        <v>269.0</v>
      </c>
      <c r="E38" s="73" t="s">
        <v>1926</v>
      </c>
      <c r="F38" s="73" t="s">
        <v>1927</v>
      </c>
      <c r="G38" s="73" t="s">
        <v>1928</v>
      </c>
      <c r="H38" s="74" t="s">
        <v>1929</v>
      </c>
      <c r="I38" s="73" t="s">
        <v>1930</v>
      </c>
      <c r="J38" s="74"/>
      <c r="K38" s="73" t="s">
        <v>1931</v>
      </c>
      <c r="L38" s="73" t="s">
        <v>1932</v>
      </c>
      <c r="M38" s="74"/>
      <c r="N38" s="73" t="s">
        <v>1260</v>
      </c>
      <c r="O38" s="75"/>
      <c r="P38" s="74"/>
      <c r="Q38" s="74"/>
      <c r="R38" s="73" t="s">
        <v>1261</v>
      </c>
      <c r="S38" s="73" t="s">
        <v>1294</v>
      </c>
      <c r="T38" s="73" t="s">
        <v>1479</v>
      </c>
      <c r="U38" s="74"/>
      <c r="V38" s="74"/>
      <c r="W38" s="74"/>
      <c r="X38" s="73" t="s">
        <v>1312</v>
      </c>
      <c r="Y38" s="74" t="s">
        <v>1933</v>
      </c>
      <c r="Z38" s="74"/>
      <c r="AA38" s="74" t="s">
        <v>73</v>
      </c>
      <c r="AB38" s="73" t="s">
        <v>73</v>
      </c>
      <c r="AC38" s="73" t="s">
        <v>73</v>
      </c>
      <c r="AD38" s="73" t="s">
        <v>1268</v>
      </c>
      <c r="AE38" s="73" t="s">
        <v>1268</v>
      </c>
      <c r="AF38" s="74" t="s">
        <v>1934</v>
      </c>
      <c r="AG38" s="73" t="s">
        <v>35</v>
      </c>
      <c r="AH38" s="74" t="s">
        <v>1935</v>
      </c>
      <c r="AI38" s="73" t="s">
        <v>73</v>
      </c>
      <c r="AJ38" s="74"/>
      <c r="AK38" s="73" t="s">
        <v>1314</v>
      </c>
      <c r="AL38" s="73" t="s">
        <v>1491</v>
      </c>
      <c r="AM38" s="74"/>
      <c r="AN38" s="74" t="s">
        <v>1278</v>
      </c>
      <c r="AO38" s="74" t="s">
        <v>1936</v>
      </c>
      <c r="AP38" s="74">
        <v>62.0</v>
      </c>
      <c r="AQ38" s="74"/>
      <c r="AR38" s="74" t="s">
        <v>35</v>
      </c>
      <c r="AS38" s="74" t="s">
        <v>1315</v>
      </c>
      <c r="AT38" s="74" t="s">
        <v>1937</v>
      </c>
      <c r="AU38" s="74">
        <v>52.0</v>
      </c>
      <c r="AV38" s="74"/>
      <c r="AW38" s="74" t="s">
        <v>35</v>
      </c>
      <c r="AX38" s="74"/>
      <c r="AY38" s="74"/>
      <c r="AZ38" s="74"/>
      <c r="BA38" s="74"/>
      <c r="BB38" s="74"/>
      <c r="BC38" s="74"/>
      <c r="BD38" s="74"/>
      <c r="BE38" s="74"/>
      <c r="BF38" s="74"/>
      <c r="BG38" s="74"/>
      <c r="BH38" s="74"/>
      <c r="BI38" s="74"/>
      <c r="BJ38" s="74"/>
      <c r="BK38" s="74"/>
      <c r="BL38" s="74"/>
      <c r="BM38" s="74" t="s">
        <v>1278</v>
      </c>
      <c r="BN38" s="74" t="s">
        <v>1938</v>
      </c>
      <c r="BO38" s="74">
        <v>10000.0</v>
      </c>
      <c r="BP38" s="74" t="s">
        <v>1315</v>
      </c>
      <c r="BQ38" s="74" t="s">
        <v>1939</v>
      </c>
      <c r="BR38" s="74">
        <v>1500.0</v>
      </c>
      <c r="BS38" s="74"/>
      <c r="BT38" s="74"/>
      <c r="BU38" s="74"/>
      <c r="BV38" s="74"/>
      <c r="BW38" s="74"/>
      <c r="BX38" s="74"/>
      <c r="BZ38" s="74"/>
      <c r="CA38" s="74" t="s">
        <v>73</v>
      </c>
      <c r="CB38" s="74"/>
      <c r="CC38" s="73" t="s">
        <v>73</v>
      </c>
      <c r="CD38" s="74"/>
      <c r="CE38" s="73" t="s">
        <v>37</v>
      </c>
      <c r="CF38" s="74"/>
      <c r="CG38" s="73" t="s">
        <v>37</v>
      </c>
      <c r="CH38" s="74"/>
      <c r="CI38" s="73" t="s">
        <v>35</v>
      </c>
      <c r="CJ38" s="74" t="s">
        <v>1940</v>
      </c>
      <c r="CK38" s="73" t="s">
        <v>35</v>
      </c>
      <c r="CL38" s="74" t="s">
        <v>1941</v>
      </c>
      <c r="CM38" s="73" t="s">
        <v>35</v>
      </c>
      <c r="CN38" s="74" t="s">
        <v>1942</v>
      </c>
      <c r="CO38" s="73" t="s">
        <v>35</v>
      </c>
      <c r="CP38" s="74" t="s">
        <v>1943</v>
      </c>
      <c r="CQ38" s="73" t="s">
        <v>35</v>
      </c>
      <c r="CR38" s="73" t="s">
        <v>1944</v>
      </c>
      <c r="CS38" s="74" t="s">
        <v>1497</v>
      </c>
      <c r="CT38" s="74" t="s">
        <v>1475</v>
      </c>
      <c r="CU38" s="79">
        <f t="shared" si="1"/>
        <v>38</v>
      </c>
      <c r="CV38" s="77">
        <f>IFERROR(__xludf.DUMMYFUNCTION("IFERROR(QUERY(Presidente!$A$3:$AD112, ""SELECT AD WHERE A = '"" &amp; $B38 &amp; ""'""),"""")"),635.0)</f>
        <v>635</v>
      </c>
    </row>
    <row r="39">
      <c r="A39" s="72">
        <v>44375.39434958334</v>
      </c>
      <c r="B39" s="73" t="s">
        <v>406</v>
      </c>
      <c r="C39" s="73" t="s">
        <v>1945</v>
      </c>
      <c r="D39" s="73">
        <v>16.0</v>
      </c>
      <c r="E39" s="73"/>
      <c r="F39" s="73" t="s">
        <v>1946</v>
      </c>
      <c r="G39" s="73" t="s">
        <v>1947</v>
      </c>
      <c r="H39" s="74" t="s">
        <v>1255</v>
      </c>
      <c r="I39" s="73" t="s">
        <v>1948</v>
      </c>
      <c r="J39" s="74" t="s">
        <v>1949</v>
      </c>
      <c r="K39" s="73" t="s">
        <v>413</v>
      </c>
      <c r="L39" s="74"/>
      <c r="M39" s="74"/>
      <c r="N39" s="73" t="s">
        <v>1260</v>
      </c>
      <c r="O39" s="75"/>
      <c r="P39" s="74"/>
      <c r="Q39" s="74"/>
      <c r="R39" s="73" t="s">
        <v>1261</v>
      </c>
      <c r="S39" s="73" t="s">
        <v>1294</v>
      </c>
      <c r="T39" s="74"/>
      <c r="U39" s="73" t="s">
        <v>1950</v>
      </c>
      <c r="V39" s="73" t="s">
        <v>1569</v>
      </c>
      <c r="W39" s="74"/>
      <c r="X39" s="73" t="s">
        <v>1312</v>
      </c>
      <c r="Y39" s="74"/>
      <c r="Z39" s="74"/>
      <c r="AA39" s="73" t="s">
        <v>1267</v>
      </c>
      <c r="AB39" s="73" t="s">
        <v>1267</v>
      </c>
      <c r="AC39" s="73" t="s">
        <v>73</v>
      </c>
      <c r="AD39" s="73" t="s">
        <v>1268</v>
      </c>
      <c r="AE39" s="73" t="s">
        <v>1268</v>
      </c>
      <c r="AF39" s="74" t="s">
        <v>1951</v>
      </c>
      <c r="AG39" s="73" t="s">
        <v>73</v>
      </c>
      <c r="AH39" s="74"/>
      <c r="AI39" s="73" t="s">
        <v>73</v>
      </c>
      <c r="AJ39" s="74"/>
      <c r="AK39" s="73" t="s">
        <v>1314</v>
      </c>
      <c r="AL39" s="73" t="s">
        <v>1270</v>
      </c>
      <c r="AM39" s="74"/>
      <c r="AN39" s="74" t="s">
        <v>1271</v>
      </c>
      <c r="AO39" s="74" t="s">
        <v>1952</v>
      </c>
      <c r="AP39" s="74">
        <v>47.0</v>
      </c>
      <c r="AQ39" s="74"/>
      <c r="AR39" s="74" t="s">
        <v>35</v>
      </c>
      <c r="AS39" s="74" t="s">
        <v>1866</v>
      </c>
      <c r="AT39" s="74" t="s">
        <v>1953</v>
      </c>
      <c r="AU39" s="74">
        <v>48.0</v>
      </c>
      <c r="AV39" s="74"/>
      <c r="AW39" s="74" t="s">
        <v>35</v>
      </c>
      <c r="AX39" s="74" t="s">
        <v>1954</v>
      </c>
      <c r="AY39" s="74" t="s">
        <v>1955</v>
      </c>
      <c r="AZ39" s="74">
        <v>26.0</v>
      </c>
      <c r="BA39" s="74"/>
      <c r="BB39" s="74" t="s">
        <v>35</v>
      </c>
      <c r="BC39" s="74" t="s">
        <v>1954</v>
      </c>
      <c r="BD39" s="74" t="s">
        <v>1956</v>
      </c>
      <c r="BE39" s="74">
        <v>25.0</v>
      </c>
      <c r="BF39" s="74"/>
      <c r="BG39" s="74" t="s">
        <v>73</v>
      </c>
      <c r="BH39" s="74" t="s">
        <v>1275</v>
      </c>
      <c r="BI39" s="74" t="s">
        <v>1957</v>
      </c>
      <c r="BJ39" s="74">
        <v>17.0</v>
      </c>
      <c r="BK39" s="74" t="s">
        <v>35</v>
      </c>
      <c r="BL39" s="74"/>
      <c r="BM39" s="74" t="s">
        <v>1271</v>
      </c>
      <c r="BN39" s="74" t="s">
        <v>1958</v>
      </c>
      <c r="BO39" s="74">
        <v>1000.0</v>
      </c>
      <c r="BP39" s="74" t="s">
        <v>1273</v>
      </c>
      <c r="BQ39" s="74" t="s">
        <v>1959</v>
      </c>
      <c r="BR39" s="74">
        <v>1100.0</v>
      </c>
      <c r="BS39" s="74" t="s">
        <v>1960</v>
      </c>
      <c r="BT39" s="74" t="s">
        <v>1961</v>
      </c>
      <c r="BU39" s="74">
        <v>1300.0</v>
      </c>
      <c r="BV39" s="74" t="s">
        <v>1683</v>
      </c>
      <c r="BW39" s="74" t="s">
        <v>1962</v>
      </c>
      <c r="BX39" s="74">
        <v>1100.0</v>
      </c>
      <c r="BZ39" s="74">
        <v>650.0</v>
      </c>
      <c r="CA39" s="74" t="s">
        <v>1284</v>
      </c>
      <c r="CB39" s="74"/>
      <c r="CC39" s="73" t="s">
        <v>73</v>
      </c>
      <c r="CD39" s="74"/>
      <c r="CE39" s="73" t="s">
        <v>37</v>
      </c>
      <c r="CF39" s="74"/>
      <c r="CG39" s="73" t="s">
        <v>84</v>
      </c>
      <c r="CH39" s="74"/>
      <c r="CI39" s="73" t="s">
        <v>73</v>
      </c>
      <c r="CJ39" s="74"/>
      <c r="CK39" s="73" t="s">
        <v>73</v>
      </c>
      <c r="CL39" s="74"/>
      <c r="CM39" s="73" t="s">
        <v>73</v>
      </c>
      <c r="CN39" s="74"/>
      <c r="CO39" s="73" t="s">
        <v>1284</v>
      </c>
      <c r="CP39" s="74"/>
      <c r="CQ39" s="73" t="s">
        <v>35</v>
      </c>
      <c r="CR39" s="73" t="s">
        <v>1963</v>
      </c>
      <c r="CS39" s="74" t="s">
        <v>1287</v>
      </c>
      <c r="CT39" s="74" t="s">
        <v>1288</v>
      </c>
      <c r="CU39" s="79">
        <f t="shared" si="1"/>
        <v>39</v>
      </c>
      <c r="CV39" s="77">
        <f>IFERROR(__xludf.DUMMYFUNCTION("IFERROR(QUERY(Presidente!$A$3:$AD112, ""SELECT AD WHERE A = '"" &amp; $B39 &amp; ""'""),"""")"),636.0)</f>
        <v>636</v>
      </c>
    </row>
    <row r="40">
      <c r="A40" s="72">
        <v>44375.31437063657</v>
      </c>
      <c r="B40" s="73" t="s">
        <v>416</v>
      </c>
      <c r="C40" s="73" t="s">
        <v>1964</v>
      </c>
      <c r="D40" s="73">
        <v>268.0</v>
      </c>
      <c r="E40" s="73" t="s">
        <v>1965</v>
      </c>
      <c r="F40" s="73" t="s">
        <v>1966</v>
      </c>
      <c r="G40" s="73" t="s">
        <v>1967</v>
      </c>
      <c r="H40" s="74" t="s">
        <v>1255</v>
      </c>
      <c r="I40" s="73" t="s">
        <v>1968</v>
      </c>
      <c r="J40" s="74"/>
      <c r="K40" s="73" t="s">
        <v>1969</v>
      </c>
      <c r="L40" s="73" t="s">
        <v>1970</v>
      </c>
      <c r="M40" s="74"/>
      <c r="N40" s="73" t="s">
        <v>1462</v>
      </c>
      <c r="O40" s="78"/>
      <c r="P40" s="74"/>
      <c r="R40" s="73" t="s">
        <v>1261</v>
      </c>
      <c r="S40" s="73" t="s">
        <v>1294</v>
      </c>
      <c r="T40" s="73" t="s">
        <v>1971</v>
      </c>
      <c r="U40" s="74"/>
      <c r="V40" s="74"/>
      <c r="W40" s="74"/>
      <c r="X40" s="73" t="s">
        <v>1312</v>
      </c>
      <c r="Y40" s="74"/>
      <c r="Z40" s="74"/>
      <c r="AA40" s="73" t="s">
        <v>1267</v>
      </c>
      <c r="AB40" s="73" t="s">
        <v>73</v>
      </c>
      <c r="AC40" s="73" t="s">
        <v>73</v>
      </c>
      <c r="AD40" s="73" t="s">
        <v>1268</v>
      </c>
      <c r="AE40" s="73" t="s">
        <v>1268</v>
      </c>
      <c r="AF40" s="74" t="s">
        <v>1701</v>
      </c>
      <c r="AG40" s="73" t="s">
        <v>73</v>
      </c>
      <c r="AH40" s="74"/>
      <c r="AI40" s="73" t="s">
        <v>73</v>
      </c>
      <c r="AJ40" s="74"/>
      <c r="AK40" s="73" t="s">
        <v>1269</v>
      </c>
      <c r="AL40" s="73" t="s">
        <v>1299</v>
      </c>
      <c r="AM40" s="74"/>
      <c r="AN40" s="74" t="s">
        <v>1972</v>
      </c>
      <c r="AO40" s="74" t="s">
        <v>1973</v>
      </c>
      <c r="AP40" s="74">
        <v>45.0</v>
      </c>
      <c r="AQ40" s="74"/>
      <c r="AR40" s="74" t="s">
        <v>35</v>
      </c>
      <c r="AS40" s="74" t="s">
        <v>1315</v>
      </c>
      <c r="AT40" s="74" t="s">
        <v>421</v>
      </c>
      <c r="AU40" s="74">
        <v>43.0</v>
      </c>
      <c r="AV40" s="74"/>
      <c r="AW40" s="74" t="s">
        <v>35</v>
      </c>
      <c r="AX40" s="74" t="s">
        <v>1411</v>
      </c>
      <c r="AY40" s="74" t="s">
        <v>1974</v>
      </c>
      <c r="AZ40" s="74">
        <v>12.0</v>
      </c>
      <c r="BA40" s="74" t="s">
        <v>35</v>
      </c>
      <c r="BB40" s="74"/>
      <c r="BC40" s="74" t="s">
        <v>1975</v>
      </c>
      <c r="BD40" s="74" t="s">
        <v>1976</v>
      </c>
      <c r="BE40" s="74">
        <v>24.0</v>
      </c>
      <c r="BF40" s="74"/>
      <c r="BG40" s="74" t="s">
        <v>35</v>
      </c>
      <c r="BH40" s="74"/>
      <c r="BI40" s="74"/>
      <c r="BJ40" s="74"/>
      <c r="BK40" s="74"/>
      <c r="BL40" s="74"/>
      <c r="BM40" s="74" t="s">
        <v>1972</v>
      </c>
      <c r="BN40" s="74" t="s">
        <v>1973</v>
      </c>
      <c r="BO40" s="74">
        <v>2500.0</v>
      </c>
      <c r="BP40" s="74" t="s">
        <v>1315</v>
      </c>
      <c r="BQ40" s="74" t="s">
        <v>421</v>
      </c>
      <c r="BR40" s="74">
        <v>2500.0</v>
      </c>
      <c r="BS40" s="74" t="s">
        <v>1975</v>
      </c>
      <c r="BT40" s="74" t="s">
        <v>1976</v>
      </c>
      <c r="BU40" s="74">
        <v>1900.0</v>
      </c>
      <c r="BV40" s="74"/>
      <c r="BW40" s="74"/>
      <c r="BZ40" s="74"/>
      <c r="CA40" s="74" t="s">
        <v>73</v>
      </c>
      <c r="CB40" s="74"/>
      <c r="CC40" s="73" t="s">
        <v>73</v>
      </c>
      <c r="CD40" s="74"/>
      <c r="CE40" s="73" t="s">
        <v>37</v>
      </c>
      <c r="CF40" s="74"/>
      <c r="CG40" s="73" t="s">
        <v>37</v>
      </c>
      <c r="CH40" s="74"/>
      <c r="CI40" s="73" t="s">
        <v>35</v>
      </c>
      <c r="CJ40" s="74"/>
      <c r="CK40" s="73" t="s">
        <v>73</v>
      </c>
      <c r="CL40" s="74"/>
      <c r="CM40" s="73" t="s">
        <v>35</v>
      </c>
      <c r="CN40" s="74"/>
      <c r="CO40" s="73" t="s">
        <v>73</v>
      </c>
      <c r="CP40" s="74"/>
      <c r="CQ40" s="73" t="s">
        <v>35</v>
      </c>
      <c r="CR40" s="73" t="s">
        <v>1977</v>
      </c>
      <c r="CS40" s="74" t="s">
        <v>1836</v>
      </c>
      <c r="CT40" s="74" t="s">
        <v>1301</v>
      </c>
      <c r="CU40" s="79">
        <f t="shared" si="1"/>
        <v>40</v>
      </c>
      <c r="CV40" s="77">
        <f>IFERROR(__xludf.DUMMYFUNCTION("IFERROR(QUERY(Presidente!$A$3:$AD112, ""SELECT AD WHERE A = '"" &amp; $B40 &amp; ""'""),"""")"),637.0)</f>
        <v>637</v>
      </c>
    </row>
    <row r="41">
      <c r="A41" s="72">
        <v>44375.40891946759</v>
      </c>
      <c r="B41" s="73" t="s">
        <v>426</v>
      </c>
      <c r="C41" s="73" t="s">
        <v>1978</v>
      </c>
      <c r="D41" s="73">
        <v>98.0</v>
      </c>
      <c r="E41" s="74"/>
      <c r="F41" s="73" t="s">
        <v>1979</v>
      </c>
      <c r="G41" s="73" t="s">
        <v>1980</v>
      </c>
      <c r="H41" s="74" t="s">
        <v>1329</v>
      </c>
      <c r="I41" s="73" t="s">
        <v>1981</v>
      </c>
      <c r="J41" s="74" t="s">
        <v>1982</v>
      </c>
      <c r="K41" s="74"/>
      <c r="L41" s="74"/>
      <c r="M41" s="74"/>
      <c r="N41" s="73" t="s">
        <v>1260</v>
      </c>
      <c r="O41" s="75"/>
      <c r="P41" s="74"/>
      <c r="Q41" s="74"/>
      <c r="R41" s="73" t="s">
        <v>1261</v>
      </c>
      <c r="S41" s="73" t="s">
        <v>1262</v>
      </c>
      <c r="T41" s="74"/>
      <c r="U41" s="74"/>
      <c r="V41" s="74"/>
      <c r="W41" s="74"/>
      <c r="X41" s="74"/>
      <c r="Y41" s="74"/>
      <c r="Z41" s="74"/>
      <c r="AA41" s="74" t="s">
        <v>1284</v>
      </c>
      <c r="AB41" s="73" t="s">
        <v>73</v>
      </c>
      <c r="AC41" s="73" t="s">
        <v>73</v>
      </c>
      <c r="AD41" s="73" t="s">
        <v>1268</v>
      </c>
      <c r="AE41" s="73" t="s">
        <v>1268</v>
      </c>
      <c r="AF41" s="74" t="s">
        <v>1284</v>
      </c>
      <c r="AG41" s="73" t="s">
        <v>73</v>
      </c>
      <c r="AH41" s="74"/>
      <c r="AI41" s="73" t="s">
        <v>73</v>
      </c>
      <c r="AJ41" s="74"/>
      <c r="AK41" s="73" t="s">
        <v>1314</v>
      </c>
      <c r="AL41" s="73" t="s">
        <v>1983</v>
      </c>
      <c r="AM41" s="74"/>
      <c r="AN41" s="74" t="s">
        <v>1984</v>
      </c>
      <c r="AO41" s="74" t="s">
        <v>1985</v>
      </c>
      <c r="AP41" s="74">
        <v>62.0</v>
      </c>
      <c r="AQ41" s="74"/>
      <c r="AR41" s="74" t="s">
        <v>1986</v>
      </c>
      <c r="AS41" s="74" t="s">
        <v>1987</v>
      </c>
      <c r="AT41" s="74" t="s">
        <v>1988</v>
      </c>
      <c r="AU41" s="74">
        <v>17.0</v>
      </c>
      <c r="AV41" s="74" t="s">
        <v>1986</v>
      </c>
      <c r="AW41" s="74"/>
      <c r="AX41" s="74"/>
      <c r="AY41" s="74"/>
      <c r="AZ41" s="74"/>
      <c r="BA41" s="74"/>
      <c r="BB41" s="74"/>
      <c r="BC41" s="74"/>
      <c r="BD41" s="74"/>
      <c r="BE41" s="74"/>
      <c r="BF41" s="74"/>
      <c r="BG41" s="74"/>
      <c r="BH41" s="74"/>
      <c r="BI41" s="74"/>
      <c r="BJ41" s="74"/>
      <c r="BK41" s="74"/>
      <c r="BL41" s="74"/>
      <c r="BM41" s="74" t="s">
        <v>1984</v>
      </c>
      <c r="BN41" s="74" t="s">
        <v>1989</v>
      </c>
      <c r="BO41" s="74"/>
      <c r="BP41" s="74"/>
      <c r="BQ41" s="74"/>
      <c r="BR41" s="74"/>
      <c r="BS41" s="74"/>
      <c r="BT41" s="74"/>
      <c r="BU41" s="74"/>
      <c r="BV41" s="74"/>
      <c r="BW41" s="74"/>
      <c r="BZ41" s="74"/>
      <c r="CA41" s="74" t="s">
        <v>1284</v>
      </c>
      <c r="CB41" s="74"/>
      <c r="CC41" s="73" t="s">
        <v>73</v>
      </c>
      <c r="CD41" s="74"/>
      <c r="CE41" s="73" t="s">
        <v>37</v>
      </c>
      <c r="CF41" s="74"/>
      <c r="CG41" s="73" t="s">
        <v>37</v>
      </c>
      <c r="CH41" s="74"/>
      <c r="CI41" s="73" t="s">
        <v>73</v>
      </c>
      <c r="CJ41" s="74"/>
      <c r="CK41" s="73" t="s">
        <v>73</v>
      </c>
      <c r="CL41" s="74"/>
      <c r="CM41" s="73" t="s">
        <v>73</v>
      </c>
      <c r="CN41" s="74"/>
      <c r="CO41" s="73" t="s">
        <v>73</v>
      </c>
      <c r="CP41" s="74"/>
      <c r="CQ41" s="73" t="s">
        <v>35</v>
      </c>
      <c r="CR41" s="73" t="s">
        <v>1990</v>
      </c>
      <c r="CS41" s="74" t="s">
        <v>1497</v>
      </c>
      <c r="CT41" s="74" t="s">
        <v>1991</v>
      </c>
      <c r="CU41" s="79">
        <f t="shared" si="1"/>
        <v>41</v>
      </c>
      <c r="CV41" s="77">
        <f>IFERROR(__xludf.DUMMYFUNCTION("IFERROR(QUERY(Presidente!$A$3:$AD112, ""SELECT AD WHERE A = '"" &amp; $B41 &amp; ""'""),"""")"),638.0)</f>
        <v>638</v>
      </c>
    </row>
    <row r="42">
      <c r="A42" s="72">
        <v>44375.301572233795</v>
      </c>
      <c r="B42" s="73" t="s">
        <v>436</v>
      </c>
      <c r="C42" s="73" t="s">
        <v>1992</v>
      </c>
      <c r="D42" s="73">
        <v>44.0</v>
      </c>
      <c r="E42" s="73" t="s">
        <v>1993</v>
      </c>
      <c r="F42" s="73" t="s">
        <v>1994</v>
      </c>
      <c r="G42" s="73" t="s">
        <v>1995</v>
      </c>
      <c r="H42" s="74" t="s">
        <v>1255</v>
      </c>
      <c r="I42" s="73" t="s">
        <v>1996</v>
      </c>
      <c r="J42" s="74" t="s">
        <v>1997</v>
      </c>
      <c r="K42" s="73" t="s">
        <v>1998</v>
      </c>
      <c r="L42" s="73" t="s">
        <v>1999</v>
      </c>
      <c r="M42" s="74"/>
      <c r="N42" s="73" t="s">
        <v>1260</v>
      </c>
      <c r="O42" s="75"/>
      <c r="P42" s="74"/>
      <c r="Q42" s="74"/>
      <c r="R42" s="73" t="s">
        <v>1261</v>
      </c>
      <c r="S42" s="73" t="s">
        <v>1294</v>
      </c>
      <c r="T42" s="73" t="s">
        <v>2000</v>
      </c>
      <c r="U42" s="74" t="s">
        <v>1284</v>
      </c>
      <c r="V42" s="74" t="s">
        <v>1284</v>
      </c>
      <c r="W42" s="74"/>
      <c r="X42" s="73" t="s">
        <v>2001</v>
      </c>
      <c r="Y42" s="74" t="s">
        <v>1284</v>
      </c>
      <c r="Z42" s="74"/>
      <c r="AA42" s="74" t="s">
        <v>1267</v>
      </c>
      <c r="AB42" s="73" t="s">
        <v>1267</v>
      </c>
      <c r="AC42" s="73" t="s">
        <v>73</v>
      </c>
      <c r="AD42" s="74" t="s">
        <v>2002</v>
      </c>
      <c r="AE42" s="73" t="s">
        <v>1268</v>
      </c>
      <c r="AF42" s="74" t="s">
        <v>1284</v>
      </c>
      <c r="AG42" s="73" t="s">
        <v>73</v>
      </c>
      <c r="AH42" s="74"/>
      <c r="AI42" s="73" t="s">
        <v>73</v>
      </c>
      <c r="AJ42" s="74"/>
      <c r="AK42" s="73" t="s">
        <v>1314</v>
      </c>
      <c r="AL42" s="73" t="s">
        <v>1491</v>
      </c>
      <c r="AM42" s="74"/>
      <c r="AN42" s="74" t="s">
        <v>1278</v>
      </c>
      <c r="AO42" s="74" t="s">
        <v>439</v>
      </c>
      <c r="AP42" s="74" t="s">
        <v>1534</v>
      </c>
      <c r="AQ42" s="74"/>
      <c r="AR42" s="74"/>
      <c r="AS42" s="74" t="s">
        <v>1315</v>
      </c>
      <c r="AT42" s="74" t="s">
        <v>440</v>
      </c>
      <c r="AU42" s="74" t="s">
        <v>1534</v>
      </c>
      <c r="AV42" s="74"/>
      <c r="AW42" s="74" t="s">
        <v>35</v>
      </c>
      <c r="AX42" s="74"/>
      <c r="AY42" s="74"/>
      <c r="AZ42" s="74"/>
      <c r="BA42" s="74"/>
      <c r="BB42" s="74"/>
      <c r="BC42" s="74"/>
      <c r="BD42" s="74"/>
      <c r="BE42" s="74"/>
      <c r="BF42" s="74"/>
      <c r="BG42" s="74"/>
      <c r="BH42" s="74"/>
      <c r="BI42" s="74"/>
      <c r="BJ42" s="74"/>
      <c r="BK42" s="74"/>
      <c r="BL42" s="74"/>
      <c r="BM42" s="74" t="s">
        <v>1278</v>
      </c>
      <c r="BN42" s="74" t="s">
        <v>1394</v>
      </c>
      <c r="BO42" s="74">
        <v>2000.0</v>
      </c>
      <c r="BP42" s="74" t="s">
        <v>1315</v>
      </c>
      <c r="BQ42" s="74" t="s">
        <v>2003</v>
      </c>
      <c r="BR42" s="74">
        <v>1000.0</v>
      </c>
      <c r="BS42" s="74"/>
      <c r="BT42" s="74"/>
      <c r="BU42" s="74"/>
      <c r="BV42" s="74"/>
      <c r="BW42" s="74"/>
      <c r="BX42" s="74"/>
      <c r="BZ42" s="74"/>
      <c r="CA42" s="74" t="s">
        <v>73</v>
      </c>
      <c r="CB42" s="74"/>
      <c r="CC42" s="73" t="s">
        <v>73</v>
      </c>
      <c r="CD42" s="74"/>
      <c r="CE42" s="73" t="s">
        <v>1416</v>
      </c>
      <c r="CF42" s="74"/>
      <c r="CG42" s="73" t="s">
        <v>84</v>
      </c>
      <c r="CH42" s="74"/>
      <c r="CI42" s="73" t="s">
        <v>73</v>
      </c>
      <c r="CJ42" s="74"/>
      <c r="CK42" s="73" t="s">
        <v>73</v>
      </c>
      <c r="CL42" s="74"/>
      <c r="CM42" s="73" t="s">
        <v>73</v>
      </c>
      <c r="CN42" s="74"/>
      <c r="CO42" s="73" t="s">
        <v>73</v>
      </c>
      <c r="CP42" s="74"/>
      <c r="CQ42" s="73" t="s">
        <v>2004</v>
      </c>
      <c r="CR42" s="73" t="s">
        <v>2005</v>
      </c>
      <c r="CS42" s="74" t="s">
        <v>1287</v>
      </c>
      <c r="CT42" s="74" t="s">
        <v>1542</v>
      </c>
      <c r="CU42" s="79">
        <f t="shared" si="1"/>
        <v>42</v>
      </c>
      <c r="CV42" s="77">
        <f>IFERROR(__xludf.DUMMYFUNCTION("IFERROR(QUERY(Presidente!$A$3:$AD112, ""SELECT AD WHERE A = '"" &amp; $B42 &amp; ""'""),"""")"),639.0)</f>
        <v>639</v>
      </c>
    </row>
    <row r="43">
      <c r="A43" s="72">
        <v>44375.33584480324</v>
      </c>
      <c r="B43" s="73" t="s">
        <v>446</v>
      </c>
      <c r="C43" s="73" t="s">
        <v>2006</v>
      </c>
      <c r="D43" s="73">
        <v>2000.0</v>
      </c>
      <c r="E43" s="73" t="s">
        <v>2007</v>
      </c>
      <c r="F43" s="73" t="s">
        <v>2008</v>
      </c>
      <c r="G43" s="73" t="s">
        <v>2009</v>
      </c>
      <c r="H43" s="74" t="s">
        <v>1329</v>
      </c>
      <c r="I43" s="73" t="s">
        <v>2010</v>
      </c>
      <c r="J43" s="74" t="s">
        <v>2011</v>
      </c>
      <c r="K43" s="74" t="s">
        <v>2012</v>
      </c>
      <c r="L43" s="73" t="s">
        <v>2013</v>
      </c>
      <c r="M43" s="74"/>
      <c r="N43" s="73" t="s">
        <v>1260</v>
      </c>
      <c r="O43" s="75"/>
      <c r="P43" s="74"/>
      <c r="Q43" s="74"/>
      <c r="R43" s="73" t="s">
        <v>2014</v>
      </c>
      <c r="S43" s="73" t="s">
        <v>1262</v>
      </c>
      <c r="T43" s="73" t="s">
        <v>2015</v>
      </c>
      <c r="U43" s="74"/>
      <c r="V43" s="74"/>
      <c r="W43" s="73" t="s">
        <v>2016</v>
      </c>
      <c r="X43" s="74"/>
      <c r="Y43" s="74"/>
      <c r="Z43" s="74"/>
      <c r="AA43" s="74" t="s">
        <v>1284</v>
      </c>
      <c r="AB43" s="73" t="s">
        <v>73</v>
      </c>
      <c r="AC43" s="73" t="s">
        <v>73</v>
      </c>
      <c r="AD43" s="73" t="s">
        <v>1268</v>
      </c>
      <c r="AE43" s="73" t="s">
        <v>1268</v>
      </c>
      <c r="AF43" s="74" t="s">
        <v>1284</v>
      </c>
      <c r="AG43" s="73" t="s">
        <v>73</v>
      </c>
      <c r="AH43" s="74"/>
      <c r="AI43" s="73" t="s">
        <v>73</v>
      </c>
      <c r="AJ43" s="74"/>
      <c r="AK43" s="73" t="s">
        <v>1314</v>
      </c>
      <c r="AL43" s="73" t="s">
        <v>1299</v>
      </c>
      <c r="AM43" s="74"/>
      <c r="AN43" s="74" t="s">
        <v>1273</v>
      </c>
      <c r="AO43" s="74" t="s">
        <v>2017</v>
      </c>
      <c r="AP43" s="74">
        <v>44.0</v>
      </c>
      <c r="AQ43" s="74"/>
      <c r="AR43" s="74" t="s">
        <v>35</v>
      </c>
      <c r="AS43" s="74" t="s">
        <v>1275</v>
      </c>
      <c r="AT43" s="74" t="s">
        <v>2018</v>
      </c>
      <c r="AU43" s="74">
        <v>22.0</v>
      </c>
      <c r="AV43" s="74" t="s">
        <v>35</v>
      </c>
      <c r="AW43" s="74"/>
      <c r="AX43" s="74"/>
      <c r="AY43" s="74"/>
      <c r="AZ43" s="74"/>
      <c r="BA43" s="74"/>
      <c r="BB43" s="74"/>
      <c r="BC43" s="74"/>
      <c r="BD43" s="74"/>
      <c r="BE43" s="74"/>
      <c r="BF43" s="74"/>
      <c r="BG43" s="74"/>
      <c r="BH43" s="74"/>
      <c r="BI43" s="74"/>
      <c r="BJ43" s="74"/>
      <c r="BK43" s="74"/>
      <c r="BL43" s="74"/>
      <c r="BM43" s="74" t="s">
        <v>1273</v>
      </c>
      <c r="BN43" s="74" t="s">
        <v>2019</v>
      </c>
      <c r="BO43" s="74">
        <v>6000.0</v>
      </c>
      <c r="BP43" s="74"/>
      <c r="BQ43" s="74"/>
      <c r="BR43" s="74"/>
      <c r="BS43" s="74"/>
      <c r="BT43" s="74"/>
      <c r="BU43" s="74"/>
      <c r="BV43" s="74"/>
      <c r="BW43" s="74"/>
      <c r="BX43" s="74"/>
      <c r="BZ43" s="74"/>
      <c r="CA43" s="74" t="s">
        <v>73</v>
      </c>
      <c r="CB43" s="74"/>
      <c r="CC43" s="73" t="s">
        <v>73</v>
      </c>
      <c r="CD43" s="74"/>
      <c r="CE43" s="73" t="s">
        <v>37</v>
      </c>
      <c r="CF43" s="74"/>
      <c r="CG43" s="73" t="s">
        <v>37</v>
      </c>
      <c r="CH43" s="74"/>
      <c r="CI43" s="73" t="s">
        <v>73</v>
      </c>
      <c r="CJ43" s="74"/>
      <c r="CK43" s="73" t="s">
        <v>73</v>
      </c>
      <c r="CL43" s="74"/>
      <c r="CM43" s="73" t="s">
        <v>73</v>
      </c>
      <c r="CN43" s="74"/>
      <c r="CO43" s="73" t="s">
        <v>73</v>
      </c>
      <c r="CP43" s="74"/>
      <c r="CQ43" s="73" t="s">
        <v>35</v>
      </c>
      <c r="CR43" s="73" t="s">
        <v>2020</v>
      </c>
      <c r="CS43" s="74" t="s">
        <v>1287</v>
      </c>
      <c r="CT43" s="74" t="s">
        <v>1288</v>
      </c>
      <c r="CU43" s="79">
        <f t="shared" si="1"/>
        <v>43</v>
      </c>
      <c r="CV43" s="77">
        <f>IFERROR(__xludf.DUMMYFUNCTION("IFERROR(QUERY(Presidente!$A$3:$AD112, ""SELECT AD WHERE A = '"" &amp; $B43 &amp; ""'""),"""")"),640.0)</f>
        <v>640</v>
      </c>
    </row>
    <row r="44">
      <c r="A44" s="72">
        <v>44375.332404189816</v>
      </c>
      <c r="B44" s="73" t="s">
        <v>456</v>
      </c>
      <c r="C44" s="73" t="s">
        <v>2021</v>
      </c>
      <c r="D44" s="73">
        <v>34.0</v>
      </c>
      <c r="E44" s="73" t="s">
        <v>1291</v>
      </c>
      <c r="F44" s="73" t="s">
        <v>2022</v>
      </c>
      <c r="G44" s="73" t="s">
        <v>2023</v>
      </c>
      <c r="H44" s="74" t="s">
        <v>1255</v>
      </c>
      <c r="I44" s="73" t="s">
        <v>2024</v>
      </c>
      <c r="J44" s="74" t="s">
        <v>2025</v>
      </c>
      <c r="K44" s="73" t="s">
        <v>2026</v>
      </c>
      <c r="L44" s="73" t="s">
        <v>2027</v>
      </c>
      <c r="M44" s="73" t="s">
        <v>2028</v>
      </c>
      <c r="N44" s="73" t="s">
        <v>1260</v>
      </c>
      <c r="O44" s="78"/>
      <c r="R44" s="73" t="s">
        <v>1261</v>
      </c>
      <c r="S44" s="73" t="s">
        <v>1262</v>
      </c>
      <c r="T44" s="73" t="s">
        <v>2029</v>
      </c>
      <c r="U44" s="73" t="s">
        <v>2030</v>
      </c>
      <c r="V44" s="73" t="s">
        <v>2031</v>
      </c>
      <c r="W44" s="73" t="s">
        <v>2032</v>
      </c>
      <c r="Z44" s="73" t="s">
        <v>2033</v>
      </c>
      <c r="AA44" s="73" t="s">
        <v>73</v>
      </c>
      <c r="AB44" s="73" t="s">
        <v>73</v>
      </c>
      <c r="AC44" s="73" t="s">
        <v>35</v>
      </c>
      <c r="AD44" s="73" t="s">
        <v>1268</v>
      </c>
      <c r="AE44" s="73" t="s">
        <v>1268</v>
      </c>
      <c r="AG44" s="73" t="s">
        <v>73</v>
      </c>
      <c r="AI44" s="73" t="s">
        <v>73</v>
      </c>
      <c r="AK44" s="73" t="s">
        <v>1314</v>
      </c>
      <c r="AL44" s="73" t="s">
        <v>1299</v>
      </c>
      <c r="CC44" s="73" t="s">
        <v>35</v>
      </c>
      <c r="CE44" s="73" t="s">
        <v>37</v>
      </c>
      <c r="CG44" s="73" t="s">
        <v>37</v>
      </c>
      <c r="CI44" s="73" t="s">
        <v>73</v>
      </c>
      <c r="CK44" s="73" t="s">
        <v>73</v>
      </c>
      <c r="CM44" s="73" t="s">
        <v>35</v>
      </c>
      <c r="CO44" s="73" t="s">
        <v>73</v>
      </c>
      <c r="CQ44" s="73" t="s">
        <v>35</v>
      </c>
      <c r="CR44" s="73" t="s">
        <v>2034</v>
      </c>
      <c r="CT44" s="74" t="s">
        <v>1382</v>
      </c>
      <c r="CU44" s="79">
        <f t="shared" si="1"/>
        <v>44</v>
      </c>
      <c r="CV44" s="77">
        <f>IFERROR(__xludf.DUMMYFUNCTION("IFERROR(QUERY(Presidente!$A$3:$AD112, ""SELECT AD WHERE A = '"" &amp; $B44 &amp; ""'""),"""")"),641.0)</f>
        <v>641</v>
      </c>
    </row>
    <row r="45">
      <c r="A45" s="72">
        <v>44375.34230768519</v>
      </c>
      <c r="B45" s="73" t="s">
        <v>466</v>
      </c>
      <c r="C45" s="73" t="s">
        <v>2035</v>
      </c>
      <c r="D45" s="73">
        <v>79.0</v>
      </c>
      <c r="E45" s="74"/>
      <c r="F45" s="73" t="s">
        <v>2036</v>
      </c>
      <c r="G45" s="73" t="s">
        <v>2037</v>
      </c>
      <c r="H45" s="74" t="s">
        <v>1255</v>
      </c>
      <c r="I45" s="73" t="s">
        <v>2038</v>
      </c>
      <c r="J45" s="74" t="s">
        <v>2039</v>
      </c>
      <c r="K45" s="74" t="s">
        <v>2040</v>
      </c>
      <c r="L45" s="74" t="s">
        <v>2041</v>
      </c>
      <c r="M45" s="74"/>
      <c r="N45" s="73" t="s">
        <v>1260</v>
      </c>
      <c r="O45" s="78"/>
      <c r="P45" s="74"/>
      <c r="R45" s="73" t="s">
        <v>1261</v>
      </c>
      <c r="S45" s="73" t="s">
        <v>1294</v>
      </c>
      <c r="T45" s="73" t="s">
        <v>2042</v>
      </c>
      <c r="U45" s="74"/>
      <c r="V45" s="74"/>
      <c r="W45" s="74"/>
      <c r="X45" s="73" t="s">
        <v>2043</v>
      </c>
      <c r="Y45" s="74"/>
      <c r="Z45" s="74"/>
      <c r="AA45" s="73" t="s">
        <v>73</v>
      </c>
      <c r="AB45" s="73" t="s">
        <v>1267</v>
      </c>
      <c r="AC45" s="73" t="s">
        <v>73</v>
      </c>
      <c r="AD45" s="73" t="s">
        <v>1268</v>
      </c>
      <c r="AE45" s="73" t="s">
        <v>1268</v>
      </c>
      <c r="AF45" s="74"/>
      <c r="AG45" s="73" t="s">
        <v>73</v>
      </c>
      <c r="AH45" s="74"/>
      <c r="AI45" s="73" t="s">
        <v>73</v>
      </c>
      <c r="AJ45" s="74"/>
      <c r="AK45" s="73" t="s">
        <v>1314</v>
      </c>
      <c r="AL45" s="73" t="s">
        <v>2044</v>
      </c>
      <c r="AM45" s="74"/>
      <c r="AN45" s="74" t="s">
        <v>1340</v>
      </c>
      <c r="AO45" s="74"/>
      <c r="AP45" s="74">
        <v>45.0</v>
      </c>
      <c r="AQ45" s="74"/>
      <c r="AR45" s="74" t="s">
        <v>35</v>
      </c>
      <c r="AS45" s="74" t="s">
        <v>1445</v>
      </c>
      <c r="AT45" s="74" t="s">
        <v>470</v>
      </c>
      <c r="AU45" s="74">
        <v>43.0</v>
      </c>
      <c r="AV45" s="74"/>
      <c r="AW45" s="74" t="s">
        <v>35</v>
      </c>
      <c r="AX45" s="74" t="s">
        <v>1348</v>
      </c>
      <c r="AY45" s="74" t="s">
        <v>2045</v>
      </c>
      <c r="AZ45" s="74">
        <v>2.0</v>
      </c>
      <c r="BA45" s="74"/>
      <c r="BB45" s="74"/>
      <c r="BC45" s="74"/>
      <c r="BD45" s="74"/>
      <c r="BE45" s="74"/>
      <c r="BF45" s="74"/>
      <c r="BG45" s="74"/>
      <c r="BH45" s="74"/>
      <c r="BI45" s="74"/>
      <c r="BJ45" s="74"/>
      <c r="BK45" s="74"/>
      <c r="BL45" s="74"/>
      <c r="BM45" s="74" t="s">
        <v>1340</v>
      </c>
      <c r="BN45" s="74" t="s">
        <v>1377</v>
      </c>
      <c r="BO45" s="74">
        <v>1300.0</v>
      </c>
      <c r="BP45" s="74" t="s">
        <v>1445</v>
      </c>
      <c r="BQ45" s="74" t="s">
        <v>2046</v>
      </c>
      <c r="BR45" s="74">
        <v>1000.0</v>
      </c>
      <c r="BS45" s="74"/>
      <c r="BT45" s="74"/>
      <c r="BU45" s="74"/>
      <c r="BV45" s="74"/>
      <c r="BW45" s="74"/>
      <c r="BZ45" s="74"/>
      <c r="CA45" s="74" t="s">
        <v>73</v>
      </c>
      <c r="CB45" s="74"/>
      <c r="CC45" s="73" t="s">
        <v>73</v>
      </c>
      <c r="CD45" s="74"/>
      <c r="CE45" s="73" t="s">
        <v>1416</v>
      </c>
      <c r="CF45" s="74"/>
      <c r="CG45" s="73" t="s">
        <v>1416</v>
      </c>
      <c r="CH45" s="74"/>
      <c r="CI45" s="73" t="s">
        <v>35</v>
      </c>
      <c r="CJ45" s="74"/>
      <c r="CK45" s="73" t="s">
        <v>73</v>
      </c>
      <c r="CL45" s="74"/>
      <c r="CM45" s="73" t="s">
        <v>35</v>
      </c>
      <c r="CN45" s="73" t="s">
        <v>2047</v>
      </c>
      <c r="CO45" s="73" t="s">
        <v>73</v>
      </c>
      <c r="CP45" s="74"/>
      <c r="CQ45" s="73" t="s">
        <v>35</v>
      </c>
      <c r="CR45" s="73" t="s">
        <v>2048</v>
      </c>
      <c r="CS45" s="74" t="s">
        <v>1836</v>
      </c>
      <c r="CT45" s="74" t="s">
        <v>1382</v>
      </c>
      <c r="CU45" s="79">
        <f t="shared" si="1"/>
        <v>45</v>
      </c>
      <c r="CV45" s="77">
        <f>IFERROR(__xludf.DUMMYFUNCTION("IFERROR(QUERY(Presidente!$A$3:$AD112, ""SELECT AD WHERE A = '"" &amp; $B45 &amp; ""'""),"""")"),642.0)</f>
        <v>642</v>
      </c>
    </row>
    <row r="46">
      <c r="A46" s="72">
        <v>44375.4486368287</v>
      </c>
      <c r="B46" s="73" t="s">
        <v>476</v>
      </c>
      <c r="C46" s="73" t="s">
        <v>2049</v>
      </c>
      <c r="D46" s="73">
        <v>30.0</v>
      </c>
      <c r="E46" s="74"/>
      <c r="F46" s="73" t="s">
        <v>2050</v>
      </c>
      <c r="G46" s="74" t="s">
        <v>2051</v>
      </c>
      <c r="H46" s="74" t="s">
        <v>1255</v>
      </c>
      <c r="I46" s="73" t="s">
        <v>2052</v>
      </c>
      <c r="J46" s="74" t="s">
        <v>2053</v>
      </c>
      <c r="K46" s="74"/>
      <c r="L46" s="74"/>
      <c r="M46" s="74"/>
      <c r="N46" s="73" t="s">
        <v>1260</v>
      </c>
      <c r="O46" s="75"/>
      <c r="P46" s="74"/>
      <c r="R46" s="73" t="s">
        <v>1261</v>
      </c>
      <c r="S46" s="73" t="s">
        <v>1294</v>
      </c>
      <c r="T46" s="73" t="s">
        <v>2054</v>
      </c>
      <c r="U46" s="73" t="s">
        <v>2055</v>
      </c>
      <c r="V46" s="73" t="s">
        <v>2056</v>
      </c>
      <c r="W46" s="74"/>
      <c r="X46" s="73" t="s">
        <v>2057</v>
      </c>
      <c r="Y46" s="74"/>
      <c r="Z46" s="74"/>
      <c r="AA46" s="73" t="s">
        <v>1267</v>
      </c>
      <c r="AB46" s="73" t="s">
        <v>73</v>
      </c>
      <c r="AC46" s="73" t="s">
        <v>73</v>
      </c>
      <c r="AD46" s="73" t="s">
        <v>1268</v>
      </c>
      <c r="AE46" s="73" t="s">
        <v>1268</v>
      </c>
      <c r="AF46" s="74"/>
      <c r="AG46" s="73" t="s">
        <v>73</v>
      </c>
      <c r="AH46" s="74"/>
      <c r="AI46" s="73" t="s">
        <v>73</v>
      </c>
      <c r="AJ46" s="74"/>
      <c r="AK46" s="73" t="s">
        <v>1314</v>
      </c>
      <c r="AL46" s="73" t="s">
        <v>1278</v>
      </c>
      <c r="AM46" s="74"/>
      <c r="AN46" s="74" t="s">
        <v>1278</v>
      </c>
      <c r="AO46" s="74" t="s">
        <v>2058</v>
      </c>
      <c r="AP46" s="74">
        <v>52.0</v>
      </c>
      <c r="AQ46" s="74"/>
      <c r="AR46" s="74" t="s">
        <v>35</v>
      </c>
      <c r="AS46" s="74"/>
      <c r="AT46" s="74"/>
      <c r="AU46" s="74"/>
      <c r="AV46" s="74"/>
      <c r="AW46" s="74"/>
      <c r="AX46" s="74"/>
      <c r="AY46" s="74"/>
      <c r="AZ46" s="74"/>
      <c r="BA46" s="74"/>
      <c r="BB46" s="74"/>
      <c r="BC46" s="74"/>
      <c r="BD46" s="74"/>
      <c r="BE46" s="74"/>
      <c r="BF46" s="74"/>
      <c r="BH46" s="74"/>
      <c r="BI46" s="74"/>
      <c r="BJ46" s="74"/>
      <c r="BK46" s="74"/>
      <c r="BL46" s="74"/>
      <c r="BM46" s="74" t="s">
        <v>1278</v>
      </c>
      <c r="BN46" s="74" t="s">
        <v>2059</v>
      </c>
      <c r="BO46" s="74">
        <v>1500.0</v>
      </c>
      <c r="BP46" s="74"/>
      <c r="BQ46" s="74"/>
      <c r="BR46" s="74"/>
      <c r="BS46" s="74"/>
      <c r="BT46" s="74"/>
      <c r="BU46" s="74"/>
      <c r="BV46" s="74"/>
      <c r="BW46" s="74"/>
      <c r="BX46" s="74"/>
      <c r="BZ46" s="74"/>
      <c r="CA46" s="74" t="s">
        <v>73</v>
      </c>
      <c r="CB46" s="74"/>
      <c r="CC46" s="73" t="s">
        <v>73</v>
      </c>
      <c r="CD46" s="74"/>
      <c r="CE46" s="73" t="s">
        <v>37</v>
      </c>
      <c r="CF46" s="74"/>
      <c r="CG46" s="73" t="s">
        <v>37</v>
      </c>
      <c r="CH46" s="74"/>
      <c r="CI46" s="73" t="s">
        <v>73</v>
      </c>
      <c r="CJ46" s="74"/>
      <c r="CK46" s="73" t="s">
        <v>73</v>
      </c>
      <c r="CL46" s="74"/>
      <c r="CM46" s="73" t="s">
        <v>73</v>
      </c>
      <c r="CN46" s="74"/>
      <c r="CO46" s="73" t="s">
        <v>73</v>
      </c>
      <c r="CP46" s="74"/>
      <c r="CQ46" s="73" t="s">
        <v>73</v>
      </c>
      <c r="CR46" s="73" t="s">
        <v>2060</v>
      </c>
      <c r="CS46" s="74" t="s">
        <v>1323</v>
      </c>
      <c r="CT46" s="74" t="s">
        <v>1324</v>
      </c>
      <c r="CU46" s="79">
        <f t="shared" si="1"/>
        <v>46</v>
      </c>
      <c r="CV46" s="77">
        <f>IFERROR(__xludf.DUMMYFUNCTION("IFERROR(QUERY(Presidente!$A$3:$AD112, ""SELECT AD WHERE A = '"" &amp; $B46 &amp; ""'""),"""")"),643.0)</f>
        <v>643</v>
      </c>
    </row>
    <row r="47">
      <c r="A47" s="72">
        <v>44375.354162222226</v>
      </c>
      <c r="B47" s="73" t="s">
        <v>486</v>
      </c>
      <c r="C47" s="73" t="s">
        <v>2061</v>
      </c>
      <c r="D47" s="73">
        <v>142.0</v>
      </c>
      <c r="E47" s="74" t="s">
        <v>2062</v>
      </c>
      <c r="F47" s="73" t="s">
        <v>2063</v>
      </c>
      <c r="G47" s="74" t="s">
        <v>2064</v>
      </c>
      <c r="H47" s="74" t="s">
        <v>1255</v>
      </c>
      <c r="I47" s="73" t="s">
        <v>2065</v>
      </c>
      <c r="J47" s="74" t="s">
        <v>2066</v>
      </c>
      <c r="K47" s="73" t="s">
        <v>2067</v>
      </c>
      <c r="L47" s="73" t="s">
        <v>2068</v>
      </c>
      <c r="M47" s="74"/>
      <c r="N47" s="73" t="s">
        <v>1260</v>
      </c>
      <c r="O47" s="75">
        <v>4.58463590116E11</v>
      </c>
      <c r="P47" s="73">
        <v>329.0</v>
      </c>
      <c r="Q47" s="80" t="s">
        <v>2069</v>
      </c>
      <c r="R47" s="73" t="s">
        <v>1261</v>
      </c>
      <c r="S47" s="73" t="s">
        <v>1294</v>
      </c>
      <c r="T47" s="73" t="s">
        <v>2070</v>
      </c>
      <c r="U47" s="74"/>
      <c r="V47" s="74"/>
      <c r="W47" s="74"/>
      <c r="X47" s="73" t="s">
        <v>1312</v>
      </c>
      <c r="Y47" s="74"/>
      <c r="Z47" s="74"/>
      <c r="AA47" s="74" t="s">
        <v>73</v>
      </c>
      <c r="AB47" s="73" t="s">
        <v>73</v>
      </c>
      <c r="AC47" s="73" t="s">
        <v>73</v>
      </c>
      <c r="AD47" s="73" t="s">
        <v>1268</v>
      </c>
      <c r="AE47" s="73" t="s">
        <v>1268</v>
      </c>
      <c r="AF47" s="74"/>
      <c r="AG47" s="73" t="s">
        <v>73</v>
      </c>
      <c r="AH47" s="74"/>
      <c r="AI47" s="73" t="s">
        <v>73</v>
      </c>
      <c r="AJ47" s="74"/>
      <c r="AK47" s="73" t="s">
        <v>1314</v>
      </c>
      <c r="AL47" s="73" t="s">
        <v>2071</v>
      </c>
      <c r="AM47" s="74"/>
      <c r="AN47" s="74" t="s">
        <v>1315</v>
      </c>
      <c r="AO47" s="74" t="s">
        <v>490</v>
      </c>
      <c r="AP47" s="74">
        <v>44.0</v>
      </c>
      <c r="AQ47" s="74"/>
      <c r="AR47" s="74"/>
      <c r="AS47" s="74" t="s">
        <v>1608</v>
      </c>
      <c r="AT47" s="74" t="s">
        <v>2072</v>
      </c>
      <c r="AU47" s="74">
        <v>56.0</v>
      </c>
      <c r="AV47" s="74"/>
      <c r="AW47" s="74" t="s">
        <v>35</v>
      </c>
      <c r="AX47" s="74"/>
      <c r="AY47" s="74"/>
      <c r="AZ47" s="74"/>
      <c r="BA47" s="74"/>
      <c r="BB47" s="74"/>
      <c r="BC47" s="74"/>
      <c r="BD47" s="74"/>
      <c r="BE47" s="74"/>
      <c r="BF47" s="74"/>
      <c r="BG47" s="74"/>
      <c r="BH47" s="74"/>
      <c r="BI47" s="74"/>
      <c r="BJ47" s="74"/>
      <c r="BK47" s="74"/>
      <c r="BL47" s="74"/>
      <c r="BM47" s="74" t="s">
        <v>1608</v>
      </c>
      <c r="BN47" s="74" t="s">
        <v>2073</v>
      </c>
      <c r="BO47" s="74">
        <v>2000.0</v>
      </c>
      <c r="BP47" s="74"/>
      <c r="BQ47" s="74"/>
      <c r="BR47" s="74"/>
      <c r="BS47" s="74"/>
      <c r="BT47" s="74"/>
      <c r="BU47" s="74"/>
      <c r="BV47" s="74"/>
      <c r="BW47" s="74"/>
      <c r="BX47" s="74"/>
      <c r="BZ47" s="74"/>
      <c r="CA47" s="74" t="s">
        <v>73</v>
      </c>
      <c r="CB47" s="74"/>
      <c r="CC47" s="73" t="s">
        <v>73</v>
      </c>
      <c r="CD47" s="74"/>
      <c r="CE47" s="73" t="s">
        <v>1416</v>
      </c>
      <c r="CF47" s="74"/>
      <c r="CG47" s="73" t="s">
        <v>1416</v>
      </c>
      <c r="CH47" s="74"/>
      <c r="CI47" s="73" t="s">
        <v>73</v>
      </c>
      <c r="CJ47" s="74"/>
      <c r="CK47" s="73" t="s">
        <v>73</v>
      </c>
      <c r="CL47" s="74"/>
      <c r="CM47" s="73" t="s">
        <v>35</v>
      </c>
      <c r="CN47" s="74" t="s">
        <v>2074</v>
      </c>
      <c r="CO47" s="73" t="s">
        <v>73</v>
      </c>
      <c r="CP47" s="74"/>
      <c r="CQ47" s="73" t="s">
        <v>35</v>
      </c>
      <c r="CR47" s="73" t="s">
        <v>2075</v>
      </c>
      <c r="CS47" s="74" t="s">
        <v>1419</v>
      </c>
      <c r="CT47" s="74" t="s">
        <v>1523</v>
      </c>
      <c r="CU47" s="79">
        <f t="shared" si="1"/>
        <v>47</v>
      </c>
      <c r="CV47" s="77">
        <f>IFERROR(__xludf.DUMMYFUNCTION("IFERROR(QUERY(Presidente!$A$3:$AD112, ""SELECT AD WHERE A = '"" &amp; $B47 &amp; ""'""),"""")"),644.0)</f>
        <v>644</v>
      </c>
    </row>
    <row r="48">
      <c r="A48" s="72">
        <v>44375.3200577199</v>
      </c>
      <c r="B48" s="73" t="s">
        <v>497</v>
      </c>
      <c r="C48" s="73" t="s">
        <v>2076</v>
      </c>
      <c r="D48" s="73">
        <v>195.0</v>
      </c>
      <c r="E48" s="73" t="s">
        <v>1993</v>
      </c>
      <c r="F48" s="73" t="s">
        <v>2077</v>
      </c>
      <c r="G48" s="73" t="s">
        <v>2078</v>
      </c>
      <c r="H48" s="74" t="s">
        <v>1255</v>
      </c>
      <c r="I48" s="73" t="s">
        <v>2079</v>
      </c>
      <c r="J48" s="74" t="s">
        <v>2080</v>
      </c>
      <c r="K48" s="73" t="s">
        <v>2081</v>
      </c>
      <c r="L48" s="73" t="s">
        <v>2082</v>
      </c>
      <c r="M48" s="74"/>
      <c r="N48" s="73" t="s">
        <v>1260</v>
      </c>
      <c r="O48" s="78"/>
      <c r="R48" s="73" t="s">
        <v>1261</v>
      </c>
      <c r="S48" s="73" t="s">
        <v>1294</v>
      </c>
      <c r="X48" s="73" t="s">
        <v>1312</v>
      </c>
      <c r="AA48" s="73" t="s">
        <v>73</v>
      </c>
      <c r="AB48" s="73" t="s">
        <v>73</v>
      </c>
      <c r="AC48" s="73" t="s">
        <v>73</v>
      </c>
      <c r="AD48" s="73" t="s">
        <v>1268</v>
      </c>
      <c r="AE48" s="73" t="s">
        <v>1268</v>
      </c>
      <c r="AG48" s="73" t="s">
        <v>73</v>
      </c>
      <c r="AI48" s="73" t="s">
        <v>73</v>
      </c>
      <c r="AK48" s="73" t="s">
        <v>1269</v>
      </c>
      <c r="AL48" s="73" t="s">
        <v>1270</v>
      </c>
      <c r="CC48" s="73" t="s">
        <v>73</v>
      </c>
      <c r="CE48" s="73" t="s">
        <v>37</v>
      </c>
      <c r="CG48" s="73" t="s">
        <v>37</v>
      </c>
      <c r="CI48" s="73" t="s">
        <v>35</v>
      </c>
      <c r="CK48" s="73" t="s">
        <v>73</v>
      </c>
      <c r="CM48" s="73" t="s">
        <v>35</v>
      </c>
      <c r="CO48" s="73" t="s">
        <v>73</v>
      </c>
      <c r="CQ48" s="73" t="s">
        <v>35</v>
      </c>
      <c r="CR48" s="73" t="s">
        <v>2083</v>
      </c>
      <c r="CT48" s="74" t="s">
        <v>1991</v>
      </c>
      <c r="CU48" s="79">
        <f t="shared" si="1"/>
        <v>48</v>
      </c>
      <c r="CV48" s="77">
        <f>IFERROR(__xludf.DUMMYFUNCTION("IFERROR(QUERY(Presidente!$A$3:$AD112, ""SELECT AD WHERE A = '"" &amp; $B48 &amp; ""'""),"""")"),645.0)</f>
        <v>645</v>
      </c>
    </row>
    <row r="49">
      <c r="A49" s="72">
        <v>44375.43271671297</v>
      </c>
      <c r="B49" s="73" t="s">
        <v>508</v>
      </c>
      <c r="C49" s="73" t="s">
        <v>2084</v>
      </c>
      <c r="D49" s="73">
        <v>38.0</v>
      </c>
      <c r="E49" s="73" t="s">
        <v>2085</v>
      </c>
      <c r="F49" s="73" t="s">
        <v>2086</v>
      </c>
      <c r="G49" s="73" t="s">
        <v>2087</v>
      </c>
      <c r="H49" s="74" t="s">
        <v>1929</v>
      </c>
      <c r="I49" s="74" t="s">
        <v>2088</v>
      </c>
      <c r="J49" s="74">
        <v>1.140446068E9</v>
      </c>
      <c r="K49" s="74"/>
      <c r="L49" s="74"/>
      <c r="M49" s="74"/>
      <c r="N49" s="73" t="s">
        <v>1260</v>
      </c>
      <c r="O49" s="75">
        <v>4.60367810116E11</v>
      </c>
      <c r="P49" s="73">
        <v>222.0</v>
      </c>
      <c r="Q49" s="80" t="s">
        <v>2089</v>
      </c>
      <c r="R49" s="73" t="s">
        <v>1261</v>
      </c>
      <c r="S49" s="73" t="s">
        <v>1294</v>
      </c>
      <c r="T49" s="73" t="s">
        <v>2090</v>
      </c>
      <c r="U49" s="73" t="s">
        <v>2091</v>
      </c>
      <c r="V49" s="73" t="s">
        <v>2092</v>
      </c>
      <c r="W49" s="73" t="s">
        <v>2093</v>
      </c>
      <c r="X49" s="73" t="s">
        <v>2094</v>
      </c>
      <c r="Y49" s="74"/>
      <c r="Z49" s="74"/>
      <c r="AA49" s="74" t="s">
        <v>73</v>
      </c>
      <c r="AB49" s="73" t="s">
        <v>1267</v>
      </c>
      <c r="AC49" s="73" t="s">
        <v>73</v>
      </c>
      <c r="AD49" s="73" t="s">
        <v>1268</v>
      </c>
      <c r="AE49" s="73" t="s">
        <v>1268</v>
      </c>
      <c r="AF49" s="74" t="s">
        <v>73</v>
      </c>
      <c r="AG49" s="73" t="s">
        <v>73</v>
      </c>
      <c r="AH49" s="74"/>
      <c r="AI49" s="73" t="s">
        <v>73</v>
      </c>
      <c r="AJ49" s="74"/>
      <c r="AK49" s="73" t="s">
        <v>1314</v>
      </c>
      <c r="AL49" s="73" t="s">
        <v>1270</v>
      </c>
      <c r="AM49" s="74"/>
      <c r="AN49" s="74" t="s">
        <v>1278</v>
      </c>
      <c r="AO49" s="74" t="s">
        <v>2095</v>
      </c>
      <c r="AP49" s="74">
        <v>51.0</v>
      </c>
      <c r="AQ49" s="74"/>
      <c r="AR49" s="74" t="s">
        <v>35</v>
      </c>
      <c r="AS49" s="74" t="s">
        <v>1315</v>
      </c>
      <c r="AT49" s="74" t="s">
        <v>2096</v>
      </c>
      <c r="AU49" s="74">
        <v>50.0</v>
      </c>
      <c r="AV49" s="74"/>
      <c r="AW49" s="74" t="s">
        <v>35</v>
      </c>
      <c r="AX49" s="74" t="s">
        <v>1392</v>
      </c>
      <c r="AY49" s="74" t="s">
        <v>2097</v>
      </c>
      <c r="AZ49" s="74">
        <v>9.0</v>
      </c>
      <c r="BA49" s="74" t="s">
        <v>35</v>
      </c>
      <c r="BB49" s="74"/>
      <c r="BC49" s="74" t="s">
        <v>1275</v>
      </c>
      <c r="BD49" s="74" t="s">
        <v>2098</v>
      </c>
      <c r="BE49" s="74">
        <v>12.0</v>
      </c>
      <c r="BF49" s="74" t="s">
        <v>35</v>
      </c>
      <c r="BH49" s="74"/>
      <c r="BI49" s="74"/>
      <c r="BJ49" s="74"/>
      <c r="BK49" s="74"/>
      <c r="BL49" s="74"/>
      <c r="BM49" s="74" t="s">
        <v>1278</v>
      </c>
      <c r="BN49" s="74" t="s">
        <v>2099</v>
      </c>
      <c r="BO49" s="74">
        <v>3000.0</v>
      </c>
      <c r="BP49" s="74" t="s">
        <v>1315</v>
      </c>
      <c r="BQ49" s="74" t="s">
        <v>1319</v>
      </c>
      <c r="BR49" s="74">
        <v>1100.0</v>
      </c>
      <c r="BS49" s="74" t="s">
        <v>1539</v>
      </c>
      <c r="BT49" s="74" t="s">
        <v>2100</v>
      </c>
      <c r="BU49" s="74">
        <v>1800.0</v>
      </c>
      <c r="BV49" s="74"/>
      <c r="BW49" s="74"/>
      <c r="BX49" s="74"/>
      <c r="BZ49" s="74">
        <v>1000.0</v>
      </c>
      <c r="CA49" s="74" t="s">
        <v>1284</v>
      </c>
      <c r="CB49" s="74"/>
      <c r="CC49" s="73" t="s">
        <v>73</v>
      </c>
      <c r="CD49" s="74"/>
      <c r="CE49" s="73" t="s">
        <v>37</v>
      </c>
      <c r="CF49" s="74"/>
      <c r="CG49" s="73" t="s">
        <v>37</v>
      </c>
      <c r="CH49" s="74"/>
      <c r="CI49" s="73" t="s">
        <v>35</v>
      </c>
      <c r="CJ49" s="74" t="s">
        <v>2101</v>
      </c>
      <c r="CK49" s="73" t="s">
        <v>73</v>
      </c>
      <c r="CL49" s="74"/>
      <c r="CM49" s="73" t="s">
        <v>73</v>
      </c>
      <c r="CN49" s="74"/>
      <c r="CO49" s="73" t="s">
        <v>73</v>
      </c>
      <c r="CP49" s="74"/>
      <c r="CQ49" s="73" t="s">
        <v>73</v>
      </c>
      <c r="CR49" s="73" t="s">
        <v>2102</v>
      </c>
      <c r="CS49" s="74" t="s">
        <v>1816</v>
      </c>
      <c r="CT49" s="74" t="s">
        <v>1498</v>
      </c>
      <c r="CU49" s="79">
        <f t="shared" si="1"/>
        <v>49</v>
      </c>
      <c r="CV49" s="77">
        <f>IFERROR(__xludf.DUMMYFUNCTION("IFERROR(QUERY(Presidente!$A$3:$AD112, ""SELECT AD WHERE A = '"" &amp; $B49 &amp; ""'""),"""")"),646.0)</f>
        <v>646</v>
      </c>
    </row>
    <row r="50">
      <c r="A50" s="72">
        <v>44375.52540708333</v>
      </c>
      <c r="B50" s="73" t="s">
        <v>518</v>
      </c>
      <c r="C50" s="73" t="s">
        <v>2103</v>
      </c>
      <c r="D50" s="73">
        <v>493.0</v>
      </c>
      <c r="E50" s="73" t="s">
        <v>2104</v>
      </c>
      <c r="F50" s="73" t="s">
        <v>2105</v>
      </c>
      <c r="G50" s="73" t="s">
        <v>2106</v>
      </c>
      <c r="H50" s="74" t="s">
        <v>1746</v>
      </c>
      <c r="I50" s="73" t="s">
        <v>2107</v>
      </c>
      <c r="J50" s="74" t="s">
        <v>2108</v>
      </c>
      <c r="K50" s="74"/>
      <c r="L50" s="74"/>
      <c r="M50" s="74"/>
      <c r="N50" s="73" t="s">
        <v>1260</v>
      </c>
      <c r="O50" s="75"/>
      <c r="P50" s="74"/>
      <c r="R50" s="73" t="s">
        <v>1261</v>
      </c>
      <c r="S50" s="73" t="s">
        <v>1294</v>
      </c>
      <c r="T50" s="73" t="s">
        <v>2109</v>
      </c>
      <c r="U50" s="74" t="s">
        <v>2110</v>
      </c>
      <c r="V50" s="74" t="s">
        <v>2111</v>
      </c>
      <c r="W50" s="74"/>
      <c r="X50" s="73"/>
      <c r="Y50" s="74"/>
      <c r="Z50" s="74"/>
      <c r="AA50" s="73" t="s">
        <v>1267</v>
      </c>
      <c r="AB50" s="73" t="s">
        <v>73</v>
      </c>
      <c r="AC50" s="73" t="s">
        <v>73</v>
      </c>
      <c r="AD50" s="73" t="s">
        <v>1268</v>
      </c>
      <c r="AE50" s="73" t="s">
        <v>1268</v>
      </c>
      <c r="AF50" s="74"/>
      <c r="AG50" s="73" t="s">
        <v>73</v>
      </c>
      <c r="AH50" s="74"/>
      <c r="AI50" s="73" t="s">
        <v>73</v>
      </c>
      <c r="AJ50" s="74"/>
      <c r="AK50" s="73" t="s">
        <v>1269</v>
      </c>
      <c r="AL50" s="73" t="s">
        <v>1270</v>
      </c>
      <c r="AM50" s="74"/>
      <c r="AN50" s="74" t="s">
        <v>1278</v>
      </c>
      <c r="AO50" s="74" t="s">
        <v>2112</v>
      </c>
      <c r="AP50" s="74">
        <v>42.0</v>
      </c>
      <c r="AQ50" s="74"/>
      <c r="AR50" s="74" t="s">
        <v>35</v>
      </c>
      <c r="AS50" s="74" t="s">
        <v>1315</v>
      </c>
      <c r="AT50" s="74" t="s">
        <v>2113</v>
      </c>
      <c r="AU50" s="74">
        <v>43.0</v>
      </c>
      <c r="AV50" s="74"/>
      <c r="AW50" s="74" t="s">
        <v>35</v>
      </c>
      <c r="AX50" s="74" t="s">
        <v>1411</v>
      </c>
      <c r="AY50" s="74" t="s">
        <v>2114</v>
      </c>
      <c r="AZ50" s="74">
        <v>16.0</v>
      </c>
      <c r="BA50" s="74" t="s">
        <v>35</v>
      </c>
      <c r="BB50" s="74"/>
      <c r="BC50" s="74"/>
      <c r="BD50" s="74"/>
      <c r="BE50" s="74"/>
      <c r="BF50" s="74"/>
      <c r="BG50" s="74"/>
      <c r="BH50" s="74"/>
      <c r="BI50" s="74"/>
      <c r="BJ50" s="74"/>
      <c r="BK50" s="74"/>
      <c r="BL50" s="74"/>
      <c r="BM50" s="74" t="s">
        <v>1278</v>
      </c>
      <c r="BN50" s="74" t="s">
        <v>1961</v>
      </c>
      <c r="BO50" s="74">
        <v>1500.0</v>
      </c>
      <c r="BP50" s="74" t="s">
        <v>1315</v>
      </c>
      <c r="BQ50" s="74" t="s">
        <v>2115</v>
      </c>
      <c r="BR50" s="74">
        <v>1000.0</v>
      </c>
      <c r="BS50" s="74"/>
      <c r="BT50" s="74"/>
      <c r="BU50" s="74"/>
      <c r="BV50" s="74"/>
      <c r="BW50" s="74"/>
      <c r="BX50" s="74"/>
      <c r="BZ50" s="74">
        <v>450.0</v>
      </c>
      <c r="CA50" s="74" t="s">
        <v>73</v>
      </c>
      <c r="CB50" s="74"/>
      <c r="CC50" s="73" t="s">
        <v>73</v>
      </c>
      <c r="CD50" s="74"/>
      <c r="CE50" s="73" t="s">
        <v>84</v>
      </c>
      <c r="CF50" s="74"/>
      <c r="CG50" s="73" t="s">
        <v>84</v>
      </c>
      <c r="CH50" s="74"/>
      <c r="CI50" s="73" t="s">
        <v>73</v>
      </c>
      <c r="CJ50" s="74"/>
      <c r="CK50" s="73" t="s">
        <v>73</v>
      </c>
      <c r="CL50" s="74"/>
      <c r="CM50" s="73" t="s">
        <v>73</v>
      </c>
      <c r="CN50" s="74"/>
      <c r="CO50" s="73" t="s">
        <v>73</v>
      </c>
      <c r="CP50" s="74"/>
      <c r="CQ50" s="73" t="s">
        <v>35</v>
      </c>
      <c r="CR50" s="73" t="s">
        <v>2116</v>
      </c>
      <c r="CS50" s="74" t="s">
        <v>2117</v>
      </c>
      <c r="CT50" s="74" t="s">
        <v>1324</v>
      </c>
      <c r="CU50" s="76">
        <f t="shared" si="1"/>
        <v>50</v>
      </c>
      <c r="CV50" s="77">
        <f>IFERROR(__xludf.DUMMYFUNCTION("IFERROR(QUERY(Presidente!$A$3:$AD112, ""SELECT AD WHERE A = '"" &amp; $B50 &amp; ""'""),"""")"),647.0)</f>
        <v>647</v>
      </c>
    </row>
    <row r="51">
      <c r="A51" s="72">
        <v>44375.55439952546</v>
      </c>
      <c r="B51" s="73" t="s">
        <v>528</v>
      </c>
      <c r="C51" s="73" t="s">
        <v>2118</v>
      </c>
      <c r="D51" s="73">
        <v>131.0</v>
      </c>
      <c r="E51" s="73" t="s">
        <v>1291</v>
      </c>
      <c r="F51" s="73" t="s">
        <v>2119</v>
      </c>
      <c r="G51" s="73" t="s">
        <v>2120</v>
      </c>
      <c r="H51" s="74" t="s">
        <v>1255</v>
      </c>
      <c r="I51" s="73" t="s">
        <v>2121</v>
      </c>
      <c r="J51" s="74" t="s">
        <v>2122</v>
      </c>
      <c r="K51" s="73" t="s">
        <v>2123</v>
      </c>
      <c r="L51" s="73" t="s">
        <v>2124</v>
      </c>
      <c r="M51" s="74"/>
      <c r="N51" s="73" t="s">
        <v>1462</v>
      </c>
      <c r="O51" s="75"/>
      <c r="P51" s="74"/>
      <c r="R51" s="73" t="s">
        <v>1261</v>
      </c>
      <c r="S51" s="73" t="s">
        <v>1294</v>
      </c>
      <c r="T51" s="73" t="s">
        <v>2125</v>
      </c>
      <c r="U51" s="73" t="s">
        <v>2126</v>
      </c>
      <c r="V51" s="73" t="s">
        <v>2127</v>
      </c>
      <c r="W51" s="73" t="s">
        <v>2128</v>
      </c>
      <c r="X51" s="73" t="s">
        <v>2129</v>
      </c>
      <c r="Y51" s="73" t="s">
        <v>2130</v>
      </c>
      <c r="Z51" s="73" t="s">
        <v>1268</v>
      </c>
      <c r="AA51" s="74" t="s">
        <v>1351</v>
      </c>
      <c r="AB51" s="73" t="s">
        <v>73</v>
      </c>
      <c r="AC51" s="73" t="s">
        <v>73</v>
      </c>
      <c r="AD51" s="73" t="s">
        <v>1268</v>
      </c>
      <c r="AE51" s="73" t="s">
        <v>1268</v>
      </c>
      <c r="AF51" s="74"/>
      <c r="AG51" s="73" t="s">
        <v>73</v>
      </c>
      <c r="AH51" s="74"/>
      <c r="AI51" s="73" t="s">
        <v>73</v>
      </c>
      <c r="AJ51" s="74"/>
      <c r="AK51" s="73" t="s">
        <v>1269</v>
      </c>
      <c r="AL51" s="73" t="s">
        <v>1491</v>
      </c>
      <c r="AM51" s="74"/>
      <c r="AN51" s="74" t="s">
        <v>1340</v>
      </c>
      <c r="AO51" s="74" t="s">
        <v>2131</v>
      </c>
      <c r="AP51" s="74">
        <v>46.0</v>
      </c>
      <c r="AQ51" s="74"/>
      <c r="AR51" s="74" t="s">
        <v>35</v>
      </c>
      <c r="AS51" s="74" t="s">
        <v>1445</v>
      </c>
      <c r="AT51" s="74" t="s">
        <v>532</v>
      </c>
      <c r="AU51" s="74">
        <v>50.0</v>
      </c>
      <c r="AV51" s="74"/>
      <c r="AW51" s="74"/>
      <c r="AX51" s="74"/>
      <c r="AY51" s="74"/>
      <c r="AZ51" s="74"/>
      <c r="BA51" s="74"/>
      <c r="BB51" s="74"/>
      <c r="BC51" s="74"/>
      <c r="BD51" s="74"/>
      <c r="BE51" s="74"/>
      <c r="BF51" s="74"/>
      <c r="BH51" s="74"/>
      <c r="BI51" s="74"/>
      <c r="BJ51" s="74"/>
      <c r="BK51" s="74"/>
      <c r="BL51" s="74"/>
      <c r="BM51" s="74" t="s">
        <v>1340</v>
      </c>
      <c r="BN51" s="74" t="s">
        <v>2132</v>
      </c>
      <c r="BO51" s="74">
        <v>2700.0</v>
      </c>
      <c r="BP51" s="74"/>
      <c r="BQ51" s="74"/>
      <c r="BR51" s="74"/>
      <c r="BS51" s="74"/>
      <c r="BT51" s="74"/>
      <c r="BU51" s="74"/>
      <c r="BV51" s="74"/>
      <c r="BW51" s="74"/>
      <c r="BX51" s="74"/>
      <c r="BZ51" s="74">
        <v>600.0</v>
      </c>
      <c r="CA51" s="74" t="s">
        <v>73</v>
      </c>
      <c r="CB51" s="74"/>
      <c r="CC51" s="73" t="s">
        <v>73</v>
      </c>
      <c r="CD51" s="74"/>
      <c r="CE51" s="73" t="s">
        <v>1416</v>
      </c>
      <c r="CF51" s="74"/>
      <c r="CG51" s="73" t="s">
        <v>1416</v>
      </c>
      <c r="CH51" s="74"/>
      <c r="CI51" s="73" t="s">
        <v>73</v>
      </c>
      <c r="CJ51" s="74"/>
      <c r="CK51" s="73" t="s">
        <v>73</v>
      </c>
      <c r="CL51" s="74"/>
      <c r="CM51" s="73" t="s">
        <v>73</v>
      </c>
      <c r="CN51" s="74"/>
      <c r="CO51" s="73" t="s">
        <v>73</v>
      </c>
      <c r="CP51" s="74"/>
      <c r="CQ51" s="73" t="s">
        <v>35</v>
      </c>
      <c r="CR51" s="73" t="s">
        <v>2133</v>
      </c>
      <c r="CS51" s="74" t="s">
        <v>2117</v>
      </c>
      <c r="CT51" s="74" t="s">
        <v>1382</v>
      </c>
      <c r="CU51" s="76">
        <f t="shared" si="1"/>
        <v>51</v>
      </c>
      <c r="CV51" s="77">
        <f>IFERROR(__xludf.DUMMYFUNCTION("IFERROR(QUERY(Presidente!$A$3:$AD112, ""SELECT AD WHERE A = '"" &amp; $B51 &amp; ""'""),"""")"),648.0)</f>
        <v>648</v>
      </c>
    </row>
    <row r="52">
      <c r="A52" s="72">
        <v>44375.313943807865</v>
      </c>
      <c r="B52" s="73" t="s">
        <v>538</v>
      </c>
      <c r="C52" s="73" t="s">
        <v>2134</v>
      </c>
      <c r="D52" s="73">
        <v>615.0</v>
      </c>
      <c r="E52" s="73" t="s">
        <v>1587</v>
      </c>
      <c r="F52" s="73" t="s">
        <v>2135</v>
      </c>
      <c r="G52" s="74" t="s">
        <v>2136</v>
      </c>
      <c r="H52" s="74" t="s">
        <v>1255</v>
      </c>
      <c r="I52" s="73" t="s">
        <v>2137</v>
      </c>
      <c r="J52" s="74"/>
      <c r="K52" s="73" t="s">
        <v>2138</v>
      </c>
      <c r="L52" s="73" t="s">
        <v>2139</v>
      </c>
      <c r="M52" s="74"/>
      <c r="N52" s="73" t="s">
        <v>1260</v>
      </c>
      <c r="O52" s="75">
        <v>4.62100620167E11</v>
      </c>
      <c r="P52" s="74">
        <v>372.0</v>
      </c>
      <c r="Q52" s="74">
        <v>421.0</v>
      </c>
      <c r="R52" s="73" t="s">
        <v>1261</v>
      </c>
      <c r="S52" s="73" t="s">
        <v>2140</v>
      </c>
      <c r="T52" s="74"/>
      <c r="U52" s="74" t="s">
        <v>2141</v>
      </c>
      <c r="V52" s="74"/>
      <c r="W52" s="74"/>
      <c r="X52" s="73" t="s">
        <v>2142</v>
      </c>
      <c r="Y52" s="73" t="s">
        <v>2143</v>
      </c>
      <c r="Z52" s="74" t="s">
        <v>2144</v>
      </c>
      <c r="AA52" s="73" t="s">
        <v>1267</v>
      </c>
      <c r="AB52" s="73" t="s">
        <v>73</v>
      </c>
      <c r="AC52" s="73" t="s">
        <v>1284</v>
      </c>
      <c r="AD52" s="73" t="s">
        <v>1268</v>
      </c>
      <c r="AE52" s="73" t="s">
        <v>1268</v>
      </c>
      <c r="AF52" s="74" t="s">
        <v>2145</v>
      </c>
      <c r="AG52" s="73" t="s">
        <v>1284</v>
      </c>
      <c r="AH52" s="74"/>
      <c r="AI52" s="73" t="s">
        <v>1284</v>
      </c>
      <c r="AJ52" s="74"/>
      <c r="AK52" s="73" t="s">
        <v>2146</v>
      </c>
      <c r="AL52" s="73" t="s">
        <v>2147</v>
      </c>
      <c r="AM52" s="74"/>
      <c r="AN52" s="74" t="s">
        <v>1340</v>
      </c>
      <c r="AO52" s="74" t="s">
        <v>2148</v>
      </c>
      <c r="AP52" s="74">
        <v>43.0</v>
      </c>
      <c r="AQ52" s="74"/>
      <c r="AR52" s="74" t="s">
        <v>35</v>
      </c>
      <c r="AS52" s="74" t="s">
        <v>1339</v>
      </c>
      <c r="AT52" s="74" t="s">
        <v>542</v>
      </c>
      <c r="AU52" s="74">
        <v>43.0</v>
      </c>
      <c r="AV52" s="74"/>
      <c r="AW52" s="74"/>
      <c r="AX52" s="74" t="s">
        <v>2149</v>
      </c>
      <c r="AY52" s="74" t="s">
        <v>2150</v>
      </c>
      <c r="AZ52" s="74">
        <v>14.0</v>
      </c>
      <c r="BA52" s="74" t="s">
        <v>35</v>
      </c>
      <c r="BB52" s="74"/>
      <c r="BC52" s="74" t="s">
        <v>2149</v>
      </c>
      <c r="BD52" s="74" t="s">
        <v>2151</v>
      </c>
      <c r="BE52" s="74">
        <v>7.0</v>
      </c>
      <c r="BF52" s="74" t="s">
        <v>35</v>
      </c>
      <c r="BG52" s="74"/>
      <c r="BH52" s="74"/>
      <c r="BI52" s="74"/>
      <c r="BJ52" s="74"/>
      <c r="BK52" s="74"/>
      <c r="BL52" s="74"/>
      <c r="BM52" s="74" t="s">
        <v>1340</v>
      </c>
      <c r="BN52" s="74" t="s">
        <v>2152</v>
      </c>
      <c r="BO52" s="74">
        <v>3000.0</v>
      </c>
      <c r="BP52" s="74"/>
      <c r="BQ52" s="74"/>
      <c r="BR52" s="74"/>
      <c r="BS52" s="74"/>
      <c r="BT52" s="74"/>
      <c r="BU52" s="74"/>
      <c r="BV52" s="74"/>
      <c r="BW52" s="74"/>
      <c r="BX52" s="74"/>
      <c r="BZ52" s="74"/>
      <c r="CA52" s="74" t="s">
        <v>73</v>
      </c>
      <c r="CB52" s="74"/>
      <c r="CC52" s="73" t="s">
        <v>73</v>
      </c>
      <c r="CD52" s="74"/>
      <c r="CE52" s="73" t="s">
        <v>37</v>
      </c>
      <c r="CF52" s="74"/>
      <c r="CG52" s="73" t="s">
        <v>37</v>
      </c>
      <c r="CH52" s="74"/>
      <c r="CI52" s="73" t="s">
        <v>2153</v>
      </c>
      <c r="CJ52" s="74"/>
      <c r="CK52" s="73" t="s">
        <v>2154</v>
      </c>
      <c r="CL52" s="74"/>
      <c r="CM52" s="73" t="s">
        <v>1534</v>
      </c>
      <c r="CN52" s="74"/>
      <c r="CO52" s="73" t="s">
        <v>73</v>
      </c>
      <c r="CP52" s="74"/>
      <c r="CQ52" s="73" t="s">
        <v>35</v>
      </c>
      <c r="CR52" s="73" t="s">
        <v>2155</v>
      </c>
      <c r="CS52" s="74" t="s">
        <v>1381</v>
      </c>
      <c r="CT52" s="74" t="s">
        <v>1354</v>
      </c>
      <c r="CU52" s="79">
        <f t="shared" si="1"/>
        <v>52</v>
      </c>
      <c r="CV52" s="77">
        <f>IFERROR(__xludf.DUMMYFUNCTION("IFERROR(QUERY(Presidente!$A$3:$AD112, ""SELECT AD WHERE A = '"" &amp; $B52 &amp; ""'""),"""")"),649.0)</f>
        <v>649</v>
      </c>
    </row>
    <row r="53">
      <c r="A53" s="72">
        <v>44375.428245856485</v>
      </c>
      <c r="B53" s="73" t="s">
        <v>548</v>
      </c>
      <c r="C53" s="73" t="s">
        <v>2156</v>
      </c>
      <c r="D53" s="73">
        <v>57.0</v>
      </c>
      <c r="E53" s="74" t="s">
        <v>1252</v>
      </c>
      <c r="F53" s="73" t="s">
        <v>2157</v>
      </c>
      <c r="G53" s="73" t="s">
        <v>2158</v>
      </c>
      <c r="H53" s="74" t="s">
        <v>1255</v>
      </c>
      <c r="I53" s="73" t="s">
        <v>2159</v>
      </c>
      <c r="J53" s="74" t="s">
        <v>2160</v>
      </c>
      <c r="K53" s="73" t="s">
        <v>2161</v>
      </c>
      <c r="L53" s="73" t="s">
        <v>2162</v>
      </c>
      <c r="M53" s="74"/>
      <c r="N53" s="73" t="s">
        <v>1260</v>
      </c>
      <c r="O53" s="75"/>
      <c r="P53" s="74"/>
      <c r="Q53" s="74"/>
      <c r="R53" s="73" t="s">
        <v>1261</v>
      </c>
      <c r="S53" s="73" t="s">
        <v>1294</v>
      </c>
      <c r="T53" s="73" t="s">
        <v>2163</v>
      </c>
      <c r="U53" s="73" t="s">
        <v>2164</v>
      </c>
      <c r="V53" s="73" t="s">
        <v>2165</v>
      </c>
      <c r="W53" s="74"/>
      <c r="X53" s="73" t="s">
        <v>2166</v>
      </c>
      <c r="Y53" s="73" t="s">
        <v>2167</v>
      </c>
      <c r="Z53" s="74"/>
      <c r="AA53" s="74" t="s">
        <v>1284</v>
      </c>
      <c r="AB53" s="73" t="s">
        <v>73</v>
      </c>
      <c r="AC53" s="73" t="s">
        <v>73</v>
      </c>
      <c r="AD53" s="73" t="s">
        <v>1268</v>
      </c>
      <c r="AE53" s="73" t="s">
        <v>1268</v>
      </c>
      <c r="AF53" s="74" t="s">
        <v>1284</v>
      </c>
      <c r="AG53" s="73" t="s">
        <v>73</v>
      </c>
      <c r="AH53" s="74"/>
      <c r="AI53" s="73" t="s">
        <v>73</v>
      </c>
      <c r="AJ53" s="74"/>
      <c r="AK53" s="73" t="s">
        <v>1314</v>
      </c>
      <c r="AL53" s="73" t="s">
        <v>1270</v>
      </c>
      <c r="AM53" s="74"/>
      <c r="AN53" s="74" t="s">
        <v>1340</v>
      </c>
      <c r="AO53" s="74" t="s">
        <v>2168</v>
      </c>
      <c r="AP53" s="74">
        <v>41.0</v>
      </c>
      <c r="AQ53" s="74"/>
      <c r="AR53" s="74" t="s">
        <v>2169</v>
      </c>
      <c r="AS53" s="74" t="s">
        <v>1445</v>
      </c>
      <c r="AT53" s="74" t="s">
        <v>552</v>
      </c>
      <c r="AU53" s="74">
        <v>44.0</v>
      </c>
      <c r="AV53" s="74"/>
      <c r="AW53" s="74" t="s">
        <v>2169</v>
      </c>
      <c r="AX53" s="74" t="s">
        <v>1348</v>
      </c>
      <c r="AY53" s="74" t="s">
        <v>2170</v>
      </c>
      <c r="AZ53" s="74">
        <v>14.0</v>
      </c>
      <c r="BA53" s="74" t="s">
        <v>2169</v>
      </c>
      <c r="BB53" s="74"/>
      <c r="BC53" s="74"/>
      <c r="BD53" s="74"/>
      <c r="BE53" s="74"/>
      <c r="BF53" s="74"/>
      <c r="BG53" s="74"/>
      <c r="BH53" s="74"/>
      <c r="BI53" s="74"/>
      <c r="BJ53" s="74"/>
      <c r="BK53" s="74"/>
      <c r="BL53" s="74"/>
      <c r="BM53" s="74" t="s">
        <v>1340</v>
      </c>
      <c r="BN53" s="74" t="s">
        <v>2171</v>
      </c>
      <c r="BO53" s="74">
        <v>2500.0</v>
      </c>
      <c r="BP53" s="74" t="s">
        <v>1445</v>
      </c>
      <c r="BQ53" s="74" t="s">
        <v>2172</v>
      </c>
      <c r="BR53" s="74">
        <v>1500.0</v>
      </c>
      <c r="BS53" s="74"/>
      <c r="BT53" s="74"/>
      <c r="BU53" s="74"/>
      <c r="BV53" s="74" t="s">
        <v>1450</v>
      </c>
      <c r="BW53" s="74" t="s">
        <v>2173</v>
      </c>
      <c r="BX53" s="74">
        <v>500.0</v>
      </c>
      <c r="BZ53" s="74"/>
      <c r="CA53" s="74" t="s">
        <v>1351</v>
      </c>
      <c r="CB53" s="74"/>
      <c r="CC53" s="73" t="s">
        <v>1351</v>
      </c>
      <c r="CD53" s="74"/>
      <c r="CE53" s="73" t="s">
        <v>37</v>
      </c>
      <c r="CF53" s="74"/>
      <c r="CG53" s="73" t="s">
        <v>37</v>
      </c>
      <c r="CH53" s="74"/>
      <c r="CI53" s="73" t="s">
        <v>73</v>
      </c>
      <c r="CJ53" s="74"/>
      <c r="CK53" s="73" t="s">
        <v>73</v>
      </c>
      <c r="CL53" s="74"/>
      <c r="CM53" s="73" t="s">
        <v>1351</v>
      </c>
      <c r="CN53" s="74"/>
      <c r="CO53" s="73" t="s">
        <v>73</v>
      </c>
      <c r="CP53" s="74"/>
      <c r="CQ53" s="73" t="s">
        <v>35</v>
      </c>
      <c r="CR53" s="73" t="s">
        <v>2174</v>
      </c>
      <c r="CS53" s="74" t="s">
        <v>1381</v>
      </c>
      <c r="CT53" s="74" t="s">
        <v>1435</v>
      </c>
      <c r="CU53" s="79">
        <f t="shared" si="1"/>
        <v>53</v>
      </c>
      <c r="CV53" s="77">
        <f>IFERROR(__xludf.DUMMYFUNCTION("IFERROR(QUERY(Presidente!$A$3:$AD112, ""SELECT AD WHERE A = '"" &amp; $B53 &amp; ""'""),"""")"),650.0)</f>
        <v>650</v>
      </c>
    </row>
    <row r="54">
      <c r="A54" s="72">
        <v>44375.42357946759</v>
      </c>
      <c r="B54" s="73" t="s">
        <v>558</v>
      </c>
      <c r="C54" s="73" t="s">
        <v>2175</v>
      </c>
      <c r="D54" s="73">
        <v>338.0</v>
      </c>
      <c r="E54" s="73" t="s">
        <v>1252</v>
      </c>
      <c r="F54" s="73" t="s">
        <v>2176</v>
      </c>
      <c r="G54" s="73" t="s">
        <v>2177</v>
      </c>
      <c r="H54" s="73" t="s">
        <v>1329</v>
      </c>
      <c r="I54" s="73" t="s">
        <v>2178</v>
      </c>
      <c r="J54" s="74"/>
      <c r="K54" s="73" t="s">
        <v>2179</v>
      </c>
      <c r="L54" s="73" t="s">
        <v>2180</v>
      </c>
      <c r="M54" s="74"/>
      <c r="N54" s="73" t="s">
        <v>1260</v>
      </c>
      <c r="O54" s="75"/>
      <c r="P54" s="74"/>
      <c r="R54" s="73" t="s">
        <v>1261</v>
      </c>
      <c r="S54" s="73" t="s">
        <v>1294</v>
      </c>
      <c r="T54" s="73" t="s">
        <v>1490</v>
      </c>
      <c r="U54" s="74"/>
      <c r="V54" s="74"/>
      <c r="W54" s="73" t="s">
        <v>2181</v>
      </c>
      <c r="X54" s="73" t="s">
        <v>2182</v>
      </c>
      <c r="Y54" s="74"/>
      <c r="Z54" s="74"/>
      <c r="AA54" s="73" t="s">
        <v>73</v>
      </c>
      <c r="AB54" s="73" t="s">
        <v>73</v>
      </c>
      <c r="AC54" s="73" t="s">
        <v>73</v>
      </c>
      <c r="AD54" s="73" t="s">
        <v>1268</v>
      </c>
      <c r="AE54" s="73" t="s">
        <v>1268</v>
      </c>
      <c r="AF54" s="74" t="s">
        <v>2183</v>
      </c>
      <c r="AG54" s="73" t="s">
        <v>73</v>
      </c>
      <c r="AH54" s="74"/>
      <c r="AI54" s="73" t="s">
        <v>73</v>
      </c>
      <c r="AJ54" s="74"/>
      <c r="AK54" s="73" t="s">
        <v>1314</v>
      </c>
      <c r="AL54" s="73" t="s">
        <v>1270</v>
      </c>
      <c r="AM54" s="74"/>
      <c r="AN54" s="74" t="s">
        <v>1608</v>
      </c>
      <c r="AO54" s="74" t="s">
        <v>2184</v>
      </c>
      <c r="AP54" s="74">
        <v>36.0</v>
      </c>
      <c r="AQ54" s="74"/>
      <c r="AR54" s="74" t="s">
        <v>35</v>
      </c>
      <c r="AS54" s="74" t="s">
        <v>1445</v>
      </c>
      <c r="AT54" s="74" t="s">
        <v>2185</v>
      </c>
      <c r="AU54" s="74">
        <v>46.0</v>
      </c>
      <c r="AV54" s="74"/>
      <c r="AW54" s="74" t="s">
        <v>35</v>
      </c>
      <c r="AX54" s="74" t="s">
        <v>1348</v>
      </c>
      <c r="AY54" s="74" t="s">
        <v>2186</v>
      </c>
      <c r="AZ54" s="74">
        <v>17.0</v>
      </c>
      <c r="BA54" s="74" t="s">
        <v>35</v>
      </c>
      <c r="BB54" s="74"/>
      <c r="BC54" s="74" t="s">
        <v>1348</v>
      </c>
      <c r="BD54" s="74" t="s">
        <v>2187</v>
      </c>
      <c r="BE54" s="74">
        <v>10.0</v>
      </c>
      <c r="BF54" s="74" t="s">
        <v>35</v>
      </c>
      <c r="BH54" s="74" t="s">
        <v>1348</v>
      </c>
      <c r="BI54" s="74" t="s">
        <v>2188</v>
      </c>
      <c r="BJ54" s="74">
        <v>2.0</v>
      </c>
      <c r="BK54" s="74"/>
      <c r="BL54" s="74"/>
      <c r="BM54" s="74" t="s">
        <v>1608</v>
      </c>
      <c r="BN54" s="74" t="s">
        <v>2189</v>
      </c>
      <c r="BO54" s="74">
        <v>2500.0</v>
      </c>
      <c r="BP54" s="74" t="s">
        <v>1445</v>
      </c>
      <c r="BQ54" s="74" t="s">
        <v>1518</v>
      </c>
      <c r="BR54" s="74">
        <v>1500.0</v>
      </c>
      <c r="BS54" s="74"/>
      <c r="BT54" s="74"/>
      <c r="BU54" s="74"/>
      <c r="BV54" s="74"/>
      <c r="BW54" s="74"/>
      <c r="BX54" s="74"/>
      <c r="BZ54" s="74"/>
      <c r="CA54" s="74"/>
      <c r="CB54" s="74"/>
      <c r="CC54" s="73" t="s">
        <v>73</v>
      </c>
      <c r="CD54" s="74"/>
      <c r="CE54" s="73" t="s">
        <v>37</v>
      </c>
      <c r="CF54" s="74"/>
      <c r="CG54" s="73" t="s">
        <v>1416</v>
      </c>
      <c r="CH54" s="74"/>
      <c r="CI54" s="73" t="s">
        <v>73</v>
      </c>
      <c r="CJ54" s="74"/>
      <c r="CK54" s="73" t="s">
        <v>73</v>
      </c>
      <c r="CL54" s="74"/>
      <c r="CM54" s="73" t="s">
        <v>73</v>
      </c>
      <c r="CN54" s="74"/>
      <c r="CO54" s="73" t="s">
        <v>73</v>
      </c>
      <c r="CP54" s="74"/>
      <c r="CQ54" s="73" t="s">
        <v>35</v>
      </c>
      <c r="CR54" s="73" t="s">
        <v>2190</v>
      </c>
      <c r="CS54" s="74" t="s">
        <v>1323</v>
      </c>
      <c r="CT54" s="74" t="s">
        <v>1454</v>
      </c>
      <c r="CU54" s="79">
        <f t="shared" si="1"/>
        <v>54</v>
      </c>
      <c r="CV54" s="77">
        <f>IFERROR(__xludf.DUMMYFUNCTION("IFERROR(QUERY(Presidente!$A$3:$AD112, ""SELECT AD WHERE A = '"" &amp; $B54 &amp; ""'""),"""")"),651.0)</f>
        <v>651</v>
      </c>
    </row>
    <row r="55">
      <c r="A55" s="72">
        <v>44375.44209589121</v>
      </c>
      <c r="B55" s="73" t="s">
        <v>568</v>
      </c>
      <c r="C55" s="73" t="s">
        <v>2191</v>
      </c>
      <c r="D55" s="73">
        <v>179.0</v>
      </c>
      <c r="E55" s="74"/>
      <c r="F55" s="73" t="s">
        <v>2192</v>
      </c>
      <c r="G55" s="74"/>
      <c r="H55" s="74" t="s">
        <v>1329</v>
      </c>
      <c r="I55" s="73" t="s">
        <v>2193</v>
      </c>
      <c r="J55" s="74"/>
      <c r="K55" s="74"/>
      <c r="L55" s="74" t="s">
        <v>2194</v>
      </c>
      <c r="M55" s="74"/>
      <c r="N55" s="73" t="s">
        <v>1462</v>
      </c>
      <c r="O55" s="75"/>
      <c r="P55" s="74"/>
      <c r="Q55" s="74"/>
      <c r="R55" s="73" t="s">
        <v>1261</v>
      </c>
      <c r="S55" s="73" t="s">
        <v>1262</v>
      </c>
      <c r="T55" s="73" t="s">
        <v>2195</v>
      </c>
      <c r="U55" s="73" t="s">
        <v>2196</v>
      </c>
      <c r="V55" s="73" t="s">
        <v>2197</v>
      </c>
      <c r="W55" s="73" t="s">
        <v>2198</v>
      </c>
      <c r="X55" s="73" t="s">
        <v>2199</v>
      </c>
      <c r="Y55" s="73" t="s">
        <v>2200</v>
      </c>
      <c r="Z55" s="74"/>
      <c r="AA55" s="73" t="s">
        <v>73</v>
      </c>
      <c r="AB55" s="73" t="s">
        <v>73</v>
      </c>
      <c r="AC55" s="73" t="s">
        <v>73</v>
      </c>
      <c r="AD55" s="73" t="s">
        <v>1268</v>
      </c>
      <c r="AE55" s="73" t="s">
        <v>1268</v>
      </c>
      <c r="AF55" s="74"/>
      <c r="AG55" s="73" t="s">
        <v>73</v>
      </c>
      <c r="AH55" s="74"/>
      <c r="AI55" s="73" t="s">
        <v>73</v>
      </c>
      <c r="AJ55" s="74"/>
      <c r="AK55" s="73" t="s">
        <v>1269</v>
      </c>
      <c r="AL55" s="73" t="s">
        <v>2201</v>
      </c>
      <c r="AM55" s="74"/>
      <c r="AN55" s="74" t="s">
        <v>1315</v>
      </c>
      <c r="AO55" s="74" t="s">
        <v>2202</v>
      </c>
      <c r="AP55" s="74">
        <v>39.0</v>
      </c>
      <c r="AQ55" s="74"/>
      <c r="AR55" s="74"/>
      <c r="AS55" s="74" t="s">
        <v>1411</v>
      </c>
      <c r="AT55" s="74" t="s">
        <v>2203</v>
      </c>
      <c r="AU55" s="74">
        <v>3.0</v>
      </c>
      <c r="AV55" s="74" t="s">
        <v>35</v>
      </c>
      <c r="AW55" s="74"/>
      <c r="AX55" s="74" t="s">
        <v>2204</v>
      </c>
      <c r="AY55" s="74" t="s">
        <v>2205</v>
      </c>
      <c r="AZ55" s="74">
        <v>69.0</v>
      </c>
      <c r="BA55" s="74"/>
      <c r="BB55" s="74"/>
      <c r="BC55" s="74" t="s">
        <v>1574</v>
      </c>
      <c r="BD55" s="74" t="s">
        <v>2206</v>
      </c>
      <c r="BE55" s="74">
        <v>63.0</v>
      </c>
      <c r="BF55" s="74"/>
      <c r="BH55" s="74"/>
      <c r="BI55" s="74"/>
      <c r="BJ55" s="74"/>
      <c r="BK55" s="74"/>
      <c r="BL55" s="74"/>
      <c r="BM55" s="74" t="s">
        <v>1539</v>
      </c>
      <c r="BN55" s="74" t="s">
        <v>1297</v>
      </c>
      <c r="BO55" s="74">
        <v>1350.0</v>
      </c>
      <c r="BP55" s="74" t="s">
        <v>2204</v>
      </c>
      <c r="BQ55" s="74" t="s">
        <v>1394</v>
      </c>
      <c r="BR55" s="74">
        <v>1500.0</v>
      </c>
      <c r="BS55" s="74"/>
      <c r="BT55" s="74"/>
      <c r="BU55" s="74"/>
      <c r="BV55" s="74"/>
      <c r="BW55" s="74"/>
      <c r="BX55" s="74"/>
      <c r="BZ55" s="74"/>
      <c r="CA55" s="74"/>
      <c r="CB55" s="74"/>
      <c r="CC55" s="73" t="s">
        <v>35</v>
      </c>
      <c r="CD55" s="73" t="s">
        <v>2207</v>
      </c>
      <c r="CE55" s="73" t="s">
        <v>1416</v>
      </c>
      <c r="CF55" s="74"/>
      <c r="CG55" s="73" t="s">
        <v>37</v>
      </c>
      <c r="CH55" s="74"/>
      <c r="CI55" s="73" t="s">
        <v>35</v>
      </c>
      <c r="CJ55" s="74"/>
      <c r="CK55" s="73" t="s">
        <v>35</v>
      </c>
      <c r="CL55" s="73" t="s">
        <v>2208</v>
      </c>
      <c r="CM55" s="73" t="s">
        <v>73</v>
      </c>
      <c r="CN55" s="74"/>
      <c r="CO55" s="73" t="s">
        <v>35</v>
      </c>
      <c r="CP55" s="82" t="s">
        <v>2209</v>
      </c>
      <c r="CQ55" s="73" t="s">
        <v>35</v>
      </c>
      <c r="CR55" s="73" t="s">
        <v>2210</v>
      </c>
      <c r="CS55" s="74" t="s">
        <v>1497</v>
      </c>
      <c r="CT55" s="74" t="s">
        <v>1498</v>
      </c>
      <c r="CU55" s="79">
        <f t="shared" si="1"/>
        <v>55</v>
      </c>
      <c r="CV55" s="77">
        <f>IFERROR(__xludf.DUMMYFUNCTION("IFERROR(QUERY(Presidente!$A$3:$AD112, ""SELECT AD WHERE A = '"" &amp; $B55 &amp; ""'""),"""")"),652.0)</f>
        <v>652</v>
      </c>
    </row>
    <row r="56">
      <c r="A56" s="83">
        <v>44375.57566347222</v>
      </c>
      <c r="B56" s="84" t="s">
        <v>578</v>
      </c>
      <c r="C56" s="84" t="s">
        <v>2211</v>
      </c>
      <c r="D56" s="85">
        <v>655.0</v>
      </c>
      <c r="E56" s="86" t="s">
        <v>2212</v>
      </c>
      <c r="F56" s="84" t="s">
        <v>2213</v>
      </c>
      <c r="G56" s="84" t="s">
        <v>2214</v>
      </c>
      <c r="H56" s="86" t="s">
        <v>1475</v>
      </c>
      <c r="I56" s="84" t="s">
        <v>2215</v>
      </c>
      <c r="J56" s="86" t="s">
        <v>1475</v>
      </c>
      <c r="K56" s="84" t="s">
        <v>2216</v>
      </c>
      <c r="L56" s="84" t="s">
        <v>1475</v>
      </c>
      <c r="M56" s="86" t="s">
        <v>1475</v>
      </c>
      <c r="N56" s="84" t="s">
        <v>1260</v>
      </c>
      <c r="O56" s="87" t="s">
        <v>1475</v>
      </c>
      <c r="P56" s="86" t="s">
        <v>1475</v>
      </c>
      <c r="Q56" s="86" t="s">
        <v>1475</v>
      </c>
      <c r="R56" s="84" t="s">
        <v>1261</v>
      </c>
      <c r="S56" s="84" t="s">
        <v>1294</v>
      </c>
      <c r="T56" s="84" t="s">
        <v>2217</v>
      </c>
      <c r="U56" s="84" t="s">
        <v>1475</v>
      </c>
      <c r="V56" s="84" t="s">
        <v>1475</v>
      </c>
      <c r="W56" s="84" t="s">
        <v>1475</v>
      </c>
      <c r="X56" s="84" t="s">
        <v>1312</v>
      </c>
      <c r="Y56" s="86" t="s">
        <v>1475</v>
      </c>
      <c r="Z56" s="86" t="s">
        <v>1475</v>
      </c>
      <c r="AA56" s="84" t="s">
        <v>73</v>
      </c>
      <c r="AB56" s="84" t="s">
        <v>73</v>
      </c>
      <c r="AC56" s="84" t="s">
        <v>73</v>
      </c>
      <c r="AD56" s="84" t="s">
        <v>1475</v>
      </c>
      <c r="AE56" s="84" t="s">
        <v>1475</v>
      </c>
      <c r="AF56" s="86" t="s">
        <v>1475</v>
      </c>
      <c r="AG56" s="84" t="s">
        <v>73</v>
      </c>
      <c r="AH56" s="86" t="s">
        <v>1475</v>
      </c>
      <c r="AI56" s="84" t="s">
        <v>73</v>
      </c>
      <c r="AJ56" s="86" t="s">
        <v>1475</v>
      </c>
      <c r="AK56" s="84" t="s">
        <v>1314</v>
      </c>
      <c r="AL56" s="84" t="s">
        <v>1270</v>
      </c>
      <c r="AM56" s="86" t="s">
        <v>1475</v>
      </c>
      <c r="AN56" s="86" t="s">
        <v>1475</v>
      </c>
      <c r="AO56" s="86"/>
      <c r="AP56" s="86" t="s">
        <v>1475</v>
      </c>
      <c r="AQ56" s="86" t="s">
        <v>1475</v>
      </c>
      <c r="AR56" s="86" t="s">
        <v>1475</v>
      </c>
      <c r="AS56" s="86" t="s">
        <v>1475</v>
      </c>
      <c r="AT56" s="86" t="s">
        <v>1475</v>
      </c>
      <c r="AU56" s="86" t="s">
        <v>1475</v>
      </c>
      <c r="AV56" s="86" t="s">
        <v>1475</v>
      </c>
      <c r="AW56" s="86" t="s">
        <v>1475</v>
      </c>
      <c r="AX56" s="86" t="s">
        <v>1475</v>
      </c>
      <c r="AY56" s="86" t="s">
        <v>1475</v>
      </c>
      <c r="AZ56" s="86" t="s">
        <v>1475</v>
      </c>
      <c r="BA56" s="86" t="s">
        <v>1475</v>
      </c>
      <c r="BB56" s="86" t="s">
        <v>1475</v>
      </c>
      <c r="BC56" s="86" t="s">
        <v>1475</v>
      </c>
      <c r="BD56" s="86" t="s">
        <v>1475</v>
      </c>
      <c r="BE56" s="86" t="s">
        <v>1475</v>
      </c>
      <c r="BF56" s="86" t="s">
        <v>1475</v>
      </c>
      <c r="BG56" s="86" t="s">
        <v>1475</v>
      </c>
      <c r="BH56" s="86" t="s">
        <v>1475</v>
      </c>
      <c r="BI56" s="86" t="s">
        <v>1475</v>
      </c>
      <c r="BJ56" s="86" t="s">
        <v>1475</v>
      </c>
      <c r="BK56" s="86" t="s">
        <v>1475</v>
      </c>
      <c r="BL56" s="86" t="s">
        <v>1475</v>
      </c>
      <c r="BM56" s="86" t="s">
        <v>1475</v>
      </c>
      <c r="BN56" s="86" t="s">
        <v>1475</v>
      </c>
      <c r="BO56" s="86" t="s">
        <v>1475</v>
      </c>
      <c r="BP56" s="86" t="s">
        <v>1475</v>
      </c>
      <c r="BQ56" s="86" t="s">
        <v>1475</v>
      </c>
      <c r="BR56" s="86" t="s">
        <v>1475</v>
      </c>
      <c r="BS56" s="86" t="s">
        <v>1475</v>
      </c>
      <c r="BT56" s="86" t="s">
        <v>1475</v>
      </c>
      <c r="BU56" s="86" t="s">
        <v>1475</v>
      </c>
      <c r="BV56" s="86" t="s">
        <v>1475</v>
      </c>
      <c r="BW56" s="86" t="s">
        <v>1475</v>
      </c>
      <c r="BX56" s="86" t="s">
        <v>1475</v>
      </c>
      <c r="BY56" s="86"/>
      <c r="BZ56" s="86" t="s">
        <v>1475</v>
      </c>
      <c r="CA56" s="86" t="s">
        <v>73</v>
      </c>
      <c r="CB56" s="86" t="s">
        <v>1475</v>
      </c>
      <c r="CC56" s="84" t="s">
        <v>73</v>
      </c>
      <c r="CD56" s="86" t="s">
        <v>1475</v>
      </c>
      <c r="CE56" s="84" t="s">
        <v>37</v>
      </c>
      <c r="CF56" s="86" t="s">
        <v>1475</v>
      </c>
      <c r="CG56" s="84" t="s">
        <v>37</v>
      </c>
      <c r="CH56" s="86" t="s">
        <v>1475</v>
      </c>
      <c r="CI56" s="84" t="s">
        <v>35</v>
      </c>
      <c r="CJ56" s="86" t="s">
        <v>1475</v>
      </c>
      <c r="CK56" s="84" t="s">
        <v>73</v>
      </c>
      <c r="CL56" s="86" t="s">
        <v>1475</v>
      </c>
      <c r="CM56" s="84" t="s">
        <v>35</v>
      </c>
      <c r="CN56" s="86" t="s">
        <v>1475</v>
      </c>
      <c r="CO56" s="84" t="s">
        <v>73</v>
      </c>
      <c r="CP56" s="86" t="s">
        <v>1475</v>
      </c>
      <c r="CQ56" s="84" t="s">
        <v>35</v>
      </c>
      <c r="CR56" s="84" t="s">
        <v>2218</v>
      </c>
      <c r="CS56" s="86" t="s">
        <v>2117</v>
      </c>
      <c r="CT56" s="86" t="s">
        <v>1711</v>
      </c>
      <c r="CU56" s="88">
        <f t="shared" si="1"/>
        <v>56</v>
      </c>
      <c r="CV56" s="89">
        <f>IFERROR(__xludf.DUMMYFUNCTION("IFERROR(QUERY(Presidente!$A$3:$AD112, ""SELECT AD WHERE A = '"" &amp; $B56 &amp; ""'""),"""")"),653.0)</f>
        <v>653</v>
      </c>
    </row>
    <row r="57">
      <c r="A57" s="72">
        <v>44375.425696192135</v>
      </c>
      <c r="B57" s="73" t="s">
        <v>588</v>
      </c>
      <c r="C57" s="73" t="s">
        <v>2219</v>
      </c>
      <c r="D57" s="73">
        <v>12.0</v>
      </c>
      <c r="E57" s="73" t="s">
        <v>1478</v>
      </c>
      <c r="F57" s="73" t="s">
        <v>2220</v>
      </c>
      <c r="G57" s="73" t="s">
        <v>2221</v>
      </c>
      <c r="H57" s="74" t="s">
        <v>1255</v>
      </c>
      <c r="I57" s="73" t="s">
        <v>2222</v>
      </c>
      <c r="J57" s="74" t="s">
        <v>2223</v>
      </c>
      <c r="K57" s="73" t="s">
        <v>2224</v>
      </c>
      <c r="L57" s="73" t="s">
        <v>2225</v>
      </c>
      <c r="M57" s="74"/>
      <c r="N57" s="73" t="s">
        <v>1260</v>
      </c>
      <c r="O57" s="75"/>
      <c r="P57" s="74"/>
      <c r="Q57" s="74"/>
      <c r="R57" s="73" t="s">
        <v>1261</v>
      </c>
      <c r="S57" s="73" t="s">
        <v>1294</v>
      </c>
      <c r="T57" s="74" t="s">
        <v>2226</v>
      </c>
      <c r="U57" s="74"/>
      <c r="V57" s="74"/>
      <c r="W57" s="73" t="s">
        <v>2227</v>
      </c>
      <c r="X57" s="73" t="s">
        <v>2228</v>
      </c>
      <c r="Y57" s="74"/>
      <c r="Z57" s="73" t="s">
        <v>2229</v>
      </c>
      <c r="AA57" s="73" t="s">
        <v>2230</v>
      </c>
      <c r="AB57" s="73" t="s">
        <v>1267</v>
      </c>
      <c r="AC57" s="73" t="s">
        <v>73</v>
      </c>
      <c r="AD57" s="73" t="s">
        <v>1268</v>
      </c>
      <c r="AE57" s="73" t="s">
        <v>1268</v>
      </c>
      <c r="AF57" s="74"/>
      <c r="AG57" s="73" t="s">
        <v>73</v>
      </c>
      <c r="AH57" s="74"/>
      <c r="AI57" s="73" t="s">
        <v>73</v>
      </c>
      <c r="AJ57" s="74"/>
      <c r="AK57" s="73" t="s">
        <v>1269</v>
      </c>
      <c r="AL57" s="73" t="s">
        <v>2231</v>
      </c>
      <c r="AM57" s="74"/>
      <c r="AN57" s="74" t="s">
        <v>2232</v>
      </c>
      <c r="AO57" s="74" t="s">
        <v>2233</v>
      </c>
      <c r="AP57" s="74">
        <v>44.0</v>
      </c>
      <c r="AQ57" s="74"/>
      <c r="AR57" s="74" t="s">
        <v>35</v>
      </c>
      <c r="AS57" s="74" t="s">
        <v>1315</v>
      </c>
      <c r="AT57" s="74" t="s">
        <v>2234</v>
      </c>
      <c r="AU57" s="74">
        <v>40.0</v>
      </c>
      <c r="AV57" s="74"/>
      <c r="AW57" s="74" t="s">
        <v>35</v>
      </c>
      <c r="AX57" s="74" t="s">
        <v>1392</v>
      </c>
      <c r="AY57" s="74" t="s">
        <v>2235</v>
      </c>
      <c r="AZ57" s="74">
        <v>7.0</v>
      </c>
      <c r="BA57" s="74" t="s">
        <v>35</v>
      </c>
      <c r="BB57" s="74"/>
      <c r="BC57" s="74" t="s">
        <v>1392</v>
      </c>
      <c r="BD57" s="74" t="s">
        <v>2236</v>
      </c>
      <c r="BE57" s="74">
        <v>16.0</v>
      </c>
      <c r="BF57" s="74" t="s">
        <v>35</v>
      </c>
      <c r="BG57" s="74" t="s">
        <v>35</v>
      </c>
      <c r="BH57" s="74"/>
      <c r="BI57" s="74"/>
      <c r="BJ57" s="74"/>
      <c r="BK57" s="74"/>
      <c r="BL57" s="74"/>
      <c r="BM57" s="74" t="s">
        <v>1972</v>
      </c>
      <c r="BN57" s="74" t="s">
        <v>2237</v>
      </c>
      <c r="BO57" s="74">
        <v>3000.0</v>
      </c>
      <c r="BP57" s="74" t="s">
        <v>1315</v>
      </c>
      <c r="BQ57" s="74" t="s">
        <v>2238</v>
      </c>
      <c r="BR57" s="74">
        <v>1600.0</v>
      </c>
      <c r="BS57" s="74" t="s">
        <v>1411</v>
      </c>
      <c r="BT57" s="74" t="s">
        <v>2239</v>
      </c>
      <c r="BU57" s="74">
        <v>300.0</v>
      </c>
      <c r="BV57" s="74"/>
      <c r="BW57" s="74"/>
      <c r="BX57" s="74"/>
      <c r="BZ57" s="74">
        <v>200.0</v>
      </c>
      <c r="CA57" s="74" t="s">
        <v>1284</v>
      </c>
      <c r="CB57" s="74"/>
      <c r="CC57" s="73" t="s">
        <v>1284</v>
      </c>
      <c r="CD57" s="74"/>
      <c r="CE57" s="73" t="s">
        <v>1416</v>
      </c>
      <c r="CF57" s="74"/>
      <c r="CG57" s="73" t="s">
        <v>1416</v>
      </c>
      <c r="CH57" s="74"/>
      <c r="CI57" s="73" t="s">
        <v>35</v>
      </c>
      <c r="CJ57" s="74" t="s">
        <v>2240</v>
      </c>
      <c r="CK57" s="73" t="s">
        <v>73</v>
      </c>
      <c r="CL57" s="74"/>
      <c r="CM57" s="73" t="s">
        <v>35</v>
      </c>
      <c r="CN57" s="74" t="s">
        <v>2241</v>
      </c>
      <c r="CO57" s="73" t="s">
        <v>73</v>
      </c>
      <c r="CP57" s="74"/>
      <c r="CQ57" s="73" t="s">
        <v>35</v>
      </c>
      <c r="CR57" s="73" t="s">
        <v>2242</v>
      </c>
      <c r="CS57" s="74" t="s">
        <v>1287</v>
      </c>
      <c r="CT57" s="74" t="s">
        <v>1498</v>
      </c>
      <c r="CU57" s="79">
        <f t="shared" si="1"/>
        <v>57</v>
      </c>
      <c r="CV57" s="77">
        <f>IFERROR(__xludf.DUMMYFUNCTION("IFERROR(QUERY(Presidente!$A$3:$AD112, ""SELECT AD WHERE A = '"" &amp; $B57 &amp; ""'""),"""")"),654.0)</f>
        <v>654</v>
      </c>
    </row>
    <row r="58">
      <c r="A58" s="72">
        <v>44375.33068925926</v>
      </c>
      <c r="B58" s="73" t="s">
        <v>599</v>
      </c>
      <c r="C58" s="73" t="s">
        <v>2243</v>
      </c>
      <c r="D58" s="73">
        <v>92.0</v>
      </c>
      <c r="E58" s="73" t="s">
        <v>1291</v>
      </c>
      <c r="F58" s="73" t="s">
        <v>2244</v>
      </c>
      <c r="G58" s="73" t="s">
        <v>2245</v>
      </c>
      <c r="H58" s="74"/>
      <c r="I58" s="73" t="s">
        <v>2246</v>
      </c>
      <c r="J58" s="74" t="s">
        <v>2247</v>
      </c>
      <c r="K58" s="73" t="s">
        <v>2248</v>
      </c>
      <c r="L58" s="73" t="s">
        <v>2249</v>
      </c>
      <c r="M58" s="74"/>
      <c r="N58" s="73" t="s">
        <v>1260</v>
      </c>
      <c r="O58" s="75">
        <v>4.62120240141E11</v>
      </c>
      <c r="P58" s="73">
        <v>372.0</v>
      </c>
      <c r="Q58" s="73" t="s">
        <v>2250</v>
      </c>
      <c r="R58" s="73" t="s">
        <v>1261</v>
      </c>
      <c r="S58" s="73" t="s">
        <v>1294</v>
      </c>
      <c r="T58" s="73" t="s">
        <v>2251</v>
      </c>
      <c r="U58" s="73" t="s">
        <v>2252</v>
      </c>
      <c r="V58" s="73" t="s">
        <v>2253</v>
      </c>
      <c r="W58" s="74"/>
      <c r="X58" s="73" t="s">
        <v>2254</v>
      </c>
      <c r="Y58" s="74"/>
      <c r="Z58" s="73" t="s">
        <v>1914</v>
      </c>
      <c r="AA58" s="74" t="s">
        <v>1351</v>
      </c>
      <c r="AB58" s="73" t="s">
        <v>73</v>
      </c>
      <c r="AC58" s="73" t="s">
        <v>73</v>
      </c>
      <c r="AD58" s="73" t="s">
        <v>1268</v>
      </c>
      <c r="AE58" s="73" t="s">
        <v>1268</v>
      </c>
      <c r="AF58" s="74" t="s">
        <v>2255</v>
      </c>
      <c r="AG58" s="73" t="s">
        <v>73</v>
      </c>
      <c r="AH58" s="74"/>
      <c r="AI58" s="73" t="s">
        <v>73</v>
      </c>
      <c r="AJ58" s="74"/>
      <c r="AK58" s="73" t="s">
        <v>1269</v>
      </c>
      <c r="AL58" s="73" t="s">
        <v>1270</v>
      </c>
      <c r="AM58" s="74"/>
      <c r="AN58" s="74" t="s">
        <v>1340</v>
      </c>
      <c r="AO58" s="74" t="s">
        <v>2256</v>
      </c>
      <c r="AP58" s="74">
        <v>46.0</v>
      </c>
      <c r="AQ58" s="74"/>
      <c r="AR58" s="74" t="s">
        <v>2169</v>
      </c>
      <c r="AS58" s="74" t="s">
        <v>1445</v>
      </c>
      <c r="AT58" s="74" t="s">
        <v>604</v>
      </c>
      <c r="AU58" s="74">
        <v>46.0</v>
      </c>
      <c r="AV58" s="74"/>
      <c r="AW58" s="74" t="s">
        <v>2169</v>
      </c>
      <c r="AX58" s="74" t="s">
        <v>1344</v>
      </c>
      <c r="AY58" s="74" t="s">
        <v>2257</v>
      </c>
      <c r="AZ58" s="74">
        <v>12.0</v>
      </c>
      <c r="BA58" s="74" t="s">
        <v>2169</v>
      </c>
      <c r="BB58" s="74"/>
      <c r="BC58" s="74" t="s">
        <v>1348</v>
      </c>
      <c r="BD58" s="74" t="s">
        <v>2258</v>
      </c>
      <c r="BE58" s="74">
        <v>10.0</v>
      </c>
      <c r="BF58" s="74" t="s">
        <v>2169</v>
      </c>
      <c r="BG58" s="74"/>
      <c r="BH58" s="74"/>
      <c r="BI58" s="74"/>
      <c r="BJ58" s="74"/>
      <c r="BK58" s="74"/>
      <c r="BL58" s="74"/>
      <c r="BM58" s="74" t="s">
        <v>1340</v>
      </c>
      <c r="BN58" s="74" t="s">
        <v>2259</v>
      </c>
      <c r="BO58" s="74" t="s">
        <v>2260</v>
      </c>
      <c r="BP58" s="74" t="s">
        <v>1445</v>
      </c>
      <c r="BQ58" s="74" t="s">
        <v>2046</v>
      </c>
      <c r="BR58" s="74" t="s">
        <v>2261</v>
      </c>
      <c r="BS58" s="74"/>
      <c r="BT58" s="74"/>
      <c r="BU58" s="74"/>
      <c r="BV58" s="74" t="s">
        <v>2262</v>
      </c>
      <c r="BW58" s="74" t="s">
        <v>2263</v>
      </c>
      <c r="BX58" s="74">
        <v>1300.0</v>
      </c>
      <c r="BZ58" s="74" t="s">
        <v>2264</v>
      </c>
      <c r="CA58" s="74"/>
      <c r="CB58" s="73" t="s">
        <v>73</v>
      </c>
      <c r="CC58" s="73" t="s">
        <v>1351</v>
      </c>
      <c r="CD58" s="74"/>
      <c r="CE58" s="73" t="s">
        <v>37</v>
      </c>
      <c r="CF58" s="74"/>
      <c r="CG58" s="73" t="s">
        <v>1416</v>
      </c>
      <c r="CH58" s="74"/>
      <c r="CI58" s="73" t="s">
        <v>73</v>
      </c>
      <c r="CJ58" s="74"/>
      <c r="CK58" s="73" t="s">
        <v>73</v>
      </c>
      <c r="CL58" s="74"/>
      <c r="CM58" s="73" t="s">
        <v>35</v>
      </c>
      <c r="CN58" s="74"/>
      <c r="CO58" s="73" t="s">
        <v>73</v>
      </c>
      <c r="CP58" s="74"/>
      <c r="CQ58" s="73" t="s">
        <v>35</v>
      </c>
      <c r="CR58" s="73" t="s">
        <v>2265</v>
      </c>
      <c r="CS58" s="74" t="s">
        <v>1497</v>
      </c>
      <c r="CT58" s="74" t="s">
        <v>1435</v>
      </c>
      <c r="CU58" s="79">
        <f t="shared" si="1"/>
        <v>58</v>
      </c>
      <c r="CV58" s="77">
        <f>IFERROR(__xludf.DUMMYFUNCTION("IFERROR(QUERY(Presidente!$A$3:$AD112, ""SELECT AD WHERE A = '"" &amp; $B58 &amp; ""'""),"""")"),655.0)</f>
        <v>655</v>
      </c>
    </row>
    <row r="59">
      <c r="A59" s="72">
        <v>44375.44941153935</v>
      </c>
      <c r="B59" s="73" t="s">
        <v>610</v>
      </c>
      <c r="C59" s="73" t="s">
        <v>2266</v>
      </c>
      <c r="D59" s="73">
        <v>1997.0</v>
      </c>
      <c r="E59" s="74" t="s">
        <v>1291</v>
      </c>
      <c r="F59" s="73" t="s">
        <v>2267</v>
      </c>
      <c r="G59" s="73" t="s">
        <v>2268</v>
      </c>
      <c r="H59" s="74" t="s">
        <v>1255</v>
      </c>
      <c r="I59" s="73" t="s">
        <v>2269</v>
      </c>
      <c r="J59" s="74"/>
      <c r="K59" s="74"/>
      <c r="L59" s="73" t="s">
        <v>2270</v>
      </c>
      <c r="M59" s="74"/>
      <c r="N59" s="73" t="s">
        <v>1260</v>
      </c>
      <c r="O59" s="75"/>
      <c r="P59" s="74"/>
      <c r="Q59" s="74"/>
      <c r="R59" s="73" t="s">
        <v>1261</v>
      </c>
      <c r="S59" s="73" t="s">
        <v>1262</v>
      </c>
      <c r="T59" s="73" t="s">
        <v>1490</v>
      </c>
      <c r="U59" s="74"/>
      <c r="V59" s="74"/>
      <c r="W59" s="74"/>
      <c r="X59" s="73" t="s">
        <v>2271</v>
      </c>
      <c r="Y59" s="74"/>
      <c r="Z59" s="73" t="s">
        <v>2272</v>
      </c>
      <c r="AA59" s="74" t="s">
        <v>73</v>
      </c>
      <c r="AB59" s="73" t="s">
        <v>73</v>
      </c>
      <c r="AC59" s="73" t="s">
        <v>73</v>
      </c>
      <c r="AD59" s="73" t="s">
        <v>1268</v>
      </c>
      <c r="AE59" s="73" t="s">
        <v>1268</v>
      </c>
      <c r="AF59" s="74" t="s">
        <v>1701</v>
      </c>
      <c r="AG59" s="73" t="s">
        <v>73</v>
      </c>
      <c r="AH59" s="74"/>
      <c r="AI59" s="73" t="s">
        <v>73</v>
      </c>
      <c r="AJ59" s="74"/>
      <c r="AK59" s="73" t="s">
        <v>1314</v>
      </c>
      <c r="AL59" s="73" t="s">
        <v>1270</v>
      </c>
      <c r="AM59" s="74"/>
      <c r="AN59" s="74" t="s">
        <v>1278</v>
      </c>
      <c r="AO59" s="74" t="s">
        <v>2273</v>
      </c>
      <c r="AP59" s="74">
        <v>40.0</v>
      </c>
      <c r="AQ59" s="74"/>
      <c r="AR59" s="74" t="s">
        <v>35</v>
      </c>
      <c r="AS59" s="74" t="s">
        <v>1315</v>
      </c>
      <c r="AT59" s="74" t="s">
        <v>2274</v>
      </c>
      <c r="AU59" s="74">
        <v>39.0</v>
      </c>
      <c r="AV59" s="74"/>
      <c r="AW59" s="74" t="s">
        <v>35</v>
      </c>
      <c r="AX59" s="74" t="s">
        <v>1392</v>
      </c>
      <c r="AY59" s="74" t="s">
        <v>2275</v>
      </c>
      <c r="AZ59" s="74">
        <v>12.0</v>
      </c>
      <c r="BA59" s="74" t="s">
        <v>35</v>
      </c>
      <c r="BB59" s="74"/>
      <c r="BC59" s="74" t="s">
        <v>1392</v>
      </c>
      <c r="BD59" s="74" t="s">
        <v>2276</v>
      </c>
      <c r="BE59" s="74">
        <v>7.0</v>
      </c>
      <c r="BF59" s="74"/>
      <c r="BG59" s="74"/>
      <c r="BH59" s="74"/>
      <c r="BI59" s="74"/>
      <c r="BJ59" s="74"/>
      <c r="BK59" s="74"/>
      <c r="BL59" s="74"/>
      <c r="BM59" s="74" t="s">
        <v>1278</v>
      </c>
      <c r="BN59" s="74" t="s">
        <v>2277</v>
      </c>
      <c r="BO59" s="74">
        <v>3500.0</v>
      </c>
      <c r="BP59" s="74" t="s">
        <v>1315</v>
      </c>
      <c r="BQ59" s="74" t="s">
        <v>2278</v>
      </c>
      <c r="BR59" s="74">
        <v>1500.0</v>
      </c>
      <c r="BS59" s="74"/>
      <c r="BT59" s="74"/>
      <c r="BU59" s="74"/>
      <c r="BV59" s="74"/>
      <c r="BW59" s="74"/>
      <c r="BX59" s="74"/>
      <c r="BZ59" s="74"/>
      <c r="CA59" s="74" t="s">
        <v>73</v>
      </c>
      <c r="CB59" s="74"/>
      <c r="CC59" s="73" t="s">
        <v>73</v>
      </c>
      <c r="CD59" s="74"/>
      <c r="CE59" s="73" t="s">
        <v>37</v>
      </c>
      <c r="CF59" s="74"/>
      <c r="CG59" s="73" t="s">
        <v>37</v>
      </c>
      <c r="CH59" s="74"/>
      <c r="CI59" s="73" t="s">
        <v>73</v>
      </c>
      <c r="CJ59" s="74"/>
      <c r="CK59" s="73" t="s">
        <v>73</v>
      </c>
      <c r="CL59" s="74"/>
      <c r="CM59" s="73" t="s">
        <v>35</v>
      </c>
      <c r="CN59" s="74" t="s">
        <v>2279</v>
      </c>
      <c r="CO59" s="73" t="s">
        <v>35</v>
      </c>
      <c r="CP59" s="74" t="s">
        <v>2280</v>
      </c>
      <c r="CQ59" s="73" t="s">
        <v>35</v>
      </c>
      <c r="CR59" s="73" t="s">
        <v>2281</v>
      </c>
      <c r="CS59" s="74" t="s">
        <v>1353</v>
      </c>
      <c r="CT59" s="74" t="s">
        <v>1711</v>
      </c>
      <c r="CU59" s="79">
        <f t="shared" si="1"/>
        <v>59</v>
      </c>
      <c r="CV59" s="77">
        <f>IFERROR(__xludf.DUMMYFUNCTION("IFERROR(QUERY(Presidente!$A$3:$AD112, ""SELECT AD WHERE A = '"" &amp; $B59 &amp; ""'""),"""")"),656.0)</f>
        <v>656</v>
      </c>
    </row>
    <row r="60">
      <c r="A60" s="72">
        <v>44375.53866078704</v>
      </c>
      <c r="B60" s="73" t="s">
        <v>620</v>
      </c>
      <c r="C60" s="73" t="s">
        <v>2282</v>
      </c>
      <c r="D60" s="73">
        <v>68.0</v>
      </c>
      <c r="E60" s="73" t="s">
        <v>2283</v>
      </c>
      <c r="F60" s="73" t="s">
        <v>2284</v>
      </c>
      <c r="G60" s="73" t="s">
        <v>2285</v>
      </c>
      <c r="H60" s="74" t="s">
        <v>1255</v>
      </c>
      <c r="I60" s="73" t="s">
        <v>2286</v>
      </c>
      <c r="J60" s="74" t="s">
        <v>2287</v>
      </c>
      <c r="K60" s="73" t="s">
        <v>2288</v>
      </c>
      <c r="L60" s="73" t="s">
        <v>2289</v>
      </c>
      <c r="M60" s="74"/>
      <c r="N60" s="73" t="s">
        <v>2290</v>
      </c>
      <c r="O60" s="78"/>
      <c r="R60" s="73" t="s">
        <v>1261</v>
      </c>
      <c r="S60" s="73" t="s">
        <v>1294</v>
      </c>
      <c r="X60" s="73" t="s">
        <v>2057</v>
      </c>
      <c r="AA60" s="73" t="s">
        <v>73</v>
      </c>
      <c r="AB60" s="73" t="s">
        <v>73</v>
      </c>
      <c r="AC60" s="73" t="s">
        <v>73</v>
      </c>
      <c r="AD60" s="73" t="s">
        <v>1268</v>
      </c>
      <c r="AE60" s="73" t="s">
        <v>1268</v>
      </c>
      <c r="AG60" s="73" t="s">
        <v>73</v>
      </c>
      <c r="AI60" s="73" t="s">
        <v>73</v>
      </c>
      <c r="AK60" s="73" t="s">
        <v>1314</v>
      </c>
      <c r="AL60" s="73" t="s">
        <v>1299</v>
      </c>
      <c r="CC60" s="73" t="s">
        <v>73</v>
      </c>
      <c r="CE60" s="73" t="s">
        <v>1416</v>
      </c>
      <c r="CG60" s="73" t="s">
        <v>1416</v>
      </c>
      <c r="CI60" s="73" t="s">
        <v>73</v>
      </c>
      <c r="CK60" s="73" t="s">
        <v>73</v>
      </c>
      <c r="CM60" s="73" t="s">
        <v>73</v>
      </c>
      <c r="CO60" s="73" t="s">
        <v>73</v>
      </c>
      <c r="CQ60" s="73" t="s">
        <v>35</v>
      </c>
      <c r="CR60" s="73" t="s">
        <v>2291</v>
      </c>
      <c r="CT60" s="74" t="s">
        <v>1435</v>
      </c>
      <c r="CU60" s="76">
        <f t="shared" si="1"/>
        <v>60</v>
      </c>
      <c r="CV60" s="77">
        <f>IFERROR(__xludf.DUMMYFUNCTION("IFERROR(QUERY(Presidente!$A$3:$AD112, ""SELECT AD WHERE A = '"" &amp; $B60 &amp; ""'""),"""")"),657.0)</f>
        <v>657</v>
      </c>
    </row>
    <row r="61">
      <c r="A61" s="72">
        <v>44375.328231203704</v>
      </c>
      <c r="B61" s="73" t="s">
        <v>630</v>
      </c>
      <c r="C61" s="73" t="s">
        <v>2292</v>
      </c>
      <c r="D61" s="73">
        <v>602.0</v>
      </c>
      <c r="E61" s="73" t="s">
        <v>2293</v>
      </c>
      <c r="F61" s="73" t="s">
        <v>2294</v>
      </c>
      <c r="G61" s="73" t="s">
        <v>2295</v>
      </c>
      <c r="H61" s="74" t="s">
        <v>1329</v>
      </c>
      <c r="I61" s="73" t="s">
        <v>2296</v>
      </c>
      <c r="J61" s="74" t="s">
        <v>636</v>
      </c>
      <c r="K61" s="73" t="s">
        <v>2297</v>
      </c>
      <c r="L61" s="73" t="s">
        <v>2298</v>
      </c>
      <c r="M61" s="74"/>
      <c r="N61" s="73" t="s">
        <v>1462</v>
      </c>
      <c r="O61" s="78">
        <v>4.60002260116E11</v>
      </c>
      <c r="P61" s="73">
        <v>347.0</v>
      </c>
      <c r="Q61" s="80" t="s">
        <v>2299</v>
      </c>
      <c r="R61" s="73" t="s">
        <v>1261</v>
      </c>
      <c r="S61" s="73" t="s">
        <v>1294</v>
      </c>
      <c r="T61" s="73" t="s">
        <v>2300</v>
      </c>
      <c r="U61" s="74"/>
      <c r="V61" s="74"/>
      <c r="W61" s="74"/>
      <c r="X61" s="73" t="s">
        <v>2301</v>
      </c>
      <c r="Y61" s="74"/>
      <c r="Z61" s="74"/>
      <c r="AA61" s="74" t="s">
        <v>1284</v>
      </c>
      <c r="AB61" s="73" t="s">
        <v>73</v>
      </c>
      <c r="AC61" s="73" t="s">
        <v>73</v>
      </c>
      <c r="AD61" s="73" t="s">
        <v>1268</v>
      </c>
      <c r="AE61" s="73" t="s">
        <v>1268</v>
      </c>
      <c r="AF61" s="74" t="s">
        <v>1284</v>
      </c>
      <c r="AG61" s="73" t="s">
        <v>73</v>
      </c>
      <c r="AH61" s="74"/>
      <c r="AI61" s="73" t="s">
        <v>73</v>
      </c>
      <c r="AJ61" s="74"/>
      <c r="AK61" s="73" t="s">
        <v>1314</v>
      </c>
      <c r="AL61" s="73" t="s">
        <v>1299</v>
      </c>
      <c r="AM61" s="74"/>
      <c r="AN61" s="74" t="s">
        <v>1273</v>
      </c>
      <c r="AO61" s="74" t="s">
        <v>2302</v>
      </c>
      <c r="AP61" s="74">
        <v>53.0</v>
      </c>
      <c r="AQ61" s="74"/>
      <c r="AR61" s="73" t="s">
        <v>35</v>
      </c>
      <c r="AS61" s="74" t="s">
        <v>1275</v>
      </c>
      <c r="AT61" s="74" t="s">
        <v>2303</v>
      </c>
      <c r="AU61" s="74">
        <v>13.0</v>
      </c>
      <c r="AV61" s="74" t="s">
        <v>35</v>
      </c>
      <c r="AW61" s="74"/>
      <c r="AX61" s="74"/>
      <c r="AY61" s="74"/>
      <c r="AZ61" s="74"/>
      <c r="BA61" s="74"/>
      <c r="BB61" s="74"/>
      <c r="BC61" s="74"/>
      <c r="BD61" s="74"/>
      <c r="BE61" s="74"/>
      <c r="BF61" s="74"/>
      <c r="BH61" s="74"/>
      <c r="BI61" s="74"/>
      <c r="BJ61" s="74"/>
      <c r="BK61" s="74"/>
      <c r="BL61" s="74"/>
      <c r="BM61" s="74" t="s">
        <v>1273</v>
      </c>
      <c r="BN61" s="74" t="s">
        <v>1280</v>
      </c>
      <c r="BO61" s="74">
        <v>2000.0</v>
      </c>
      <c r="BP61" s="74"/>
      <c r="BQ61" s="74"/>
      <c r="BS61" s="74"/>
      <c r="BT61" s="74"/>
      <c r="BV61" s="74"/>
      <c r="BW61" s="74"/>
      <c r="BZ61" s="74">
        <v>0.0</v>
      </c>
      <c r="CA61" s="74" t="s">
        <v>73</v>
      </c>
      <c r="CB61" s="74"/>
      <c r="CC61" s="73" t="s">
        <v>73</v>
      </c>
      <c r="CD61" s="74"/>
      <c r="CE61" s="73" t="s">
        <v>37</v>
      </c>
      <c r="CF61" s="74"/>
      <c r="CG61" s="73" t="s">
        <v>1416</v>
      </c>
      <c r="CH61" s="74"/>
      <c r="CI61" s="73" t="s">
        <v>35</v>
      </c>
      <c r="CJ61" s="74" t="s">
        <v>2304</v>
      </c>
      <c r="CK61" s="73" t="s">
        <v>73</v>
      </c>
      <c r="CL61" s="74"/>
      <c r="CM61" s="73" t="s">
        <v>73</v>
      </c>
      <c r="CN61" s="74"/>
      <c r="CO61" s="73" t="s">
        <v>73</v>
      </c>
      <c r="CP61" s="74"/>
      <c r="CQ61" s="73" t="s">
        <v>35</v>
      </c>
      <c r="CR61" s="73" t="s">
        <v>2305</v>
      </c>
      <c r="CS61" s="74" t="s">
        <v>1434</v>
      </c>
      <c r="CT61" s="74" t="s">
        <v>2306</v>
      </c>
      <c r="CU61" s="79">
        <f t="shared" si="1"/>
        <v>61</v>
      </c>
      <c r="CV61" s="77">
        <f>IFERROR(__xludf.DUMMYFUNCTION("IFERROR(QUERY(Presidente!$A$3:$AD112, ""SELECT AD WHERE A = '"" &amp; $B61 &amp; ""'""),"""")"),658.0)</f>
        <v>658</v>
      </c>
    </row>
    <row r="62">
      <c r="A62" s="72">
        <v>44375.351395000005</v>
      </c>
      <c r="B62" s="73" t="s">
        <v>640</v>
      </c>
      <c r="C62" s="73" t="s">
        <v>2307</v>
      </c>
      <c r="D62" s="73">
        <v>176.0</v>
      </c>
      <c r="E62" s="74"/>
      <c r="F62" s="73" t="s">
        <v>2308</v>
      </c>
      <c r="G62" s="74" t="s">
        <v>2309</v>
      </c>
      <c r="H62" s="74" t="s">
        <v>1255</v>
      </c>
      <c r="I62" s="73" t="s">
        <v>2310</v>
      </c>
      <c r="J62" s="74">
        <v>1.1957077967E10</v>
      </c>
      <c r="K62" s="73" t="s">
        <v>2311</v>
      </c>
      <c r="L62" s="74"/>
      <c r="M62" s="74"/>
      <c r="N62" s="73" t="s">
        <v>1260</v>
      </c>
      <c r="O62" s="75"/>
      <c r="P62" s="74"/>
      <c r="Q62" s="74"/>
      <c r="R62" s="73" t="s">
        <v>1261</v>
      </c>
      <c r="S62" s="73" t="s">
        <v>1294</v>
      </c>
      <c r="T62" s="74"/>
      <c r="U62" s="73" t="s">
        <v>2312</v>
      </c>
      <c r="V62" s="73" t="s">
        <v>2197</v>
      </c>
      <c r="W62" s="74"/>
      <c r="X62" s="73" t="s">
        <v>1312</v>
      </c>
      <c r="Y62" s="74"/>
      <c r="Z62" s="74"/>
      <c r="AA62" s="73" t="s">
        <v>73</v>
      </c>
      <c r="AB62" s="73" t="s">
        <v>73</v>
      </c>
      <c r="AC62" s="73" t="s">
        <v>73</v>
      </c>
      <c r="AD62" s="73" t="s">
        <v>1268</v>
      </c>
      <c r="AE62" s="73" t="s">
        <v>1268</v>
      </c>
      <c r="AF62" s="74"/>
      <c r="AG62" s="73" t="s">
        <v>73</v>
      </c>
      <c r="AH62" s="74"/>
      <c r="AI62" s="73" t="s">
        <v>73</v>
      </c>
      <c r="AJ62" s="74"/>
      <c r="AK62" s="73" t="s">
        <v>1314</v>
      </c>
      <c r="AL62" s="73" t="s">
        <v>1299</v>
      </c>
      <c r="AM62" s="74"/>
      <c r="AN62" s="74" t="s">
        <v>1445</v>
      </c>
      <c r="AO62" s="74" t="s">
        <v>644</v>
      </c>
      <c r="AP62" s="74">
        <v>70.0</v>
      </c>
      <c r="AQ62" s="74"/>
      <c r="AR62" s="74"/>
      <c r="AS62" s="74" t="s">
        <v>1348</v>
      </c>
      <c r="AT62" s="74" t="s">
        <v>2313</v>
      </c>
      <c r="AU62" s="74">
        <v>21.0</v>
      </c>
      <c r="AV62" s="74"/>
      <c r="AW62" s="74" t="s">
        <v>35</v>
      </c>
      <c r="AX62" s="74" t="s">
        <v>1348</v>
      </c>
      <c r="AY62" s="74" t="s">
        <v>2314</v>
      </c>
      <c r="AZ62" s="74">
        <v>26.0</v>
      </c>
      <c r="BA62" s="74"/>
      <c r="BB62" s="74" t="s">
        <v>35</v>
      </c>
      <c r="BC62" s="74"/>
      <c r="BD62" s="74"/>
      <c r="BE62" s="74"/>
      <c r="BF62" s="74"/>
      <c r="BG62" s="74"/>
      <c r="BH62" s="74"/>
      <c r="BI62" s="74"/>
      <c r="BJ62" s="74"/>
      <c r="BK62" s="74"/>
      <c r="BL62" s="74"/>
      <c r="BM62" s="74" t="s">
        <v>1348</v>
      </c>
      <c r="BN62" s="74" t="s">
        <v>2315</v>
      </c>
      <c r="BO62" s="74" t="s">
        <v>2315</v>
      </c>
      <c r="BP62" s="74" t="s">
        <v>1348</v>
      </c>
      <c r="BQ62" s="74" t="s">
        <v>2316</v>
      </c>
      <c r="BR62" s="74">
        <v>1200.0</v>
      </c>
      <c r="BS62" s="74"/>
      <c r="BT62" s="74"/>
      <c r="BU62" s="74"/>
      <c r="BV62" s="74"/>
      <c r="BW62" s="74"/>
      <c r="BX62" s="74"/>
      <c r="BZ62" s="74"/>
      <c r="CA62" s="74" t="s">
        <v>73</v>
      </c>
      <c r="CB62" s="74"/>
      <c r="CC62" s="73" t="s">
        <v>73</v>
      </c>
      <c r="CD62" s="74"/>
      <c r="CE62" s="73" t="s">
        <v>1416</v>
      </c>
      <c r="CF62" s="74"/>
      <c r="CG62" s="73" t="s">
        <v>1416</v>
      </c>
      <c r="CH62" s="74"/>
      <c r="CI62" s="73" t="s">
        <v>73</v>
      </c>
      <c r="CJ62" s="74"/>
      <c r="CK62" s="73" t="s">
        <v>73</v>
      </c>
      <c r="CL62" s="74"/>
      <c r="CM62" s="73" t="s">
        <v>35</v>
      </c>
      <c r="CN62" s="74" t="s">
        <v>2317</v>
      </c>
      <c r="CO62" s="73" t="s">
        <v>73</v>
      </c>
      <c r="CP62" s="74"/>
      <c r="CQ62" s="73" t="s">
        <v>35</v>
      </c>
      <c r="CR62" s="73" t="s">
        <v>2318</v>
      </c>
      <c r="CS62" s="74" t="s">
        <v>1287</v>
      </c>
      <c r="CT62" s="74" t="s">
        <v>1454</v>
      </c>
      <c r="CU62" s="79">
        <f t="shared" si="1"/>
        <v>62</v>
      </c>
      <c r="CV62" s="77">
        <f>IFERROR(__xludf.DUMMYFUNCTION("IFERROR(QUERY(Presidente!$A$3:$AD112, ""SELECT AD WHERE A = '"" &amp; $B62 &amp; ""'""),"""")"),659.0)</f>
        <v>659</v>
      </c>
    </row>
    <row r="63">
      <c r="A63" s="72">
        <v>44375.34697579861</v>
      </c>
      <c r="B63" s="73" t="s">
        <v>650</v>
      </c>
      <c r="C63" s="73" t="s">
        <v>2319</v>
      </c>
      <c r="D63" s="73">
        <v>2.0</v>
      </c>
      <c r="E63" s="74" t="s">
        <v>1291</v>
      </c>
      <c r="F63" s="73" t="s">
        <v>2320</v>
      </c>
      <c r="G63" s="73" t="s">
        <v>2321</v>
      </c>
      <c r="H63" s="74" t="s">
        <v>1329</v>
      </c>
      <c r="I63" s="73" t="s">
        <v>2322</v>
      </c>
      <c r="J63" s="74"/>
      <c r="K63" s="73" t="s">
        <v>2323</v>
      </c>
      <c r="L63" s="73" t="s">
        <v>2324</v>
      </c>
      <c r="M63" s="74"/>
      <c r="N63" s="73" t="s">
        <v>1310</v>
      </c>
      <c r="O63" s="78"/>
      <c r="R63" s="73" t="s">
        <v>1261</v>
      </c>
      <c r="S63" s="73" t="s">
        <v>1262</v>
      </c>
      <c r="W63" s="73" t="s">
        <v>2325</v>
      </c>
      <c r="X63" s="73" t="s">
        <v>1312</v>
      </c>
      <c r="AA63" s="73" t="s">
        <v>73</v>
      </c>
      <c r="AB63" s="73" t="s">
        <v>73</v>
      </c>
      <c r="AC63" s="73" t="s">
        <v>73</v>
      </c>
      <c r="AD63" s="73" t="s">
        <v>1268</v>
      </c>
      <c r="AE63" s="73" t="s">
        <v>1268</v>
      </c>
      <c r="AG63" s="73" t="s">
        <v>73</v>
      </c>
      <c r="AI63" s="73" t="s">
        <v>73</v>
      </c>
      <c r="AK63" s="73" t="s">
        <v>1314</v>
      </c>
      <c r="AL63" s="73" t="s">
        <v>1270</v>
      </c>
      <c r="CC63" s="73" t="s">
        <v>73</v>
      </c>
      <c r="CE63" s="73" t="s">
        <v>84</v>
      </c>
      <c r="CG63" s="73" t="s">
        <v>84</v>
      </c>
      <c r="CI63" s="73" t="s">
        <v>35</v>
      </c>
      <c r="CK63" s="73" t="s">
        <v>73</v>
      </c>
      <c r="CM63" s="73" t="s">
        <v>73</v>
      </c>
      <c r="CO63" s="73" t="s">
        <v>73</v>
      </c>
      <c r="CQ63" s="73" t="s">
        <v>35</v>
      </c>
      <c r="CR63" s="73" t="s">
        <v>2326</v>
      </c>
      <c r="CT63" s="74" t="s">
        <v>1301</v>
      </c>
      <c r="CU63" s="79">
        <f t="shared" si="1"/>
        <v>63</v>
      </c>
      <c r="CV63" s="77">
        <f>IFERROR(__xludf.DUMMYFUNCTION("IFERROR(QUERY(Presidente!$A$3:$AD112, ""SELECT AD WHERE A = '"" &amp; $B63 &amp; ""'""),"""")"),660.0)</f>
        <v>660</v>
      </c>
    </row>
    <row r="64">
      <c r="A64" s="72">
        <v>44375.562362743054</v>
      </c>
      <c r="B64" s="73" t="s">
        <v>660</v>
      </c>
      <c r="C64" s="73" t="s">
        <v>2327</v>
      </c>
      <c r="D64" s="73">
        <v>245.0</v>
      </c>
      <c r="E64" s="73" t="s">
        <v>2328</v>
      </c>
      <c r="F64" s="73" t="s">
        <v>2329</v>
      </c>
      <c r="G64" s="73" t="s">
        <v>2330</v>
      </c>
      <c r="H64" s="74" t="s">
        <v>1255</v>
      </c>
      <c r="I64" s="73" t="s">
        <v>2331</v>
      </c>
      <c r="J64" s="74" t="s">
        <v>2332</v>
      </c>
      <c r="K64" s="73" t="s">
        <v>2333</v>
      </c>
      <c r="L64" s="73" t="s">
        <v>2334</v>
      </c>
      <c r="M64" s="74"/>
      <c r="N64" s="73" t="s">
        <v>1260</v>
      </c>
      <c r="O64" s="75"/>
      <c r="P64" s="74"/>
      <c r="R64" s="73" t="s">
        <v>1261</v>
      </c>
      <c r="S64" s="73" t="s">
        <v>1294</v>
      </c>
      <c r="T64" s="74"/>
      <c r="U64" s="74"/>
      <c r="V64" s="74"/>
      <c r="W64" s="74"/>
      <c r="X64" s="73" t="s">
        <v>1312</v>
      </c>
      <c r="Y64" s="74"/>
      <c r="Z64" s="74"/>
      <c r="AA64" s="74" t="s">
        <v>1267</v>
      </c>
      <c r="AB64" s="73" t="s">
        <v>1267</v>
      </c>
      <c r="AC64" s="73" t="s">
        <v>73</v>
      </c>
      <c r="AD64" s="73" t="s">
        <v>1268</v>
      </c>
      <c r="AE64" s="73" t="s">
        <v>1268</v>
      </c>
      <c r="AF64" s="74"/>
      <c r="AG64" s="73" t="s">
        <v>73</v>
      </c>
      <c r="AH64" s="74"/>
      <c r="AI64" s="73" t="s">
        <v>73</v>
      </c>
      <c r="AJ64" s="74"/>
      <c r="AK64" s="73" t="s">
        <v>1314</v>
      </c>
      <c r="AL64" s="73" t="s">
        <v>1299</v>
      </c>
      <c r="AM64" s="74"/>
      <c r="AN64" s="74" t="s">
        <v>1517</v>
      </c>
      <c r="AO64" s="74" t="s">
        <v>664</v>
      </c>
      <c r="AP64" s="74">
        <v>39.0</v>
      </c>
      <c r="AQ64" s="74"/>
      <c r="AR64" s="74"/>
      <c r="AS64" s="74" t="s">
        <v>1608</v>
      </c>
      <c r="AT64" s="74" t="s">
        <v>2335</v>
      </c>
      <c r="AU64" s="74">
        <v>43.0</v>
      </c>
      <c r="AV64" s="74"/>
      <c r="AW64" s="74" t="s">
        <v>35</v>
      </c>
      <c r="AX64" s="74" t="s">
        <v>1348</v>
      </c>
      <c r="AY64" s="74" t="s">
        <v>2336</v>
      </c>
      <c r="AZ64" s="74">
        <v>9.0</v>
      </c>
      <c r="BA64" s="74" t="s">
        <v>35</v>
      </c>
      <c r="BB64" s="74"/>
      <c r="BC64" s="74"/>
      <c r="BD64" s="74"/>
      <c r="BE64" s="74"/>
      <c r="BF64" s="74"/>
      <c r="BH64" s="74"/>
      <c r="BI64" s="74"/>
      <c r="BJ64" s="74"/>
      <c r="BK64" s="74"/>
      <c r="BL64" s="74"/>
      <c r="BM64" s="74" t="s">
        <v>2337</v>
      </c>
      <c r="BN64" s="74" t="s">
        <v>1349</v>
      </c>
      <c r="BO64" s="74">
        <v>1800.0</v>
      </c>
      <c r="BP64" s="74"/>
      <c r="BQ64" s="74"/>
      <c r="BR64" s="74"/>
      <c r="BS64" s="74"/>
      <c r="BT64" s="74"/>
      <c r="BU64" s="74"/>
      <c r="BV64" s="74"/>
      <c r="BW64" s="74"/>
      <c r="BX64" s="74"/>
      <c r="BZ64" s="74"/>
      <c r="CA64" s="74" t="s">
        <v>73</v>
      </c>
      <c r="CB64" s="74"/>
      <c r="CC64" s="73" t="s">
        <v>73</v>
      </c>
      <c r="CD64" s="74"/>
      <c r="CE64" s="73" t="s">
        <v>1416</v>
      </c>
      <c r="CF64" s="74"/>
      <c r="CG64" s="73" t="s">
        <v>1416</v>
      </c>
      <c r="CH64" s="74"/>
      <c r="CI64" s="73" t="s">
        <v>35</v>
      </c>
      <c r="CJ64" s="74" t="s">
        <v>2338</v>
      </c>
      <c r="CK64" s="73" t="s">
        <v>73</v>
      </c>
      <c r="CL64" s="74"/>
      <c r="CM64" s="73" t="s">
        <v>73</v>
      </c>
      <c r="CN64" s="74"/>
      <c r="CO64" s="73" t="s">
        <v>35</v>
      </c>
      <c r="CP64" s="74" t="s">
        <v>2339</v>
      </c>
      <c r="CQ64" s="73" t="s">
        <v>35</v>
      </c>
      <c r="CR64" s="73" t="s">
        <v>2340</v>
      </c>
      <c r="CS64" s="74" t="s">
        <v>1323</v>
      </c>
      <c r="CT64" s="74" t="s">
        <v>1523</v>
      </c>
      <c r="CU64" s="76">
        <f t="shared" si="1"/>
        <v>64</v>
      </c>
      <c r="CV64" s="77">
        <f>IFERROR(__xludf.DUMMYFUNCTION("IFERROR(QUERY(Presidente!$A$3:$AD112, ""SELECT AD WHERE A = '"" &amp; $B64 &amp; ""'""),"""")"),661.0)</f>
        <v>661</v>
      </c>
    </row>
    <row r="65">
      <c r="A65" s="72">
        <v>44375.4591724537</v>
      </c>
      <c r="B65" s="73" t="s">
        <v>670</v>
      </c>
      <c r="C65" s="73" t="s">
        <v>2341</v>
      </c>
      <c r="D65" s="73">
        <v>408.0</v>
      </c>
      <c r="E65" s="73" t="s">
        <v>2342</v>
      </c>
      <c r="F65" s="73" t="s">
        <v>2343</v>
      </c>
      <c r="G65" s="73" t="s">
        <v>2344</v>
      </c>
      <c r="H65" s="74" t="s">
        <v>1255</v>
      </c>
      <c r="I65" s="73" t="s">
        <v>2345</v>
      </c>
      <c r="J65" s="74" t="s">
        <v>2346</v>
      </c>
      <c r="K65" s="73" t="s">
        <v>2347</v>
      </c>
      <c r="L65" s="73" t="s">
        <v>2348</v>
      </c>
      <c r="M65" s="74"/>
      <c r="N65" s="73" t="s">
        <v>1260</v>
      </c>
      <c r="O65" s="75"/>
      <c r="P65" s="74"/>
      <c r="Q65" s="74"/>
      <c r="R65" s="73" t="s">
        <v>1261</v>
      </c>
      <c r="S65" s="73" t="s">
        <v>1294</v>
      </c>
      <c r="T65" s="73" t="s">
        <v>2349</v>
      </c>
      <c r="U65" s="73" t="s">
        <v>2344</v>
      </c>
      <c r="V65" s="73" t="s">
        <v>2350</v>
      </c>
      <c r="W65" s="74" t="s">
        <v>2351</v>
      </c>
      <c r="X65" s="74" t="s">
        <v>2352</v>
      </c>
      <c r="AA65" s="73" t="s">
        <v>73</v>
      </c>
      <c r="AB65" s="73" t="s">
        <v>73</v>
      </c>
      <c r="AC65" s="73" t="s">
        <v>73</v>
      </c>
      <c r="AD65" s="73" t="s">
        <v>1268</v>
      </c>
      <c r="AE65" s="73" t="s">
        <v>1268</v>
      </c>
      <c r="AF65" s="73" t="s">
        <v>1268</v>
      </c>
      <c r="AG65" s="73" t="s">
        <v>73</v>
      </c>
      <c r="AH65" s="74"/>
      <c r="AI65" s="73" t="s">
        <v>73</v>
      </c>
      <c r="AJ65" s="74"/>
      <c r="AK65" s="73" t="s">
        <v>1314</v>
      </c>
      <c r="AL65" s="73" t="s">
        <v>1270</v>
      </c>
      <c r="AM65" s="74"/>
      <c r="AN65" s="74" t="s">
        <v>1278</v>
      </c>
      <c r="AO65" s="74" t="s">
        <v>2353</v>
      </c>
      <c r="AP65" s="74">
        <v>43.0</v>
      </c>
      <c r="AQ65" s="74"/>
      <c r="AR65" s="74" t="s">
        <v>35</v>
      </c>
      <c r="AS65" s="74" t="s">
        <v>1315</v>
      </c>
      <c r="AT65" s="74" t="s">
        <v>2354</v>
      </c>
      <c r="AU65" s="74">
        <v>40.0</v>
      </c>
      <c r="AV65" s="74"/>
      <c r="AW65" s="74" t="s">
        <v>35</v>
      </c>
      <c r="AX65" s="74" t="s">
        <v>1411</v>
      </c>
      <c r="AY65" s="74" t="s">
        <v>2355</v>
      </c>
      <c r="AZ65" s="74">
        <v>10.0</v>
      </c>
      <c r="BA65" s="74" t="s">
        <v>35</v>
      </c>
      <c r="BB65" s="74"/>
      <c r="BC65" s="74"/>
      <c r="BD65" s="74"/>
      <c r="BE65" s="74"/>
      <c r="BF65" s="74"/>
      <c r="BG65" s="74"/>
      <c r="BH65" s="74"/>
      <c r="BI65" s="74"/>
      <c r="BJ65" s="74"/>
      <c r="BK65" s="74"/>
      <c r="BL65" s="74"/>
      <c r="BM65" s="74" t="s">
        <v>1278</v>
      </c>
      <c r="BN65" s="74" t="s">
        <v>2356</v>
      </c>
      <c r="BO65" s="74" t="s">
        <v>2357</v>
      </c>
      <c r="BP65" s="74" t="s">
        <v>1315</v>
      </c>
      <c r="BQ65" s="74" t="s">
        <v>2358</v>
      </c>
      <c r="BR65" s="74" t="s">
        <v>2359</v>
      </c>
      <c r="BS65" s="74"/>
      <c r="BT65" s="74"/>
      <c r="BU65" s="74"/>
      <c r="BV65" s="74"/>
      <c r="BW65" s="74"/>
      <c r="BZ65" s="74"/>
      <c r="CA65" s="73" t="s">
        <v>73</v>
      </c>
      <c r="CC65" s="73" t="s">
        <v>73</v>
      </c>
      <c r="CD65" s="74"/>
      <c r="CE65" s="73" t="s">
        <v>37</v>
      </c>
      <c r="CF65" s="74"/>
      <c r="CG65" s="73" t="s">
        <v>37</v>
      </c>
      <c r="CH65" s="74"/>
      <c r="CI65" s="73" t="s">
        <v>35</v>
      </c>
      <c r="CJ65" s="74" t="s">
        <v>2360</v>
      </c>
      <c r="CK65" s="73" t="s">
        <v>35</v>
      </c>
      <c r="CL65" s="74" t="s">
        <v>2361</v>
      </c>
      <c r="CM65" s="73" t="s">
        <v>73</v>
      </c>
      <c r="CN65" s="74"/>
      <c r="CO65" s="73" t="s">
        <v>73</v>
      </c>
      <c r="CP65" s="74"/>
      <c r="CQ65" s="73" t="s">
        <v>35</v>
      </c>
      <c r="CR65" s="73" t="s">
        <v>2362</v>
      </c>
      <c r="CS65" s="74" t="s">
        <v>1793</v>
      </c>
      <c r="CT65" s="74" t="s">
        <v>2363</v>
      </c>
      <c r="CU65" s="76">
        <f t="shared" si="1"/>
        <v>65</v>
      </c>
      <c r="CV65" s="77">
        <f>IFERROR(__xludf.DUMMYFUNCTION("IFERROR(QUERY(Presidente!$A$3:$AD112, ""SELECT AD WHERE A = '"" &amp; $B65 &amp; ""'""),"""")"),662.0)</f>
        <v>662</v>
      </c>
    </row>
    <row r="66">
      <c r="A66" s="72">
        <v>44375.342445381946</v>
      </c>
      <c r="B66" s="73" t="s">
        <v>681</v>
      </c>
      <c r="C66" s="73" t="s">
        <v>2364</v>
      </c>
      <c r="D66" s="73">
        <v>63.0</v>
      </c>
      <c r="E66" s="74"/>
      <c r="F66" s="73" t="s">
        <v>2365</v>
      </c>
      <c r="G66" s="73" t="s">
        <v>2366</v>
      </c>
      <c r="H66" s="74" t="s">
        <v>1305</v>
      </c>
      <c r="I66" s="73" t="s">
        <v>2367</v>
      </c>
      <c r="J66" s="74"/>
      <c r="K66" s="74"/>
      <c r="L66" s="73" t="s">
        <v>2368</v>
      </c>
      <c r="M66" s="74"/>
      <c r="N66" s="73" t="s">
        <v>1462</v>
      </c>
      <c r="O66" s="75"/>
      <c r="P66" s="74"/>
      <c r="Q66" s="74"/>
      <c r="R66" s="73" t="s">
        <v>1261</v>
      </c>
      <c r="S66" s="73" t="s">
        <v>1294</v>
      </c>
      <c r="T66" s="73" t="s">
        <v>2369</v>
      </c>
      <c r="U66" s="74"/>
      <c r="V66" s="74"/>
      <c r="W66" s="74"/>
      <c r="X66" s="73" t="s">
        <v>2370</v>
      </c>
      <c r="Y66" s="74"/>
      <c r="Z66" s="74"/>
      <c r="AA66" s="74" t="s">
        <v>73</v>
      </c>
      <c r="AB66" s="73" t="s">
        <v>73</v>
      </c>
      <c r="AC66" s="73" t="s">
        <v>73</v>
      </c>
      <c r="AD66" s="73" t="s">
        <v>1268</v>
      </c>
      <c r="AE66" s="73" t="s">
        <v>1268</v>
      </c>
      <c r="AF66" s="74"/>
      <c r="AG66" s="73" t="s">
        <v>73</v>
      </c>
      <c r="AH66" s="74"/>
      <c r="AI66" s="73" t="s">
        <v>73</v>
      </c>
      <c r="AJ66" s="74"/>
      <c r="AK66" s="73" t="s">
        <v>1314</v>
      </c>
      <c r="AL66" s="73" t="s">
        <v>2371</v>
      </c>
      <c r="AM66" s="74"/>
      <c r="AN66" s="74" t="s">
        <v>1340</v>
      </c>
      <c r="AO66" s="74" t="s">
        <v>2372</v>
      </c>
      <c r="AP66" s="74">
        <v>53.0</v>
      </c>
      <c r="AQ66" s="74"/>
      <c r="AR66" s="74" t="s">
        <v>35</v>
      </c>
      <c r="AS66" s="74" t="s">
        <v>1445</v>
      </c>
      <c r="AT66" s="74" t="s">
        <v>685</v>
      </c>
      <c r="AU66" s="74">
        <v>54.0</v>
      </c>
      <c r="AV66" s="74"/>
      <c r="AW66" s="74"/>
      <c r="AX66" s="74" t="s">
        <v>1344</v>
      </c>
      <c r="AY66" s="74" t="s">
        <v>2373</v>
      </c>
      <c r="AZ66" s="74">
        <v>26.0</v>
      </c>
      <c r="BA66" s="74"/>
      <c r="BB66" s="74" t="s">
        <v>35</v>
      </c>
      <c r="BC66" s="74" t="s">
        <v>1344</v>
      </c>
      <c r="BD66" s="74" t="s">
        <v>2374</v>
      </c>
      <c r="BE66" s="74">
        <v>12.0</v>
      </c>
      <c r="BF66" s="74" t="s">
        <v>35</v>
      </c>
      <c r="BG66" s="74"/>
      <c r="BH66" s="74"/>
      <c r="BI66" s="74"/>
      <c r="BJ66" s="74"/>
      <c r="BK66" s="74"/>
      <c r="BL66" s="74"/>
      <c r="BM66" s="74" t="s">
        <v>1340</v>
      </c>
      <c r="BN66" s="74" t="s">
        <v>1377</v>
      </c>
      <c r="BO66" s="74">
        <v>2500.0</v>
      </c>
      <c r="BP66" s="74" t="s">
        <v>1344</v>
      </c>
      <c r="BQ66" s="74" t="s">
        <v>2375</v>
      </c>
      <c r="BR66" s="74">
        <v>1100.0</v>
      </c>
      <c r="BS66" s="74"/>
      <c r="BT66" s="74"/>
      <c r="BU66" s="74"/>
      <c r="BV66" s="74"/>
      <c r="BW66" s="74"/>
      <c r="BX66" s="74"/>
      <c r="BZ66" s="74"/>
      <c r="CA66" s="74" t="s">
        <v>73</v>
      </c>
      <c r="CB66" s="74"/>
      <c r="CC66" s="73" t="s">
        <v>73</v>
      </c>
      <c r="CD66" s="74"/>
      <c r="CE66" s="73" t="s">
        <v>1416</v>
      </c>
      <c r="CF66" s="74"/>
      <c r="CG66" s="73" t="s">
        <v>1416</v>
      </c>
      <c r="CH66" s="74"/>
      <c r="CI66" s="73" t="s">
        <v>35</v>
      </c>
      <c r="CJ66" s="74" t="s">
        <v>2376</v>
      </c>
      <c r="CK66" s="73" t="s">
        <v>73</v>
      </c>
      <c r="CL66" s="74"/>
      <c r="CM66" s="73" t="s">
        <v>35</v>
      </c>
      <c r="CN66" s="74" t="s">
        <v>2377</v>
      </c>
      <c r="CO66" s="73" t="s">
        <v>73</v>
      </c>
      <c r="CP66" s="74"/>
      <c r="CQ66" s="73" t="s">
        <v>35</v>
      </c>
      <c r="CR66" s="73" t="s">
        <v>2378</v>
      </c>
      <c r="CS66" s="74" t="s">
        <v>1836</v>
      </c>
      <c r="CT66" s="74" t="s">
        <v>1454</v>
      </c>
      <c r="CU66" s="79">
        <f t="shared" si="1"/>
        <v>66</v>
      </c>
      <c r="CV66" s="77">
        <f>IFERROR(__xludf.DUMMYFUNCTION("IFERROR(QUERY(Presidente!$A$3:$AD112, ""SELECT AD WHERE A = '"" &amp; $B66 &amp; ""'""),"""")"),663.0)</f>
        <v>663</v>
      </c>
    </row>
    <row r="67">
      <c r="A67" s="72">
        <v>44375.52760469908</v>
      </c>
      <c r="B67" s="73" t="s">
        <v>690</v>
      </c>
      <c r="C67" s="73" t="s">
        <v>2379</v>
      </c>
      <c r="D67" s="73">
        <v>59.0</v>
      </c>
      <c r="E67" s="73" t="s">
        <v>1478</v>
      </c>
      <c r="F67" s="73" t="s">
        <v>2380</v>
      </c>
      <c r="G67" s="73" t="s">
        <v>2381</v>
      </c>
      <c r="H67" s="74" t="s">
        <v>1329</v>
      </c>
      <c r="I67" s="73" t="s">
        <v>2382</v>
      </c>
      <c r="J67" s="74"/>
      <c r="K67" s="73" t="s">
        <v>2383</v>
      </c>
      <c r="L67" s="73" t="s">
        <v>2384</v>
      </c>
      <c r="M67" s="74"/>
      <c r="N67" s="73" t="s">
        <v>1260</v>
      </c>
      <c r="O67" s="75"/>
      <c r="P67" s="74"/>
      <c r="Q67" s="74"/>
      <c r="R67" s="73" t="s">
        <v>1261</v>
      </c>
      <c r="S67" s="73" t="s">
        <v>1294</v>
      </c>
      <c r="T67" s="73" t="s">
        <v>2385</v>
      </c>
      <c r="U67" s="73" t="s">
        <v>2386</v>
      </c>
      <c r="V67" s="73" t="s">
        <v>2387</v>
      </c>
      <c r="W67" s="73" t="s">
        <v>2388</v>
      </c>
      <c r="X67" s="73" t="s">
        <v>1312</v>
      </c>
      <c r="Y67" s="74"/>
      <c r="Z67" s="74"/>
      <c r="AA67" s="73" t="s">
        <v>1267</v>
      </c>
      <c r="AB67" s="73" t="s">
        <v>1267</v>
      </c>
      <c r="AC67" s="73" t="s">
        <v>73</v>
      </c>
      <c r="AD67" s="73" t="s">
        <v>1268</v>
      </c>
      <c r="AE67" s="73" t="s">
        <v>1268</v>
      </c>
      <c r="AF67" s="74"/>
      <c r="AG67" s="73" t="s">
        <v>73</v>
      </c>
      <c r="AH67" s="74"/>
      <c r="AI67" s="73" t="s">
        <v>73</v>
      </c>
      <c r="AJ67" s="74"/>
      <c r="AK67" s="73" t="s">
        <v>1314</v>
      </c>
      <c r="AL67" s="73" t="s">
        <v>1573</v>
      </c>
      <c r="AM67" s="74"/>
      <c r="AN67" s="74" t="s">
        <v>1278</v>
      </c>
      <c r="AO67" s="74" t="s">
        <v>693</v>
      </c>
      <c r="AP67" s="74">
        <v>46.0</v>
      </c>
      <c r="AQ67" s="74"/>
      <c r="AR67" s="74" t="s">
        <v>35</v>
      </c>
      <c r="AS67" s="74" t="s">
        <v>1315</v>
      </c>
      <c r="AT67" s="74" t="s">
        <v>2389</v>
      </c>
      <c r="AU67" s="74">
        <v>38.0</v>
      </c>
      <c r="AV67" s="74"/>
      <c r="AW67" s="74" t="s">
        <v>35</v>
      </c>
      <c r="AX67" s="74" t="s">
        <v>1411</v>
      </c>
      <c r="AY67" s="74" t="s">
        <v>2390</v>
      </c>
      <c r="AZ67" s="74">
        <v>11.0</v>
      </c>
      <c r="BA67" s="74" t="s">
        <v>35</v>
      </c>
      <c r="BB67" s="74"/>
      <c r="BC67" s="74" t="s">
        <v>1574</v>
      </c>
      <c r="BD67" s="74" t="s">
        <v>2391</v>
      </c>
      <c r="BE67" s="74">
        <v>65.0</v>
      </c>
      <c r="BF67" s="74"/>
      <c r="BG67" s="74" t="s">
        <v>35</v>
      </c>
      <c r="BH67" s="74"/>
      <c r="BI67" s="74"/>
      <c r="BJ67" s="74"/>
      <c r="BK67" s="74"/>
      <c r="BL67" s="74"/>
      <c r="BM67" s="74" t="s">
        <v>1278</v>
      </c>
      <c r="BN67" s="74" t="s">
        <v>2392</v>
      </c>
      <c r="BO67" s="74">
        <v>2500.0</v>
      </c>
      <c r="BP67" s="74" t="s">
        <v>1315</v>
      </c>
      <c r="BQ67" s="74" t="s">
        <v>2393</v>
      </c>
      <c r="BR67" s="74">
        <v>1800.0</v>
      </c>
      <c r="BS67" s="74" t="s">
        <v>1574</v>
      </c>
      <c r="BT67" s="74" t="s">
        <v>2394</v>
      </c>
      <c r="BU67" s="74">
        <v>800.0</v>
      </c>
      <c r="BV67" s="74"/>
      <c r="BW67" s="74"/>
      <c r="BZ67" s="74">
        <v>300.0</v>
      </c>
      <c r="CA67" s="74"/>
      <c r="CB67" s="74"/>
      <c r="CC67" s="73" t="s">
        <v>35</v>
      </c>
      <c r="CD67" s="74"/>
      <c r="CE67" s="73" t="s">
        <v>37</v>
      </c>
      <c r="CF67" s="74"/>
      <c r="CG67" s="73" t="s">
        <v>1416</v>
      </c>
      <c r="CH67" s="74"/>
      <c r="CI67" s="73" t="s">
        <v>73</v>
      </c>
      <c r="CJ67" s="74"/>
      <c r="CK67" s="73" t="s">
        <v>73</v>
      </c>
      <c r="CL67" s="74"/>
      <c r="CM67" s="73" t="s">
        <v>35</v>
      </c>
      <c r="CN67" s="74"/>
      <c r="CO67" s="73" t="s">
        <v>73</v>
      </c>
      <c r="CP67" s="74"/>
      <c r="CQ67" s="73" t="s">
        <v>35</v>
      </c>
      <c r="CR67" s="73" t="s">
        <v>2395</v>
      </c>
      <c r="CS67" s="74" t="s">
        <v>1497</v>
      </c>
      <c r="CT67" s="74" t="s">
        <v>1301</v>
      </c>
      <c r="CU67" s="76">
        <f t="shared" si="1"/>
        <v>67</v>
      </c>
      <c r="CV67" s="77">
        <f>IFERROR(__xludf.DUMMYFUNCTION("IFERROR(QUERY(Presidente!$A$3:$AD112, ""SELECT AD WHERE A = '"" &amp; $B67 &amp; ""'""),"""")"),664.0)</f>
        <v>664</v>
      </c>
    </row>
    <row r="68">
      <c r="A68" s="72">
        <v>44375.560197060186</v>
      </c>
      <c r="B68" s="73" t="s">
        <v>700</v>
      </c>
      <c r="C68" s="73" t="s">
        <v>2396</v>
      </c>
      <c r="D68" s="73">
        <v>430.0</v>
      </c>
      <c r="E68" s="73" t="s">
        <v>2397</v>
      </c>
      <c r="F68" s="73" t="s">
        <v>2398</v>
      </c>
      <c r="G68" s="73" t="s">
        <v>2399</v>
      </c>
      <c r="I68" s="73" t="s">
        <v>2400</v>
      </c>
      <c r="K68" s="73" t="s">
        <v>2401</v>
      </c>
      <c r="L68" s="73" t="s">
        <v>2402</v>
      </c>
      <c r="N68" s="73" t="s">
        <v>1260</v>
      </c>
      <c r="O68" s="78"/>
      <c r="R68" s="73" t="s">
        <v>1587</v>
      </c>
      <c r="S68" s="73" t="s">
        <v>1294</v>
      </c>
      <c r="T68" s="73" t="s">
        <v>1490</v>
      </c>
      <c r="W68" s="73" t="s">
        <v>2403</v>
      </c>
      <c r="X68" s="73" t="s">
        <v>2404</v>
      </c>
      <c r="AA68" s="73" t="s">
        <v>73</v>
      </c>
      <c r="AB68" s="73" t="s">
        <v>73</v>
      </c>
      <c r="AC68" s="73" t="s">
        <v>73</v>
      </c>
      <c r="AD68" s="73" t="s">
        <v>1268</v>
      </c>
      <c r="AE68" s="73" t="s">
        <v>1268</v>
      </c>
      <c r="AG68" s="73" t="s">
        <v>73</v>
      </c>
      <c r="AI68" s="73" t="s">
        <v>73</v>
      </c>
      <c r="AK68" s="73" t="s">
        <v>1269</v>
      </c>
      <c r="AL68" s="73" t="s">
        <v>1270</v>
      </c>
      <c r="CC68" s="73" t="s">
        <v>73</v>
      </c>
      <c r="CE68" s="73" t="s">
        <v>37</v>
      </c>
      <c r="CG68" s="73" t="s">
        <v>37</v>
      </c>
      <c r="CI68" s="73" t="s">
        <v>73</v>
      </c>
      <c r="CK68" s="73" t="s">
        <v>73</v>
      </c>
      <c r="CM68" s="73" t="s">
        <v>73</v>
      </c>
      <c r="CO68" s="73" t="s">
        <v>73</v>
      </c>
      <c r="CQ68" s="73" t="s">
        <v>35</v>
      </c>
      <c r="CR68" s="73" t="s">
        <v>2405</v>
      </c>
      <c r="CT68" s="74" t="s">
        <v>1324</v>
      </c>
      <c r="CU68" s="76">
        <f t="shared" si="1"/>
        <v>68</v>
      </c>
      <c r="CV68" s="77">
        <f>IFERROR(__xludf.DUMMYFUNCTION("IFERROR(QUERY(Presidente!$A$3:$AD112, ""SELECT AD WHERE A = '"" &amp; $B68 &amp; ""'""),"""")"),665.0)</f>
        <v>665</v>
      </c>
    </row>
    <row r="69">
      <c r="A69" s="72">
        <v>44375.66468465277</v>
      </c>
      <c r="B69" s="73" t="s">
        <v>710</v>
      </c>
      <c r="C69" s="73" t="s">
        <v>2406</v>
      </c>
      <c r="D69" s="74">
        <v>452.0</v>
      </c>
      <c r="E69" s="74" t="s">
        <v>2407</v>
      </c>
      <c r="F69" s="73" t="s">
        <v>2408</v>
      </c>
      <c r="G69" s="73" t="s">
        <v>2409</v>
      </c>
      <c r="H69" s="74" t="s">
        <v>1255</v>
      </c>
      <c r="I69" s="73" t="s">
        <v>2410</v>
      </c>
      <c r="J69" s="74" t="s">
        <v>2411</v>
      </c>
      <c r="K69" s="74"/>
      <c r="L69" s="74"/>
      <c r="M69" s="74"/>
      <c r="N69" s="73" t="s">
        <v>1260</v>
      </c>
      <c r="O69" s="78"/>
      <c r="R69" s="73" t="s">
        <v>1261</v>
      </c>
      <c r="S69" s="73" t="s">
        <v>1294</v>
      </c>
      <c r="T69" s="73" t="s">
        <v>2412</v>
      </c>
      <c r="X69" s="73" t="s">
        <v>1881</v>
      </c>
      <c r="AA69" s="73" t="s">
        <v>73</v>
      </c>
      <c r="AB69" s="73" t="s">
        <v>73</v>
      </c>
      <c r="AC69" s="73" t="s">
        <v>73</v>
      </c>
      <c r="AD69" s="73" t="s">
        <v>1268</v>
      </c>
      <c r="AE69" s="73" t="s">
        <v>1268</v>
      </c>
      <c r="AG69" s="73" t="s">
        <v>73</v>
      </c>
      <c r="AI69" s="73" t="s">
        <v>73</v>
      </c>
      <c r="AK69" s="73" t="s">
        <v>1269</v>
      </c>
      <c r="AL69" s="73" t="s">
        <v>1299</v>
      </c>
      <c r="CC69" s="73" t="s">
        <v>73</v>
      </c>
      <c r="CE69" s="73" t="s">
        <v>37</v>
      </c>
      <c r="CG69" s="73" t="s">
        <v>37</v>
      </c>
      <c r="CI69" s="73" t="s">
        <v>73</v>
      </c>
      <c r="CK69" s="73" t="s">
        <v>73</v>
      </c>
      <c r="CM69" s="73" t="s">
        <v>35</v>
      </c>
      <c r="CO69" s="73" t="s">
        <v>73</v>
      </c>
      <c r="CQ69" s="73" t="s">
        <v>35</v>
      </c>
      <c r="CR69" s="73" t="s">
        <v>2413</v>
      </c>
      <c r="CT69" s="74" t="s">
        <v>1523</v>
      </c>
      <c r="CU69" s="76">
        <f t="shared" si="1"/>
        <v>69</v>
      </c>
      <c r="CV69" s="77">
        <f>IFERROR(__xludf.DUMMYFUNCTION("IFERROR(QUERY(Presidente!$A$3:$AD112, ""SELECT AD WHERE A = '"" &amp; $B69 &amp; ""'""),"""")"),666.0)</f>
        <v>666</v>
      </c>
    </row>
    <row r="70">
      <c r="A70" s="72">
        <v>44375.344461608795</v>
      </c>
      <c r="B70" s="73" t="s">
        <v>721</v>
      </c>
      <c r="C70" s="73" t="s">
        <v>2414</v>
      </c>
      <c r="D70" s="73">
        <v>147.0</v>
      </c>
      <c r="E70" s="73" t="s">
        <v>2415</v>
      </c>
      <c r="F70" s="73" t="s">
        <v>2416</v>
      </c>
      <c r="G70" s="73" t="s">
        <v>2417</v>
      </c>
      <c r="H70" s="74" t="s">
        <v>1255</v>
      </c>
      <c r="I70" s="73" t="s">
        <v>2418</v>
      </c>
      <c r="J70" s="74" t="s">
        <v>2419</v>
      </c>
      <c r="K70" s="73" t="s">
        <v>2420</v>
      </c>
      <c r="L70" s="73" t="s">
        <v>2421</v>
      </c>
      <c r="M70" s="74"/>
      <c r="N70" s="73" t="s">
        <v>1260</v>
      </c>
      <c r="O70" s="75"/>
      <c r="P70" s="74"/>
      <c r="Q70" s="74"/>
      <c r="R70" s="73" t="s">
        <v>1261</v>
      </c>
      <c r="S70" s="73" t="s">
        <v>1262</v>
      </c>
      <c r="T70" s="73" t="s">
        <v>2422</v>
      </c>
      <c r="U70" s="73" t="s">
        <v>2423</v>
      </c>
      <c r="V70" s="73" t="s">
        <v>2424</v>
      </c>
      <c r="W70" s="73" t="s">
        <v>2425</v>
      </c>
      <c r="X70" s="73" t="s">
        <v>1770</v>
      </c>
      <c r="Y70" s="74"/>
      <c r="Z70" s="74"/>
      <c r="AA70" s="73" t="s">
        <v>1267</v>
      </c>
      <c r="AB70" s="73" t="s">
        <v>73</v>
      </c>
      <c r="AC70" s="73" t="s">
        <v>73</v>
      </c>
      <c r="AD70" s="73" t="s">
        <v>1268</v>
      </c>
      <c r="AE70" s="73" t="s">
        <v>1268</v>
      </c>
      <c r="AF70" s="74"/>
      <c r="AG70" s="73" t="s">
        <v>73</v>
      </c>
      <c r="AH70" s="74"/>
      <c r="AI70" s="73" t="s">
        <v>73</v>
      </c>
      <c r="AJ70" s="74"/>
      <c r="AK70" s="73" t="s">
        <v>1314</v>
      </c>
      <c r="AL70" s="73" t="s">
        <v>1491</v>
      </c>
      <c r="AM70" s="74"/>
      <c r="AN70" s="74" t="s">
        <v>1315</v>
      </c>
      <c r="AO70" s="74" t="s">
        <v>725</v>
      </c>
      <c r="AP70" s="74">
        <v>48.0</v>
      </c>
      <c r="AQ70" s="74"/>
      <c r="AR70" s="74" t="s">
        <v>35</v>
      </c>
      <c r="AS70" s="74" t="s">
        <v>1278</v>
      </c>
      <c r="AT70" s="74" t="s">
        <v>724</v>
      </c>
      <c r="AU70" s="74">
        <v>52.0</v>
      </c>
      <c r="AV70" s="74"/>
      <c r="AW70" s="74"/>
      <c r="AX70" s="74"/>
      <c r="AY70" s="74"/>
      <c r="AZ70" s="74"/>
      <c r="BA70" s="74"/>
      <c r="BB70" s="74"/>
      <c r="BC70" s="74"/>
      <c r="BD70" s="74"/>
      <c r="BE70" s="74"/>
      <c r="BF70" s="74"/>
      <c r="BH70" s="74"/>
      <c r="BI70" s="74"/>
      <c r="BJ70" s="74"/>
      <c r="BK70" s="74"/>
      <c r="BL70" s="74"/>
      <c r="BM70" s="74" t="s">
        <v>1445</v>
      </c>
      <c r="BN70" s="74" t="s">
        <v>2426</v>
      </c>
      <c r="BO70" s="74">
        <v>1500.0</v>
      </c>
      <c r="BP70" s="74"/>
      <c r="BQ70" s="74"/>
      <c r="BR70" s="74"/>
      <c r="BS70" s="74"/>
      <c r="BT70" s="74"/>
      <c r="BV70" s="74"/>
      <c r="BW70" s="74"/>
      <c r="BZ70" s="74"/>
      <c r="CA70" s="74" t="s">
        <v>73</v>
      </c>
      <c r="CB70" s="74"/>
      <c r="CC70" s="73" t="s">
        <v>73</v>
      </c>
      <c r="CD70" s="74"/>
      <c r="CE70" s="73" t="s">
        <v>37</v>
      </c>
      <c r="CF70" s="74"/>
      <c r="CG70" s="73" t="s">
        <v>37</v>
      </c>
      <c r="CH70" s="74"/>
      <c r="CI70" s="73" t="s">
        <v>35</v>
      </c>
      <c r="CJ70" s="74" t="s">
        <v>2427</v>
      </c>
      <c r="CK70" s="73" t="s">
        <v>35</v>
      </c>
      <c r="CL70" s="74"/>
      <c r="CM70" s="73" t="s">
        <v>73</v>
      </c>
      <c r="CN70" s="74"/>
      <c r="CO70" s="73" t="s">
        <v>73</v>
      </c>
      <c r="CP70" s="74"/>
      <c r="CQ70" s="73" t="s">
        <v>35</v>
      </c>
      <c r="CR70" s="73" t="s">
        <v>2428</v>
      </c>
      <c r="CS70" s="74" t="s">
        <v>1793</v>
      </c>
      <c r="CT70" s="74" t="s">
        <v>1523</v>
      </c>
      <c r="CU70" s="79">
        <f t="shared" si="1"/>
        <v>70</v>
      </c>
      <c r="CV70" s="77">
        <f>IFERROR(__xludf.DUMMYFUNCTION("IFERROR(QUERY(Presidente!$A$3:$AD112, ""SELECT AD WHERE A = '"" &amp; $B70 &amp; ""'""),"""")"),667.0)</f>
        <v>667</v>
      </c>
    </row>
    <row r="71">
      <c r="A71" s="72">
        <v>44375.338145625</v>
      </c>
      <c r="B71" s="73" t="s">
        <v>731</v>
      </c>
      <c r="C71" s="73" t="s">
        <v>2429</v>
      </c>
      <c r="D71" s="73">
        <v>295.0</v>
      </c>
      <c r="E71" s="73" t="s">
        <v>2430</v>
      </c>
      <c r="F71" s="73" t="s">
        <v>2431</v>
      </c>
      <c r="G71" s="73" t="s">
        <v>2432</v>
      </c>
      <c r="H71" s="74" t="s">
        <v>1929</v>
      </c>
      <c r="I71" s="73" t="s">
        <v>2433</v>
      </c>
      <c r="J71" s="74"/>
      <c r="K71" s="74" t="s">
        <v>2434</v>
      </c>
      <c r="L71" s="73" t="s">
        <v>2435</v>
      </c>
      <c r="M71" s="74"/>
      <c r="N71" s="73" t="s">
        <v>1260</v>
      </c>
      <c r="O71" s="75"/>
      <c r="P71" s="74"/>
      <c r="Q71" s="74"/>
      <c r="R71" s="73" t="s">
        <v>1261</v>
      </c>
      <c r="S71" s="73" t="s">
        <v>1294</v>
      </c>
      <c r="T71" s="73" t="s">
        <v>2436</v>
      </c>
      <c r="U71" s="74" t="s">
        <v>2437</v>
      </c>
      <c r="V71" s="74" t="s">
        <v>2438</v>
      </c>
      <c r="W71" s="74"/>
      <c r="X71" s="73" t="s">
        <v>2439</v>
      </c>
      <c r="Y71" s="74"/>
      <c r="Z71" s="74"/>
      <c r="AA71" s="73" t="s">
        <v>2440</v>
      </c>
      <c r="AB71" s="73" t="s">
        <v>73</v>
      </c>
      <c r="AC71" s="73" t="s">
        <v>73</v>
      </c>
      <c r="AD71" s="73" t="s">
        <v>1268</v>
      </c>
      <c r="AE71" s="73" t="s">
        <v>1268</v>
      </c>
      <c r="AF71" s="74" t="s">
        <v>1740</v>
      </c>
      <c r="AG71" s="73" t="s">
        <v>73</v>
      </c>
      <c r="AH71" s="74"/>
      <c r="AI71" s="73" t="s">
        <v>73</v>
      </c>
      <c r="AJ71" s="74"/>
      <c r="AK71" s="73" t="s">
        <v>1314</v>
      </c>
      <c r="AL71" s="73" t="s">
        <v>1491</v>
      </c>
      <c r="AM71" s="74"/>
      <c r="AN71" s="74" t="s">
        <v>1340</v>
      </c>
      <c r="AO71" s="74" t="s">
        <v>2441</v>
      </c>
      <c r="AP71" s="74">
        <v>50.0</v>
      </c>
      <c r="AQ71" s="74"/>
      <c r="AR71" s="74" t="s">
        <v>35</v>
      </c>
      <c r="AS71" s="74" t="s">
        <v>1339</v>
      </c>
      <c r="AT71" s="74" t="s">
        <v>736</v>
      </c>
      <c r="AU71" s="74">
        <v>58.0</v>
      </c>
      <c r="AV71" s="74"/>
      <c r="AW71" s="74" t="s">
        <v>73</v>
      </c>
      <c r="AX71" s="74"/>
      <c r="AY71" s="74"/>
      <c r="AZ71" s="74"/>
      <c r="BA71" s="74"/>
      <c r="BB71" s="74"/>
      <c r="BC71" s="74"/>
      <c r="BD71" s="74"/>
      <c r="BE71" s="74"/>
      <c r="BF71" s="74"/>
      <c r="BH71" s="74"/>
      <c r="BI71" s="74"/>
      <c r="BJ71" s="74"/>
      <c r="BK71" s="74"/>
      <c r="BL71" s="74"/>
      <c r="BM71" s="74" t="s">
        <v>1271</v>
      </c>
      <c r="BN71" s="74" t="s">
        <v>2442</v>
      </c>
      <c r="BO71" s="74">
        <v>3000.0</v>
      </c>
      <c r="BP71" s="74"/>
      <c r="BQ71" s="74"/>
      <c r="BR71" s="74"/>
      <c r="BS71" s="74"/>
      <c r="BT71" s="74"/>
      <c r="BU71" s="74"/>
      <c r="BV71" s="74"/>
      <c r="BW71" s="74"/>
      <c r="BX71" s="74"/>
      <c r="BZ71" s="74"/>
      <c r="CA71" s="74" t="s">
        <v>73</v>
      </c>
      <c r="CB71" s="74"/>
      <c r="CC71" s="73" t="s">
        <v>73</v>
      </c>
      <c r="CD71" s="74"/>
      <c r="CE71" s="73" t="s">
        <v>84</v>
      </c>
      <c r="CF71" s="74"/>
      <c r="CG71" s="73" t="s">
        <v>84</v>
      </c>
      <c r="CH71" s="74"/>
      <c r="CI71" s="73" t="s">
        <v>73</v>
      </c>
      <c r="CJ71" s="74"/>
      <c r="CK71" s="73" t="s">
        <v>35</v>
      </c>
      <c r="CL71" s="73" t="s">
        <v>2443</v>
      </c>
      <c r="CM71" s="73" t="s">
        <v>35</v>
      </c>
      <c r="CN71" s="74"/>
      <c r="CO71" s="73" t="s">
        <v>73</v>
      </c>
      <c r="CP71" s="74"/>
      <c r="CQ71" s="73" t="s">
        <v>35</v>
      </c>
      <c r="CR71" s="73" t="s">
        <v>2444</v>
      </c>
      <c r="CS71" s="74" t="s">
        <v>2117</v>
      </c>
      <c r="CT71" s="74" t="s">
        <v>1354</v>
      </c>
      <c r="CU71" s="79">
        <f t="shared" si="1"/>
        <v>71</v>
      </c>
      <c r="CV71" s="77">
        <f>IFERROR(__xludf.DUMMYFUNCTION("IFERROR(QUERY(Presidente!$A$3:$AD112, ""SELECT AD WHERE A = '"" &amp; $B71 &amp; ""'""),"""")"),668.0)</f>
        <v>668</v>
      </c>
    </row>
    <row r="72">
      <c r="A72" s="72">
        <v>44375.3942192824</v>
      </c>
      <c r="B72" s="73" t="s">
        <v>742</v>
      </c>
      <c r="C72" s="73" t="s">
        <v>2445</v>
      </c>
      <c r="D72" s="73">
        <v>269.0</v>
      </c>
      <c r="E72" s="74"/>
      <c r="F72" s="73" t="s">
        <v>2446</v>
      </c>
      <c r="G72" s="73" t="s">
        <v>2447</v>
      </c>
      <c r="H72" s="74" t="s">
        <v>1329</v>
      </c>
      <c r="I72" s="73" t="s">
        <v>2448</v>
      </c>
      <c r="J72" s="74" t="s">
        <v>2449</v>
      </c>
      <c r="K72" s="74"/>
      <c r="L72" s="74"/>
      <c r="M72" s="74"/>
      <c r="N72" s="73" t="s">
        <v>1260</v>
      </c>
      <c r="O72" s="75"/>
      <c r="P72" s="74"/>
      <c r="Q72" s="74"/>
      <c r="R72" s="73" t="s">
        <v>1261</v>
      </c>
      <c r="S72" s="73" t="s">
        <v>1294</v>
      </c>
      <c r="T72" s="74"/>
      <c r="U72" s="73" t="s">
        <v>2450</v>
      </c>
      <c r="V72" s="73" t="s">
        <v>2451</v>
      </c>
      <c r="W72" s="74"/>
      <c r="X72" s="74"/>
      <c r="Y72" s="74"/>
      <c r="Z72" s="74"/>
      <c r="AA72" s="73" t="s">
        <v>73</v>
      </c>
      <c r="AB72" s="73" t="s">
        <v>73</v>
      </c>
      <c r="AC72" s="73" t="s">
        <v>73</v>
      </c>
      <c r="AD72" s="73" t="s">
        <v>1268</v>
      </c>
      <c r="AE72" s="73" t="s">
        <v>1268</v>
      </c>
      <c r="AF72" s="74" t="s">
        <v>1284</v>
      </c>
      <c r="AG72" s="73" t="s">
        <v>73</v>
      </c>
      <c r="AH72" s="74"/>
      <c r="AI72" s="73" t="s">
        <v>73</v>
      </c>
      <c r="AJ72" s="74"/>
      <c r="AK72" s="73" t="s">
        <v>1314</v>
      </c>
      <c r="AL72" s="73" t="s">
        <v>1299</v>
      </c>
      <c r="AM72" s="74"/>
      <c r="AN72" s="74" t="s">
        <v>1273</v>
      </c>
      <c r="AO72" s="74" t="s">
        <v>2452</v>
      </c>
      <c r="AP72" s="74">
        <v>51.0</v>
      </c>
      <c r="AQ72" s="74"/>
      <c r="AR72" s="74" t="s">
        <v>1986</v>
      </c>
      <c r="AS72" s="74" t="s">
        <v>1275</v>
      </c>
      <c r="AT72" s="74" t="s">
        <v>2453</v>
      </c>
      <c r="AU72" s="74">
        <v>21.0</v>
      </c>
      <c r="AV72" s="74" t="s">
        <v>1986</v>
      </c>
      <c r="AW72" s="74" t="s">
        <v>1986</v>
      </c>
      <c r="AX72" s="74"/>
      <c r="AY72" s="74"/>
      <c r="AZ72" s="74"/>
      <c r="BA72" s="74"/>
      <c r="BB72" s="74"/>
      <c r="BC72" s="74"/>
      <c r="BD72" s="74"/>
      <c r="BE72" s="74"/>
      <c r="BF72" s="74"/>
      <c r="BG72" s="74"/>
      <c r="BH72" s="74"/>
      <c r="BI72" s="74"/>
      <c r="BJ72" s="74"/>
      <c r="BK72" s="74"/>
      <c r="BL72" s="74"/>
      <c r="BM72" s="74" t="s">
        <v>1866</v>
      </c>
      <c r="BN72" s="74" t="s">
        <v>2454</v>
      </c>
      <c r="BO72" s="74">
        <v>1500.0</v>
      </c>
      <c r="BP72" s="74" t="s">
        <v>1987</v>
      </c>
      <c r="BQ72" s="74" t="s">
        <v>2455</v>
      </c>
      <c r="BR72" s="74">
        <v>1700.0</v>
      </c>
      <c r="BS72" s="74"/>
      <c r="BT72" s="74"/>
      <c r="BU72" s="74"/>
      <c r="BV72" s="74"/>
      <c r="BW72" s="74"/>
      <c r="BZ72" s="74">
        <v>1500.0</v>
      </c>
      <c r="CA72" s="74" t="s">
        <v>1284</v>
      </c>
      <c r="CB72" s="74"/>
      <c r="CC72" s="73" t="s">
        <v>35</v>
      </c>
      <c r="CD72" s="74"/>
      <c r="CE72" s="73" t="s">
        <v>37</v>
      </c>
      <c r="CF72" s="74"/>
      <c r="CG72" s="73" t="s">
        <v>1416</v>
      </c>
      <c r="CH72" s="74"/>
      <c r="CI72" s="73" t="s">
        <v>73</v>
      </c>
      <c r="CJ72" s="74"/>
      <c r="CK72" s="73" t="s">
        <v>73</v>
      </c>
      <c r="CL72" s="74"/>
      <c r="CM72" s="73" t="s">
        <v>73</v>
      </c>
      <c r="CN72" s="74"/>
      <c r="CO72" s="73" t="s">
        <v>73</v>
      </c>
      <c r="CP72" s="74"/>
      <c r="CQ72" s="73" t="s">
        <v>35</v>
      </c>
      <c r="CR72" s="73" t="s">
        <v>2456</v>
      </c>
      <c r="CS72" s="74" t="s">
        <v>1497</v>
      </c>
      <c r="CT72" s="74" t="s">
        <v>1991</v>
      </c>
      <c r="CU72" s="79">
        <f t="shared" si="1"/>
        <v>72</v>
      </c>
      <c r="CV72" s="77">
        <f>IFERROR(__xludf.DUMMYFUNCTION("IFERROR(QUERY(Presidente!$A$3:$AD112, ""SELECT AD WHERE A = '"" &amp; $B72 &amp; ""'""),"""")"),669.0)</f>
        <v>669</v>
      </c>
    </row>
    <row r="73">
      <c r="A73" s="72">
        <v>44375.53558563658</v>
      </c>
      <c r="B73" s="73" t="s">
        <v>752</v>
      </c>
      <c r="C73" s="73" t="s">
        <v>2457</v>
      </c>
      <c r="D73" s="73">
        <v>7.0</v>
      </c>
      <c r="E73" s="74"/>
      <c r="F73" s="73" t="s">
        <v>2458</v>
      </c>
      <c r="G73" s="73" t="s">
        <v>2459</v>
      </c>
      <c r="H73" s="74" t="s">
        <v>1305</v>
      </c>
      <c r="I73" s="73" t="s">
        <v>2460</v>
      </c>
      <c r="J73" s="74" t="s">
        <v>2461</v>
      </c>
      <c r="K73" s="73" t="s">
        <v>2462</v>
      </c>
      <c r="L73" s="74"/>
      <c r="M73" s="73" t="s">
        <v>2463</v>
      </c>
      <c r="N73" s="73" t="s">
        <v>1260</v>
      </c>
      <c r="O73" s="75"/>
      <c r="P73" s="74"/>
      <c r="R73" s="73" t="s">
        <v>1261</v>
      </c>
      <c r="S73" s="73" t="s">
        <v>1262</v>
      </c>
      <c r="T73" s="73" t="s">
        <v>2464</v>
      </c>
      <c r="U73" s="74"/>
      <c r="V73" s="74"/>
      <c r="W73" s="73" t="s">
        <v>2465</v>
      </c>
      <c r="X73" s="73" t="s">
        <v>1770</v>
      </c>
      <c r="Y73" s="74"/>
      <c r="Z73" s="74"/>
      <c r="AA73" s="74" t="s">
        <v>35</v>
      </c>
      <c r="AB73" s="73" t="s">
        <v>1267</v>
      </c>
      <c r="AC73" s="73" t="s">
        <v>73</v>
      </c>
      <c r="AD73" s="73" t="s">
        <v>1268</v>
      </c>
      <c r="AE73" s="73" t="s">
        <v>1268</v>
      </c>
      <c r="AF73" s="74"/>
      <c r="AG73" s="73" t="s">
        <v>73</v>
      </c>
      <c r="AH73" s="74"/>
      <c r="AI73" s="73" t="s">
        <v>73</v>
      </c>
      <c r="AJ73" s="74"/>
      <c r="AK73" s="73" t="s">
        <v>1269</v>
      </c>
      <c r="AL73" s="73" t="s">
        <v>1299</v>
      </c>
      <c r="AM73" s="74"/>
      <c r="AN73" s="74" t="s">
        <v>1315</v>
      </c>
      <c r="AO73" s="74" t="s">
        <v>2466</v>
      </c>
      <c r="AP73" s="74">
        <v>37.0</v>
      </c>
      <c r="AQ73" s="74"/>
      <c r="AR73" s="74" t="s">
        <v>35</v>
      </c>
      <c r="AS73" s="74" t="s">
        <v>1411</v>
      </c>
      <c r="AT73" s="74" t="s">
        <v>2467</v>
      </c>
      <c r="AU73" s="74">
        <v>6.0</v>
      </c>
      <c r="AV73" s="74" t="s">
        <v>35</v>
      </c>
      <c r="AW73" s="74"/>
      <c r="AX73" s="74"/>
      <c r="AY73" s="74"/>
      <c r="AZ73" s="74"/>
      <c r="BA73" s="74"/>
      <c r="BB73" s="74"/>
      <c r="BC73" s="74"/>
      <c r="BD73" s="74"/>
      <c r="BE73" s="74"/>
      <c r="BF73" s="74"/>
      <c r="BH73" s="74"/>
      <c r="BI73" s="74"/>
      <c r="BJ73" s="74"/>
      <c r="BK73" s="74"/>
      <c r="BL73" s="74"/>
      <c r="BM73" s="74" t="s">
        <v>1315</v>
      </c>
      <c r="BN73" s="74" t="s">
        <v>2468</v>
      </c>
      <c r="BO73" s="74">
        <v>1600.0</v>
      </c>
      <c r="BP73" s="74"/>
      <c r="BQ73" s="74"/>
      <c r="BR73" s="74"/>
      <c r="BS73" s="74"/>
      <c r="BT73" s="74"/>
      <c r="BU73" s="74"/>
      <c r="BV73" s="74"/>
      <c r="BW73" s="74"/>
      <c r="BX73" s="74"/>
      <c r="BZ73" s="74"/>
      <c r="CA73" s="74" t="s">
        <v>73</v>
      </c>
      <c r="CB73" s="74"/>
      <c r="CC73" s="73" t="s">
        <v>73</v>
      </c>
      <c r="CD73" s="74"/>
      <c r="CE73" s="73" t="s">
        <v>37</v>
      </c>
      <c r="CF73" s="74"/>
      <c r="CG73" s="73" t="s">
        <v>1416</v>
      </c>
      <c r="CH73" s="74"/>
      <c r="CI73" s="73" t="s">
        <v>73</v>
      </c>
      <c r="CJ73" s="74"/>
      <c r="CK73" s="73" t="s">
        <v>73</v>
      </c>
      <c r="CL73" s="74"/>
      <c r="CM73" s="73" t="s">
        <v>73</v>
      </c>
      <c r="CN73" s="74"/>
      <c r="CO73" s="73" t="s">
        <v>73</v>
      </c>
      <c r="CP73" s="74"/>
      <c r="CQ73" s="73" t="s">
        <v>35</v>
      </c>
      <c r="CR73" s="73" t="s">
        <v>2469</v>
      </c>
      <c r="CS73" s="74" t="s">
        <v>1419</v>
      </c>
      <c r="CT73" s="74" t="s">
        <v>1542</v>
      </c>
      <c r="CU73" s="76">
        <f t="shared" si="1"/>
        <v>73</v>
      </c>
      <c r="CV73" s="77">
        <f>IFERROR(__xludf.DUMMYFUNCTION("IFERROR(QUERY(Presidente!$A$3:$AD112, ""SELECT AD WHERE A = '"" &amp; $B73 &amp; ""'""),"""")"),670.0)</f>
        <v>670</v>
      </c>
    </row>
    <row r="74">
      <c r="A74" s="72">
        <v>44375.353692199074</v>
      </c>
      <c r="B74" s="73" t="s">
        <v>762</v>
      </c>
      <c r="C74" s="73" t="s">
        <v>2470</v>
      </c>
      <c r="D74" s="73">
        <v>321.0</v>
      </c>
      <c r="E74" s="73" t="s">
        <v>2471</v>
      </c>
      <c r="F74" s="73" t="s">
        <v>2472</v>
      </c>
      <c r="G74" s="73" t="s">
        <v>2473</v>
      </c>
      <c r="H74" s="74" t="s">
        <v>1255</v>
      </c>
      <c r="I74" s="73" t="s">
        <v>2474</v>
      </c>
      <c r="J74" s="74" t="s">
        <v>2475</v>
      </c>
      <c r="K74" s="74"/>
      <c r="L74" s="73" t="s">
        <v>2476</v>
      </c>
      <c r="M74" s="74"/>
      <c r="N74" s="73" t="s">
        <v>2290</v>
      </c>
      <c r="O74" s="78"/>
      <c r="R74" s="73" t="s">
        <v>2014</v>
      </c>
      <c r="S74" s="73" t="s">
        <v>1294</v>
      </c>
      <c r="T74" s="73" t="s">
        <v>2477</v>
      </c>
      <c r="X74" s="73" t="s">
        <v>2478</v>
      </c>
      <c r="Y74" s="73" t="s">
        <v>2479</v>
      </c>
      <c r="Z74" s="73" t="s">
        <v>2272</v>
      </c>
      <c r="AA74" s="73" t="s">
        <v>73</v>
      </c>
      <c r="AB74" s="73" t="s">
        <v>73</v>
      </c>
      <c r="AC74" s="73" t="s">
        <v>73</v>
      </c>
      <c r="AD74" s="73" t="s">
        <v>1268</v>
      </c>
      <c r="AE74" s="73" t="s">
        <v>1268</v>
      </c>
      <c r="AG74" s="73" t="s">
        <v>73</v>
      </c>
      <c r="AI74" s="73" t="s">
        <v>73</v>
      </c>
      <c r="AK74" s="73" t="s">
        <v>1314</v>
      </c>
      <c r="AL74" s="73" t="s">
        <v>1270</v>
      </c>
      <c r="CC74" s="73" t="s">
        <v>35</v>
      </c>
      <c r="CE74" s="73" t="s">
        <v>37</v>
      </c>
      <c r="CG74" s="73" t="s">
        <v>37</v>
      </c>
      <c r="CI74" s="73" t="s">
        <v>35</v>
      </c>
      <c r="CK74" s="73" t="s">
        <v>35</v>
      </c>
      <c r="CM74" s="73" t="s">
        <v>35</v>
      </c>
      <c r="CO74" s="73" t="s">
        <v>73</v>
      </c>
      <c r="CQ74" s="73" t="s">
        <v>35</v>
      </c>
      <c r="CR74" s="73" t="s">
        <v>2480</v>
      </c>
      <c r="CT74" s="74" t="s">
        <v>1435</v>
      </c>
      <c r="CU74" s="79">
        <f t="shared" si="1"/>
        <v>74</v>
      </c>
      <c r="CV74" s="77">
        <f>IFERROR(__xludf.DUMMYFUNCTION("IFERROR(QUERY(Presidente!$A$3:$AD112, ""SELECT AD WHERE A = '"" &amp; $B74 &amp; ""'""),"""")"),671.0)</f>
        <v>671</v>
      </c>
    </row>
    <row r="75">
      <c r="A75" s="72">
        <v>44375.312573055555</v>
      </c>
      <c r="B75" s="73" t="s">
        <v>772</v>
      </c>
      <c r="C75" s="73" t="s">
        <v>2481</v>
      </c>
      <c r="D75" s="73">
        <v>17.0</v>
      </c>
      <c r="E75" s="73" t="s">
        <v>2482</v>
      </c>
      <c r="F75" s="73" t="s">
        <v>2483</v>
      </c>
      <c r="G75" s="73" t="s">
        <v>2484</v>
      </c>
      <c r="H75" s="74" t="s">
        <v>1255</v>
      </c>
      <c r="I75" s="73">
        <v>4411050.0</v>
      </c>
      <c r="J75" s="74" t="s">
        <v>2485</v>
      </c>
      <c r="K75" s="74"/>
      <c r="L75" s="74"/>
      <c r="M75" s="74"/>
      <c r="N75" s="73" t="s">
        <v>1462</v>
      </c>
      <c r="O75" s="75"/>
      <c r="P75" s="74"/>
      <c r="R75" s="73" t="s">
        <v>1261</v>
      </c>
      <c r="S75" s="73" t="s">
        <v>1294</v>
      </c>
      <c r="T75" s="73"/>
      <c r="U75" s="74"/>
      <c r="V75" s="74"/>
      <c r="W75" s="73"/>
      <c r="X75" s="74" t="s">
        <v>2254</v>
      </c>
      <c r="Y75" s="74"/>
      <c r="Z75" s="74"/>
      <c r="AA75" s="73" t="s">
        <v>1267</v>
      </c>
      <c r="AB75" s="73" t="s">
        <v>73</v>
      </c>
      <c r="AC75" s="73" t="s">
        <v>73</v>
      </c>
      <c r="AD75" s="73" t="s">
        <v>1268</v>
      </c>
      <c r="AE75" s="73" t="s">
        <v>1268</v>
      </c>
      <c r="AF75" s="74"/>
      <c r="AG75" s="73" t="s">
        <v>73</v>
      </c>
      <c r="AH75" s="74"/>
      <c r="AI75" s="73" t="s">
        <v>73</v>
      </c>
      <c r="AJ75" s="74"/>
      <c r="AK75" s="73" t="s">
        <v>1314</v>
      </c>
      <c r="AL75" s="73" t="s">
        <v>1807</v>
      </c>
      <c r="AM75" s="74"/>
      <c r="AN75" s="74" t="s">
        <v>1315</v>
      </c>
      <c r="AO75" s="74" t="s">
        <v>2486</v>
      </c>
      <c r="AP75" s="74">
        <v>50.0</v>
      </c>
      <c r="AQ75" s="74"/>
      <c r="AR75" s="74" t="s">
        <v>35</v>
      </c>
      <c r="AS75" s="74" t="s">
        <v>1411</v>
      </c>
      <c r="AT75" s="74" t="s">
        <v>2487</v>
      </c>
      <c r="AU75" s="74">
        <v>16.0</v>
      </c>
      <c r="AV75" s="74" t="s">
        <v>35</v>
      </c>
      <c r="AW75" s="74"/>
      <c r="AX75" s="74"/>
      <c r="AY75" s="74"/>
      <c r="AZ75" s="74"/>
      <c r="BA75" s="74"/>
      <c r="BB75" s="74"/>
      <c r="BC75" s="74"/>
      <c r="BD75" s="74"/>
      <c r="BE75" s="74"/>
      <c r="BF75" s="74"/>
      <c r="BG75" s="74"/>
      <c r="BH75" s="74"/>
      <c r="BI75" s="74"/>
      <c r="BJ75" s="74"/>
      <c r="BK75" s="74"/>
      <c r="BL75" s="74"/>
      <c r="BM75" s="74" t="s">
        <v>1315</v>
      </c>
      <c r="BN75" s="74" t="s">
        <v>2488</v>
      </c>
      <c r="BO75" s="74">
        <v>5000.0</v>
      </c>
      <c r="BP75" s="74"/>
      <c r="BQ75" s="74"/>
      <c r="BR75" s="74"/>
      <c r="BS75" s="74"/>
      <c r="BT75" s="74"/>
      <c r="BU75" s="74"/>
      <c r="BV75" s="74"/>
      <c r="BW75" s="74"/>
      <c r="BX75" s="74"/>
      <c r="BZ75" s="74"/>
      <c r="CA75" s="74" t="s">
        <v>73</v>
      </c>
      <c r="CB75" s="74"/>
      <c r="CC75" s="73" t="s">
        <v>73</v>
      </c>
      <c r="CD75" s="74"/>
      <c r="CE75" s="73" t="s">
        <v>37</v>
      </c>
      <c r="CF75" s="74"/>
      <c r="CG75" s="73" t="s">
        <v>84</v>
      </c>
      <c r="CH75" s="74"/>
      <c r="CI75" s="73" t="s">
        <v>73</v>
      </c>
      <c r="CJ75" s="74"/>
      <c r="CK75" s="73" t="s">
        <v>73</v>
      </c>
      <c r="CL75" s="74"/>
      <c r="CM75" s="73" t="s">
        <v>73</v>
      </c>
      <c r="CN75" s="74"/>
      <c r="CO75" s="73" t="s">
        <v>73</v>
      </c>
      <c r="CP75" s="74"/>
      <c r="CQ75" s="73" t="s">
        <v>35</v>
      </c>
      <c r="CR75" s="73" t="s">
        <v>2489</v>
      </c>
      <c r="CS75" s="74" t="s">
        <v>1419</v>
      </c>
      <c r="CT75" s="74" t="s">
        <v>1288</v>
      </c>
      <c r="CU75" s="79">
        <f t="shared" si="1"/>
        <v>75</v>
      </c>
      <c r="CV75" s="77">
        <f>IFERROR(__xludf.DUMMYFUNCTION("IFERROR(QUERY(Presidente!$A$3:$AD112, ""SELECT AD WHERE A = '"" &amp; $B75 &amp; ""'""),"""")"),672.0)</f>
        <v>672</v>
      </c>
    </row>
    <row r="76">
      <c r="A76" s="72">
        <v>44375.37105376157</v>
      </c>
      <c r="B76" s="73" t="s">
        <v>782</v>
      </c>
      <c r="C76" s="73" t="s">
        <v>2490</v>
      </c>
      <c r="D76" s="73">
        <v>465.0</v>
      </c>
      <c r="E76" s="74" t="s">
        <v>1252</v>
      </c>
      <c r="F76" s="73" t="s">
        <v>2491</v>
      </c>
      <c r="G76" s="73" t="s">
        <v>2492</v>
      </c>
      <c r="H76" s="74" t="s">
        <v>1255</v>
      </c>
      <c r="I76" s="73" t="s">
        <v>2493</v>
      </c>
      <c r="J76" s="74" t="s">
        <v>2494</v>
      </c>
      <c r="K76" s="73" t="s">
        <v>789</v>
      </c>
      <c r="L76" s="73" t="s">
        <v>2495</v>
      </c>
      <c r="M76" s="74"/>
      <c r="N76" s="73" t="s">
        <v>1332</v>
      </c>
      <c r="O76" s="75">
        <v>4.59857340175E11</v>
      </c>
      <c r="P76" s="73">
        <v>260.0</v>
      </c>
      <c r="Q76" s="73" t="s">
        <v>2496</v>
      </c>
      <c r="R76" s="73" t="s">
        <v>1261</v>
      </c>
      <c r="S76" s="73" t="s">
        <v>2497</v>
      </c>
      <c r="T76" s="74"/>
      <c r="U76" s="74"/>
      <c r="V76" s="74"/>
      <c r="W76" s="74"/>
      <c r="X76" s="74"/>
      <c r="Y76" s="74" t="s">
        <v>2128</v>
      </c>
      <c r="Z76" s="74"/>
      <c r="AA76" s="74" t="s">
        <v>1351</v>
      </c>
      <c r="AB76" s="73" t="s">
        <v>73</v>
      </c>
      <c r="AC76" s="73" t="s">
        <v>1351</v>
      </c>
      <c r="AD76" s="73" t="s">
        <v>1268</v>
      </c>
      <c r="AE76" s="73" t="s">
        <v>1268</v>
      </c>
      <c r="AF76" s="74" t="s">
        <v>1740</v>
      </c>
      <c r="AG76" s="73" t="s">
        <v>1351</v>
      </c>
      <c r="AH76" s="74"/>
      <c r="AI76" s="73" t="s">
        <v>73</v>
      </c>
      <c r="AJ76" s="74"/>
      <c r="AK76" s="73" t="s">
        <v>2498</v>
      </c>
      <c r="AL76" s="73" t="s">
        <v>2499</v>
      </c>
      <c r="AM76" s="74"/>
      <c r="AN76" s="74" t="s">
        <v>1445</v>
      </c>
      <c r="AO76" s="74" t="s">
        <v>786</v>
      </c>
      <c r="AP76" s="74">
        <v>41.0</v>
      </c>
      <c r="AQ76" s="74"/>
      <c r="AR76" s="74" t="s">
        <v>73</v>
      </c>
      <c r="AS76" s="74" t="s">
        <v>2500</v>
      </c>
      <c r="AT76" s="74" t="s">
        <v>2501</v>
      </c>
      <c r="AU76" s="74">
        <v>8.0</v>
      </c>
      <c r="AV76" s="74" t="s">
        <v>35</v>
      </c>
      <c r="AW76" s="74" t="s">
        <v>73</v>
      </c>
      <c r="AX76" s="74" t="s">
        <v>1340</v>
      </c>
      <c r="AY76" s="74" t="s">
        <v>2502</v>
      </c>
      <c r="AZ76" s="74">
        <v>43.0</v>
      </c>
      <c r="BA76" s="74" t="s">
        <v>73</v>
      </c>
      <c r="BB76" s="74" t="s">
        <v>35</v>
      </c>
      <c r="BC76" s="74"/>
      <c r="BD76" s="74"/>
      <c r="BE76" s="74"/>
      <c r="BF76" s="74" t="s">
        <v>73</v>
      </c>
      <c r="BG76" s="74" t="s">
        <v>73</v>
      </c>
      <c r="BH76" s="74"/>
      <c r="BI76" s="74"/>
      <c r="BJ76" s="74"/>
      <c r="BK76" s="74" t="s">
        <v>73</v>
      </c>
      <c r="BL76" s="74" t="s">
        <v>73</v>
      </c>
      <c r="BM76" s="74" t="s">
        <v>1340</v>
      </c>
      <c r="BN76" s="74" t="s">
        <v>2503</v>
      </c>
      <c r="BO76" s="74">
        <v>5000.0</v>
      </c>
      <c r="BP76" s="74"/>
      <c r="BQ76" s="74"/>
      <c r="BR76" s="74"/>
      <c r="BS76" s="74"/>
      <c r="BT76" s="74"/>
      <c r="BU76" s="74"/>
      <c r="BV76" s="74"/>
      <c r="BW76" s="74"/>
      <c r="BX76" s="74"/>
      <c r="BZ76" s="74"/>
      <c r="CA76" s="74" t="s">
        <v>1351</v>
      </c>
      <c r="CB76" s="74"/>
      <c r="CC76" s="73" t="s">
        <v>1351</v>
      </c>
      <c r="CD76" s="74"/>
      <c r="CE76" s="73" t="s">
        <v>1416</v>
      </c>
      <c r="CF76" s="74"/>
      <c r="CG76" s="73" t="s">
        <v>1416</v>
      </c>
      <c r="CH76" s="74"/>
      <c r="CI76" s="73" t="s">
        <v>1351</v>
      </c>
      <c r="CJ76" s="74"/>
      <c r="CK76" s="73" t="s">
        <v>73</v>
      </c>
      <c r="CL76" s="74"/>
      <c r="CM76" s="73" t="s">
        <v>1351</v>
      </c>
      <c r="CN76" s="74"/>
      <c r="CO76" s="73" t="s">
        <v>1351</v>
      </c>
      <c r="CP76" s="74"/>
      <c r="CQ76" s="73" t="s">
        <v>1351</v>
      </c>
      <c r="CR76" s="73" t="s">
        <v>2504</v>
      </c>
      <c r="CS76" s="74" t="s">
        <v>2505</v>
      </c>
      <c r="CT76" s="74" t="s">
        <v>1523</v>
      </c>
      <c r="CU76" s="79">
        <f t="shared" si="1"/>
        <v>76</v>
      </c>
      <c r="CV76" s="77">
        <f>IFERROR(__xludf.DUMMYFUNCTION("IFERROR(QUERY(Presidente!$A$3:$AD112, ""SELECT AD WHERE A = '"" &amp; $B76 &amp; ""'""),"""")"),673.0)</f>
        <v>673</v>
      </c>
    </row>
    <row r="77">
      <c r="A77" s="72">
        <v>44375.40658997685</v>
      </c>
      <c r="B77" s="73" t="s">
        <v>792</v>
      </c>
      <c r="C77" s="73" t="s">
        <v>2506</v>
      </c>
      <c r="D77" s="73">
        <v>6.0</v>
      </c>
      <c r="E77" s="74" t="s">
        <v>2507</v>
      </c>
      <c r="F77" s="73" t="s">
        <v>2508</v>
      </c>
      <c r="G77" s="73" t="s">
        <v>2509</v>
      </c>
      <c r="H77" s="74" t="s">
        <v>1329</v>
      </c>
      <c r="I77" s="73" t="s">
        <v>2510</v>
      </c>
      <c r="J77" s="74"/>
      <c r="K77" s="73" t="s">
        <v>2511</v>
      </c>
      <c r="L77" s="73" t="s">
        <v>2512</v>
      </c>
      <c r="M77" s="74"/>
      <c r="N77" s="73" t="s">
        <v>1310</v>
      </c>
      <c r="O77" s="75">
        <v>4.54047380108E11</v>
      </c>
      <c r="P77" s="73">
        <v>352.0</v>
      </c>
      <c r="Q77" s="73">
        <v>457.0</v>
      </c>
      <c r="R77" s="73" t="s">
        <v>1261</v>
      </c>
      <c r="S77" s="73" t="s">
        <v>1262</v>
      </c>
      <c r="T77" s="73" t="s">
        <v>2513</v>
      </c>
      <c r="U77" s="74"/>
      <c r="V77" s="74"/>
      <c r="W77" s="73" t="s">
        <v>2514</v>
      </c>
      <c r="X77" s="73" t="s">
        <v>2515</v>
      </c>
      <c r="Y77" s="74"/>
      <c r="Z77" s="74"/>
      <c r="AA77" s="74" t="s">
        <v>73</v>
      </c>
      <c r="AB77" s="73" t="s">
        <v>73</v>
      </c>
      <c r="AC77" s="73" t="s">
        <v>73</v>
      </c>
      <c r="AD77" s="73" t="s">
        <v>1268</v>
      </c>
      <c r="AE77" s="73" t="s">
        <v>1268</v>
      </c>
      <c r="AF77" s="74" t="s">
        <v>1351</v>
      </c>
      <c r="AG77" s="73" t="s">
        <v>73</v>
      </c>
      <c r="AH77" s="74"/>
      <c r="AI77" s="73" t="s">
        <v>73</v>
      </c>
      <c r="AJ77" s="74"/>
      <c r="AK77" s="73" t="s">
        <v>1314</v>
      </c>
      <c r="AL77" s="73" t="s">
        <v>2516</v>
      </c>
      <c r="AM77" s="74"/>
      <c r="AN77" s="74" t="s">
        <v>1445</v>
      </c>
      <c r="AO77" s="74" t="s">
        <v>2517</v>
      </c>
      <c r="AP77" s="74">
        <v>45.0</v>
      </c>
      <c r="AQ77" s="74"/>
      <c r="AR77" s="74" t="s">
        <v>35</v>
      </c>
      <c r="AS77" s="74" t="s">
        <v>1340</v>
      </c>
      <c r="AT77" s="74" t="s">
        <v>795</v>
      </c>
      <c r="AU77" s="74">
        <v>50.0</v>
      </c>
      <c r="AV77" s="74"/>
      <c r="AW77" s="74" t="s">
        <v>35</v>
      </c>
      <c r="AX77" s="74" t="s">
        <v>1344</v>
      </c>
      <c r="AY77" s="74" t="s">
        <v>2518</v>
      </c>
      <c r="AZ77" s="74">
        <v>25.0</v>
      </c>
      <c r="BA77" s="74" t="s">
        <v>73</v>
      </c>
      <c r="BB77" s="74" t="s">
        <v>35</v>
      </c>
      <c r="BC77" s="74"/>
      <c r="BD77" s="74"/>
      <c r="BE77" s="74"/>
      <c r="BF77" s="74"/>
      <c r="BG77" s="74"/>
      <c r="BH77" s="74"/>
      <c r="BI77" s="74"/>
      <c r="BJ77" s="74"/>
      <c r="BK77" s="74"/>
      <c r="BL77" s="74"/>
      <c r="BM77" s="74" t="s">
        <v>1445</v>
      </c>
      <c r="BN77" s="74" t="s">
        <v>2519</v>
      </c>
      <c r="BO77" s="74">
        <v>2000.0</v>
      </c>
      <c r="BP77" s="74" t="s">
        <v>1340</v>
      </c>
      <c r="BQ77" s="74" t="s">
        <v>2520</v>
      </c>
      <c r="BR77" s="74">
        <v>2000.0</v>
      </c>
      <c r="BS77" s="74" t="s">
        <v>1344</v>
      </c>
      <c r="BT77" s="74" t="s">
        <v>2519</v>
      </c>
      <c r="BU77" s="74">
        <v>2000.0</v>
      </c>
      <c r="BV77" s="74"/>
      <c r="BW77" s="74"/>
      <c r="BX77" s="74"/>
      <c r="BZ77" s="74"/>
      <c r="CA77" s="74" t="s">
        <v>1351</v>
      </c>
      <c r="CB77" s="74"/>
      <c r="CC77" s="73" t="s">
        <v>1351</v>
      </c>
      <c r="CD77" s="74"/>
      <c r="CE77" s="73" t="s">
        <v>37</v>
      </c>
      <c r="CF77" s="74"/>
      <c r="CG77" s="73" t="s">
        <v>37</v>
      </c>
      <c r="CH77" s="74"/>
      <c r="CI77" s="73" t="s">
        <v>1351</v>
      </c>
      <c r="CJ77" s="74"/>
      <c r="CK77" s="73" t="s">
        <v>1351</v>
      </c>
      <c r="CL77" s="74"/>
      <c r="CM77" s="73" t="s">
        <v>1351</v>
      </c>
      <c r="CN77" s="74"/>
      <c r="CO77" s="73" t="s">
        <v>1351</v>
      </c>
      <c r="CP77" s="74"/>
      <c r="CQ77" s="73" t="s">
        <v>2169</v>
      </c>
      <c r="CR77" s="73" t="s">
        <v>2521</v>
      </c>
      <c r="CS77" s="74" t="s">
        <v>1353</v>
      </c>
      <c r="CT77" s="74" t="s">
        <v>1301</v>
      </c>
      <c r="CU77" s="79">
        <f t="shared" si="1"/>
        <v>77</v>
      </c>
      <c r="CV77" s="77">
        <f>IFERROR(__xludf.DUMMYFUNCTION("IFERROR(QUERY(Presidente!$A$3:$AD112, ""SELECT AD WHERE A = '"" &amp; $B77 &amp; ""'""),"""")"),674.0)</f>
        <v>674</v>
      </c>
    </row>
    <row r="78">
      <c r="A78" s="72">
        <v>44375.32288116898</v>
      </c>
      <c r="B78" s="73" t="s">
        <v>802</v>
      </c>
      <c r="C78" s="73" t="s">
        <v>2522</v>
      </c>
      <c r="D78" s="73">
        <v>1025.0</v>
      </c>
      <c r="E78" s="73" t="s">
        <v>1291</v>
      </c>
      <c r="F78" s="73" t="s">
        <v>1946</v>
      </c>
      <c r="G78" s="73" t="s">
        <v>2523</v>
      </c>
      <c r="H78" s="74" t="s">
        <v>1255</v>
      </c>
      <c r="I78" s="73" t="s">
        <v>2524</v>
      </c>
      <c r="J78" s="74" t="s">
        <v>2525</v>
      </c>
      <c r="K78" s="73" t="s">
        <v>2526</v>
      </c>
      <c r="L78" s="73" t="s">
        <v>2527</v>
      </c>
      <c r="M78" s="74"/>
      <c r="N78" s="73" t="s">
        <v>1310</v>
      </c>
      <c r="O78" s="75">
        <v>4.51856040108E11</v>
      </c>
      <c r="P78" s="73">
        <v>351.0</v>
      </c>
      <c r="Q78" s="90" t="s">
        <v>2528</v>
      </c>
      <c r="R78" s="73" t="s">
        <v>1261</v>
      </c>
      <c r="S78" s="73" t="s">
        <v>1262</v>
      </c>
      <c r="T78" s="73" t="s">
        <v>2529</v>
      </c>
      <c r="U78" s="73" t="s">
        <v>2530</v>
      </c>
      <c r="V78" s="73" t="s">
        <v>1540</v>
      </c>
      <c r="W78" s="73" t="s">
        <v>2531</v>
      </c>
      <c r="X78" s="73" t="s">
        <v>2532</v>
      </c>
      <c r="Y78" s="73" t="s">
        <v>2533</v>
      </c>
      <c r="AA78" s="73" t="s">
        <v>73</v>
      </c>
      <c r="AB78" s="73" t="s">
        <v>73</v>
      </c>
      <c r="AC78" s="73" t="s">
        <v>73</v>
      </c>
      <c r="AD78" s="73" t="s">
        <v>1268</v>
      </c>
      <c r="AE78" s="73" t="s">
        <v>1268</v>
      </c>
      <c r="AG78" s="73" t="s">
        <v>73</v>
      </c>
      <c r="AI78" s="73" t="s">
        <v>73</v>
      </c>
      <c r="AK78" s="73" t="s">
        <v>1314</v>
      </c>
      <c r="AL78" s="73" t="s">
        <v>1573</v>
      </c>
      <c r="CC78" s="73" t="s">
        <v>73</v>
      </c>
      <c r="CE78" s="73" t="s">
        <v>37</v>
      </c>
      <c r="CG78" s="73" t="s">
        <v>1416</v>
      </c>
      <c r="CI78" s="73" t="s">
        <v>73</v>
      </c>
      <c r="CK78" s="73" t="s">
        <v>73</v>
      </c>
      <c r="CM78" s="73" t="s">
        <v>73</v>
      </c>
      <c r="CO78" s="73" t="s">
        <v>73</v>
      </c>
      <c r="CQ78" s="73" t="s">
        <v>35</v>
      </c>
      <c r="CR78" s="73" t="s">
        <v>2534</v>
      </c>
      <c r="CT78" s="74" t="s">
        <v>1420</v>
      </c>
      <c r="CU78" s="79">
        <f t="shared" si="1"/>
        <v>78</v>
      </c>
      <c r="CV78" s="77">
        <f>IFERROR(__xludf.DUMMYFUNCTION("IFERROR(QUERY(Presidente!$A$3:$AD112, ""SELECT AD WHERE A = '"" &amp; $B78 &amp; ""'""),"""")"),675.0)</f>
        <v>675</v>
      </c>
    </row>
    <row r="79">
      <c r="A79" s="72">
        <v>44375.36200498843</v>
      </c>
      <c r="B79" s="73" t="s">
        <v>812</v>
      </c>
      <c r="C79" s="73" t="s">
        <v>2535</v>
      </c>
      <c r="D79" s="73">
        <v>149.0</v>
      </c>
      <c r="E79" s="73" t="s">
        <v>1291</v>
      </c>
      <c r="F79" s="73" t="s">
        <v>2536</v>
      </c>
      <c r="G79" s="73" t="s">
        <v>2537</v>
      </c>
      <c r="I79" s="73" t="s">
        <v>2538</v>
      </c>
      <c r="K79" s="73" t="s">
        <v>2539</v>
      </c>
      <c r="L79" s="73" t="s">
        <v>2540</v>
      </c>
      <c r="N79" s="73" t="s">
        <v>1260</v>
      </c>
      <c r="O79" s="75"/>
      <c r="R79" s="73" t="s">
        <v>1587</v>
      </c>
      <c r="S79" s="73" t="s">
        <v>1262</v>
      </c>
      <c r="T79" s="73" t="s">
        <v>1490</v>
      </c>
      <c r="X79" s="73" t="s">
        <v>2541</v>
      </c>
      <c r="Z79" s="73" t="s">
        <v>2542</v>
      </c>
      <c r="AA79" s="73" t="s">
        <v>73</v>
      </c>
      <c r="AB79" s="73" t="s">
        <v>73</v>
      </c>
      <c r="AC79" s="73" t="s">
        <v>35</v>
      </c>
      <c r="AD79" s="73" t="s">
        <v>1268</v>
      </c>
      <c r="AE79" s="73" t="s">
        <v>1268</v>
      </c>
      <c r="AG79" s="73" t="s">
        <v>73</v>
      </c>
      <c r="AI79" s="73" t="s">
        <v>73</v>
      </c>
      <c r="AK79" s="73" t="s">
        <v>1314</v>
      </c>
      <c r="AL79" s="73" t="s">
        <v>1270</v>
      </c>
      <c r="CA79" s="73" t="s">
        <v>73</v>
      </c>
      <c r="CC79" s="73" t="s">
        <v>73</v>
      </c>
      <c r="CE79" s="73" t="s">
        <v>1416</v>
      </c>
      <c r="CG79" s="73" t="s">
        <v>1416</v>
      </c>
      <c r="CI79" s="73" t="s">
        <v>35</v>
      </c>
      <c r="CK79" s="73" t="s">
        <v>73</v>
      </c>
      <c r="CM79" s="73" t="s">
        <v>35</v>
      </c>
      <c r="CO79" s="73" t="s">
        <v>73</v>
      </c>
      <c r="CQ79" s="73" t="s">
        <v>73</v>
      </c>
      <c r="CR79" s="73" t="s">
        <v>2543</v>
      </c>
      <c r="CS79" s="74" t="s">
        <v>1816</v>
      </c>
      <c r="CT79" s="74" t="s">
        <v>1301</v>
      </c>
      <c r="CU79" s="79">
        <f t="shared" si="1"/>
        <v>79</v>
      </c>
      <c r="CV79" s="77">
        <f>IFERROR(__xludf.DUMMYFUNCTION("IFERROR(QUERY(Presidente!$A$3:$AD112, ""SELECT AD WHERE A = '"" &amp; $B79 &amp; ""'""),"""")"),676.0)</f>
        <v>676</v>
      </c>
    </row>
    <row r="80">
      <c r="A80" s="72">
        <v>44375.40899722222</v>
      </c>
      <c r="B80" s="73" t="s">
        <v>822</v>
      </c>
      <c r="C80" s="73" t="s">
        <v>2544</v>
      </c>
      <c r="D80" s="73">
        <v>142.0</v>
      </c>
      <c r="E80" s="73" t="s">
        <v>2130</v>
      </c>
      <c r="F80" s="73" t="s">
        <v>2545</v>
      </c>
      <c r="G80" s="73" t="s">
        <v>2546</v>
      </c>
      <c r="H80" s="74" t="s">
        <v>1255</v>
      </c>
      <c r="I80" s="73" t="s">
        <v>2547</v>
      </c>
      <c r="J80" s="74" t="s">
        <v>2548</v>
      </c>
      <c r="K80" s="73" t="s">
        <v>2549</v>
      </c>
      <c r="L80" s="74" t="s">
        <v>2550</v>
      </c>
      <c r="M80" s="74"/>
      <c r="N80" s="73" t="s">
        <v>1260</v>
      </c>
      <c r="O80" s="78">
        <v>4.61620230159E11</v>
      </c>
      <c r="P80" s="73">
        <v>320.0</v>
      </c>
      <c r="Q80" s="80" t="s">
        <v>2551</v>
      </c>
      <c r="R80" s="73" t="s">
        <v>1261</v>
      </c>
      <c r="S80" s="73" t="s">
        <v>1294</v>
      </c>
      <c r="T80" s="74" t="s">
        <v>2552</v>
      </c>
      <c r="U80" s="73" t="s">
        <v>1783</v>
      </c>
      <c r="V80" s="73" t="s">
        <v>2553</v>
      </c>
      <c r="W80" s="74" t="s">
        <v>2554</v>
      </c>
      <c r="X80" s="73" t="s">
        <v>1312</v>
      </c>
      <c r="Y80" s="73" t="s">
        <v>2555</v>
      </c>
      <c r="Z80" s="74" t="s">
        <v>1951</v>
      </c>
      <c r="AA80" s="74" t="s">
        <v>1284</v>
      </c>
      <c r="AB80" s="73" t="s">
        <v>73</v>
      </c>
      <c r="AC80" s="73" t="s">
        <v>73</v>
      </c>
      <c r="AD80" s="73" t="s">
        <v>1268</v>
      </c>
      <c r="AE80" s="73" t="s">
        <v>1268</v>
      </c>
      <c r="AF80" s="73" t="s">
        <v>1268</v>
      </c>
      <c r="AG80" s="73" t="s">
        <v>73</v>
      </c>
      <c r="AH80" s="74"/>
      <c r="AI80" s="73" t="s">
        <v>73</v>
      </c>
      <c r="AJ80" s="74"/>
      <c r="AK80" s="73" t="s">
        <v>1314</v>
      </c>
      <c r="AL80" s="73" t="s">
        <v>1270</v>
      </c>
      <c r="AM80" s="74"/>
      <c r="AN80" s="74" t="s">
        <v>1271</v>
      </c>
      <c r="AO80" s="74" t="s">
        <v>2556</v>
      </c>
      <c r="AP80" s="74">
        <v>50.0</v>
      </c>
      <c r="AQ80" s="74"/>
      <c r="AR80" s="74" t="s">
        <v>35</v>
      </c>
      <c r="AS80" s="74" t="s">
        <v>1273</v>
      </c>
      <c r="AT80" s="74" t="s">
        <v>2557</v>
      </c>
      <c r="AU80" s="74">
        <v>44.0</v>
      </c>
      <c r="AV80" s="74"/>
      <c r="AW80" s="74" t="s">
        <v>35</v>
      </c>
      <c r="AX80" s="74" t="s">
        <v>1430</v>
      </c>
      <c r="AY80" s="74" t="s">
        <v>2558</v>
      </c>
      <c r="AZ80" s="74">
        <v>17.0</v>
      </c>
      <c r="BA80" s="74" t="s">
        <v>35</v>
      </c>
      <c r="BB80" s="74"/>
      <c r="BC80" s="74" t="s">
        <v>1430</v>
      </c>
      <c r="BD80" s="74" t="s">
        <v>2559</v>
      </c>
      <c r="BE80" s="74">
        <v>15.0</v>
      </c>
      <c r="BF80" s="74" t="s">
        <v>35</v>
      </c>
      <c r="BH80" s="74" t="s">
        <v>1430</v>
      </c>
      <c r="BI80" s="74" t="s">
        <v>2560</v>
      </c>
      <c r="BJ80" s="74">
        <v>13.0</v>
      </c>
      <c r="BK80" s="74" t="s">
        <v>35</v>
      </c>
      <c r="BL80" s="74"/>
      <c r="BM80" s="74" t="s">
        <v>1271</v>
      </c>
      <c r="BN80" s="74" t="s">
        <v>2561</v>
      </c>
      <c r="BO80" s="74">
        <v>0.0</v>
      </c>
      <c r="BP80" s="74" t="s">
        <v>1273</v>
      </c>
      <c r="BQ80" s="74" t="s">
        <v>2562</v>
      </c>
      <c r="BR80" s="74">
        <v>1200.0</v>
      </c>
      <c r="BS80" s="74"/>
      <c r="BT80" s="74"/>
      <c r="BV80" s="74"/>
      <c r="BW80" s="74"/>
      <c r="BZ80" s="74"/>
      <c r="CA80" s="74" t="s">
        <v>73</v>
      </c>
      <c r="CB80" s="74"/>
      <c r="CC80" s="73" t="s">
        <v>35</v>
      </c>
      <c r="CD80" s="74" t="s">
        <v>2563</v>
      </c>
      <c r="CE80" s="73" t="s">
        <v>37</v>
      </c>
      <c r="CF80" s="74"/>
      <c r="CG80" s="73" t="s">
        <v>37</v>
      </c>
      <c r="CH80" s="74"/>
      <c r="CI80" s="73" t="s">
        <v>35</v>
      </c>
      <c r="CJ80" s="74" t="s">
        <v>2564</v>
      </c>
      <c r="CK80" s="73" t="s">
        <v>73</v>
      </c>
      <c r="CL80" s="74"/>
      <c r="CM80" s="73" t="s">
        <v>73</v>
      </c>
      <c r="CN80" s="74"/>
      <c r="CO80" s="73" t="s">
        <v>73</v>
      </c>
      <c r="CP80" s="74"/>
      <c r="CQ80" s="73" t="s">
        <v>35</v>
      </c>
      <c r="CR80" s="73" t="s">
        <v>2565</v>
      </c>
      <c r="CS80" s="74" t="s">
        <v>1434</v>
      </c>
      <c r="CT80" s="74"/>
      <c r="CU80" s="79">
        <f t="shared" si="1"/>
        <v>80</v>
      </c>
      <c r="CV80" s="77">
        <f>IFERROR(__xludf.DUMMYFUNCTION("IFERROR(QUERY(Presidente!$A$3:$AD112, ""SELECT AD WHERE A = '"" &amp; $B80 &amp; ""'""),"""")"),677.0)</f>
        <v>677</v>
      </c>
    </row>
    <row r="81">
      <c r="A81" s="72">
        <v>44375.338880763884</v>
      </c>
      <c r="B81" s="73" t="s">
        <v>832</v>
      </c>
      <c r="C81" s="73" t="s">
        <v>2566</v>
      </c>
      <c r="D81" s="73">
        <v>110.0</v>
      </c>
      <c r="E81" s="74" t="s">
        <v>1252</v>
      </c>
      <c r="F81" s="73" t="s">
        <v>2567</v>
      </c>
      <c r="G81" s="73" t="s">
        <v>2568</v>
      </c>
      <c r="H81" s="74" t="s">
        <v>1255</v>
      </c>
      <c r="I81" s="73" t="s">
        <v>834</v>
      </c>
      <c r="J81" s="74" t="s">
        <v>2569</v>
      </c>
      <c r="K81" s="73" t="s">
        <v>2570</v>
      </c>
      <c r="L81" s="73" t="s">
        <v>2571</v>
      </c>
      <c r="M81" s="74"/>
      <c r="N81" s="73" t="s">
        <v>1260</v>
      </c>
      <c r="O81" s="75"/>
      <c r="P81" s="74"/>
      <c r="R81" s="73" t="s">
        <v>1261</v>
      </c>
      <c r="S81" s="73" t="s">
        <v>1294</v>
      </c>
      <c r="T81" s="74"/>
      <c r="U81" s="74"/>
      <c r="V81" s="74"/>
      <c r="W81" s="74"/>
      <c r="X81" s="74"/>
      <c r="Y81" s="74"/>
      <c r="Z81" s="74"/>
      <c r="AA81" s="73" t="s">
        <v>73</v>
      </c>
      <c r="AB81" s="73" t="s">
        <v>73</v>
      </c>
      <c r="AC81" s="73" t="s">
        <v>73</v>
      </c>
      <c r="AD81" s="73" t="s">
        <v>1268</v>
      </c>
      <c r="AE81" s="73" t="s">
        <v>1268</v>
      </c>
      <c r="AF81" s="74" t="s">
        <v>1284</v>
      </c>
      <c r="AG81" s="73" t="s">
        <v>73</v>
      </c>
      <c r="AH81" s="74"/>
      <c r="AI81" s="73" t="s">
        <v>73</v>
      </c>
      <c r="AJ81" s="74"/>
      <c r="AK81" s="73" t="s">
        <v>1269</v>
      </c>
      <c r="AL81" s="73" t="s">
        <v>1270</v>
      </c>
      <c r="AM81" s="74"/>
      <c r="AN81" s="74" t="s">
        <v>1608</v>
      </c>
      <c r="AO81" s="74" t="s">
        <v>2572</v>
      </c>
      <c r="AP81" s="74">
        <v>37.0</v>
      </c>
      <c r="AQ81" s="74"/>
      <c r="AR81" s="74" t="s">
        <v>2169</v>
      </c>
      <c r="AS81" s="74" t="s">
        <v>1445</v>
      </c>
      <c r="AT81" s="74" t="s">
        <v>2573</v>
      </c>
      <c r="AU81" s="74">
        <v>42.0</v>
      </c>
      <c r="AV81" s="74"/>
      <c r="AW81" s="74" t="s">
        <v>1351</v>
      </c>
      <c r="AX81" s="74" t="s">
        <v>1344</v>
      </c>
      <c r="AY81" s="74" t="s">
        <v>2574</v>
      </c>
      <c r="AZ81" s="74">
        <v>12.0</v>
      </c>
      <c r="BA81" s="74" t="s">
        <v>2169</v>
      </c>
      <c r="BB81" s="74"/>
      <c r="BC81" s="74"/>
      <c r="BD81" s="74"/>
      <c r="BE81" s="74"/>
      <c r="BF81" s="74"/>
      <c r="BG81" s="74"/>
      <c r="BH81" s="74"/>
      <c r="BI81" s="74"/>
      <c r="BJ81" s="74"/>
      <c r="BK81" s="74"/>
      <c r="BL81" s="74"/>
      <c r="BM81" s="74" t="s">
        <v>1608</v>
      </c>
      <c r="BN81" s="74" t="s">
        <v>2575</v>
      </c>
      <c r="BO81" s="74" t="s">
        <v>1844</v>
      </c>
      <c r="BP81" s="74"/>
      <c r="BQ81" s="74"/>
      <c r="BR81" s="74"/>
      <c r="BS81" s="74"/>
      <c r="BT81" s="74"/>
      <c r="BU81" s="74"/>
      <c r="BV81" s="74"/>
      <c r="BW81" s="74"/>
      <c r="BX81" s="74"/>
      <c r="BZ81" s="74"/>
      <c r="CA81" s="73" t="s">
        <v>73</v>
      </c>
      <c r="CB81" s="74"/>
      <c r="CC81" s="73" t="s">
        <v>73</v>
      </c>
      <c r="CD81" s="74"/>
      <c r="CE81" s="73" t="s">
        <v>37</v>
      </c>
      <c r="CF81" s="74"/>
      <c r="CG81" s="73" t="s">
        <v>1416</v>
      </c>
      <c r="CH81" s="74"/>
      <c r="CI81" s="73" t="s">
        <v>35</v>
      </c>
      <c r="CJ81" s="74" t="s">
        <v>2576</v>
      </c>
      <c r="CK81" s="73" t="s">
        <v>73</v>
      </c>
      <c r="CL81" s="74"/>
      <c r="CM81" s="73" t="s">
        <v>35</v>
      </c>
      <c r="CN81" s="74" t="s">
        <v>2577</v>
      </c>
      <c r="CO81" s="73" t="s">
        <v>73</v>
      </c>
      <c r="CP81" s="74"/>
      <c r="CQ81" s="73" t="s">
        <v>35</v>
      </c>
      <c r="CR81" s="73" t="s">
        <v>2578</v>
      </c>
      <c r="CS81" s="74" t="s">
        <v>1816</v>
      </c>
      <c r="CT81" s="74" t="s">
        <v>1435</v>
      </c>
      <c r="CU81" s="79">
        <f t="shared" si="1"/>
        <v>81</v>
      </c>
      <c r="CV81" s="77">
        <f>IFERROR(__xludf.DUMMYFUNCTION("IFERROR(QUERY(Presidente!$A$3:$AD112, ""SELECT AD WHERE A = '"" &amp; $B81 &amp; ""'""),"""")"),678.0)</f>
        <v>678</v>
      </c>
    </row>
    <row r="82">
      <c r="A82" s="72">
        <v>44375.3603443287</v>
      </c>
      <c r="B82" s="73" t="s">
        <v>842</v>
      </c>
      <c r="C82" s="73" t="s">
        <v>2579</v>
      </c>
      <c r="D82" s="73">
        <v>20.0</v>
      </c>
      <c r="E82" s="73" t="s">
        <v>1291</v>
      </c>
      <c r="F82" s="73" t="s">
        <v>2580</v>
      </c>
      <c r="G82" s="73" t="s">
        <v>2581</v>
      </c>
      <c r="H82" s="74" t="s">
        <v>1329</v>
      </c>
      <c r="I82" s="73" t="s">
        <v>2582</v>
      </c>
      <c r="J82" s="74" t="s">
        <v>2583</v>
      </c>
      <c r="K82" s="73" t="s">
        <v>2584</v>
      </c>
      <c r="L82" s="73" t="s">
        <v>2585</v>
      </c>
      <c r="M82" s="73" t="s">
        <v>2586</v>
      </c>
      <c r="N82" s="73" t="s">
        <v>1260</v>
      </c>
      <c r="O82" s="75"/>
      <c r="P82" s="74"/>
      <c r="Q82" s="74"/>
      <c r="R82" s="73" t="s">
        <v>1261</v>
      </c>
      <c r="S82" s="73" t="s">
        <v>1294</v>
      </c>
      <c r="T82" s="73" t="s">
        <v>2587</v>
      </c>
      <c r="U82" s="73" t="s">
        <v>2588</v>
      </c>
      <c r="V82" s="73" t="s">
        <v>2589</v>
      </c>
      <c r="W82" s="73" t="s">
        <v>2590</v>
      </c>
      <c r="X82" s="73" t="s">
        <v>2591</v>
      </c>
      <c r="Y82" s="73" t="s">
        <v>2592</v>
      </c>
      <c r="Z82" s="73" t="s">
        <v>1268</v>
      </c>
      <c r="AA82" s="74" t="s">
        <v>1467</v>
      </c>
      <c r="AB82" s="73" t="s">
        <v>1267</v>
      </c>
      <c r="AC82" s="73" t="s">
        <v>73</v>
      </c>
      <c r="AD82" s="73" t="s">
        <v>1268</v>
      </c>
      <c r="AE82" s="73" t="s">
        <v>1268</v>
      </c>
      <c r="AF82" s="74"/>
      <c r="AG82" s="73" t="s">
        <v>73</v>
      </c>
      <c r="AH82" s="74"/>
      <c r="AI82" s="73" t="s">
        <v>73</v>
      </c>
      <c r="AJ82" s="74"/>
      <c r="AK82" s="73" t="s">
        <v>1269</v>
      </c>
      <c r="AL82" s="73" t="s">
        <v>1299</v>
      </c>
      <c r="AM82" s="74"/>
      <c r="AN82" s="74" t="s">
        <v>1445</v>
      </c>
      <c r="AO82" s="74" t="s">
        <v>847</v>
      </c>
      <c r="AP82" s="74">
        <v>41.0</v>
      </c>
      <c r="AQ82" s="74"/>
      <c r="AR82" s="74" t="s">
        <v>35</v>
      </c>
      <c r="AS82" s="74" t="s">
        <v>1348</v>
      </c>
      <c r="AT82" s="74" t="s">
        <v>2593</v>
      </c>
      <c r="AU82" s="74">
        <v>10.0</v>
      </c>
      <c r="AV82" s="74" t="s">
        <v>35</v>
      </c>
      <c r="AW82" s="74"/>
      <c r="AX82" s="74" t="s">
        <v>1373</v>
      </c>
      <c r="AY82" s="74" t="s">
        <v>2594</v>
      </c>
      <c r="AZ82" s="74">
        <v>14.0</v>
      </c>
      <c r="BA82" s="74" t="s">
        <v>35</v>
      </c>
      <c r="BB82" s="74"/>
      <c r="BC82" s="74"/>
      <c r="BD82" s="74"/>
      <c r="BE82" s="74"/>
      <c r="BF82" s="74"/>
      <c r="BG82" s="74"/>
      <c r="BH82" s="74"/>
      <c r="BI82" s="74"/>
      <c r="BJ82" s="74"/>
      <c r="BK82" s="74"/>
      <c r="BL82" s="74"/>
      <c r="BM82" s="74" t="s">
        <v>1315</v>
      </c>
      <c r="BN82" s="74" t="s">
        <v>2595</v>
      </c>
      <c r="BO82" s="74">
        <v>3000.0</v>
      </c>
      <c r="BP82" s="74" t="s">
        <v>1450</v>
      </c>
      <c r="BQ82" s="74" t="s">
        <v>2596</v>
      </c>
      <c r="BR82" s="74">
        <v>2000.0</v>
      </c>
      <c r="BS82" s="74"/>
      <c r="BT82" s="74"/>
      <c r="BU82" s="74"/>
      <c r="BV82" s="74"/>
      <c r="BW82" s="74"/>
      <c r="BX82" s="74"/>
      <c r="BZ82" s="74">
        <v>500.0</v>
      </c>
      <c r="CA82" s="74" t="s">
        <v>73</v>
      </c>
      <c r="CB82" s="74"/>
      <c r="CC82" s="73" t="s">
        <v>73</v>
      </c>
      <c r="CD82" s="74"/>
      <c r="CE82" s="73" t="s">
        <v>1416</v>
      </c>
      <c r="CF82" s="74"/>
      <c r="CG82" s="73" t="s">
        <v>1416</v>
      </c>
      <c r="CH82" s="74"/>
      <c r="CI82" s="73" t="s">
        <v>35</v>
      </c>
      <c r="CJ82" s="74" t="s">
        <v>2597</v>
      </c>
      <c r="CK82" s="73" t="s">
        <v>73</v>
      </c>
      <c r="CL82" s="74"/>
      <c r="CM82" s="73" t="s">
        <v>73</v>
      </c>
      <c r="CN82" s="74"/>
      <c r="CO82" s="73" t="s">
        <v>73</v>
      </c>
      <c r="CP82" s="74"/>
      <c r="CQ82" s="73" t="s">
        <v>35</v>
      </c>
      <c r="CR82" s="73" t="s">
        <v>2598</v>
      </c>
      <c r="CS82" s="74" t="s">
        <v>1381</v>
      </c>
      <c r="CT82" s="74" t="s">
        <v>1523</v>
      </c>
      <c r="CU82" s="79">
        <f t="shared" si="1"/>
        <v>82</v>
      </c>
      <c r="CV82" s="77">
        <f>IFERROR(__xludf.DUMMYFUNCTION("IFERROR(QUERY(Presidente!$A$3:$AD112, ""SELECT AD WHERE A = '"" &amp; $B82 &amp; ""'""),"""")"),679.0)</f>
        <v>679</v>
      </c>
    </row>
    <row r="83">
      <c r="A83" s="72">
        <v>44375.44780071759</v>
      </c>
      <c r="B83" s="73" t="s">
        <v>853</v>
      </c>
      <c r="C83" s="73" t="s">
        <v>2599</v>
      </c>
      <c r="D83" s="73">
        <v>205.0</v>
      </c>
      <c r="E83" s="73" t="s">
        <v>2600</v>
      </c>
      <c r="F83" s="73" t="s">
        <v>2601</v>
      </c>
      <c r="G83" s="73" t="s">
        <v>2602</v>
      </c>
      <c r="H83" s="74" t="s">
        <v>1255</v>
      </c>
      <c r="I83" s="73" t="s">
        <v>2603</v>
      </c>
      <c r="J83" s="74" t="s">
        <v>2604</v>
      </c>
      <c r="K83" s="74"/>
      <c r="L83" s="74"/>
      <c r="M83" s="74"/>
      <c r="N83" s="73" t="s">
        <v>1462</v>
      </c>
      <c r="O83" s="75">
        <v>4.49473580191E11</v>
      </c>
      <c r="P83" s="90" t="s">
        <v>2605</v>
      </c>
      <c r="Q83" s="90" t="s">
        <v>2606</v>
      </c>
      <c r="R83" s="73" t="s">
        <v>1261</v>
      </c>
      <c r="S83" s="73" t="s">
        <v>1294</v>
      </c>
      <c r="T83" s="73" t="s">
        <v>2607</v>
      </c>
      <c r="U83" s="73" t="s">
        <v>2608</v>
      </c>
      <c r="V83" s="73" t="s">
        <v>2609</v>
      </c>
      <c r="X83" s="73" t="s">
        <v>1312</v>
      </c>
      <c r="AA83" s="73" t="s">
        <v>73</v>
      </c>
      <c r="AB83" s="73" t="s">
        <v>73</v>
      </c>
      <c r="AC83" s="73" t="s">
        <v>73</v>
      </c>
      <c r="AD83" s="73" t="s">
        <v>1268</v>
      </c>
      <c r="AE83" s="73" t="s">
        <v>1268</v>
      </c>
      <c r="AG83" s="73" t="s">
        <v>73</v>
      </c>
      <c r="AI83" s="73" t="s">
        <v>73</v>
      </c>
      <c r="AK83" s="73" t="s">
        <v>1314</v>
      </c>
      <c r="AL83" s="73" t="s">
        <v>1270</v>
      </c>
      <c r="CC83" s="73" t="s">
        <v>73</v>
      </c>
      <c r="CE83" s="73" t="s">
        <v>37</v>
      </c>
      <c r="CG83" s="73" t="s">
        <v>37</v>
      </c>
      <c r="CI83" s="73" t="s">
        <v>73</v>
      </c>
      <c r="CK83" s="73" t="s">
        <v>73</v>
      </c>
      <c r="CM83" s="73" t="s">
        <v>73</v>
      </c>
      <c r="CO83" s="73" t="s">
        <v>73</v>
      </c>
      <c r="CQ83" s="73" t="s">
        <v>35</v>
      </c>
      <c r="CR83" s="73" t="s">
        <v>2610</v>
      </c>
      <c r="CT83" s="74" t="s">
        <v>1382</v>
      </c>
      <c r="CU83" s="79">
        <f t="shared" si="1"/>
        <v>83</v>
      </c>
      <c r="CV83" s="77">
        <f>IFERROR(__xludf.DUMMYFUNCTION("IFERROR(QUERY(Presidente!$A$3:$AD112, ""SELECT AD WHERE A = '"" &amp; $B83 &amp; ""'""),"""")"),680.0)</f>
        <v>680</v>
      </c>
    </row>
    <row r="84">
      <c r="A84" s="72">
        <v>44375.33878572917</v>
      </c>
      <c r="B84" s="73" t="s">
        <v>863</v>
      </c>
      <c r="C84" s="73" t="s">
        <v>2611</v>
      </c>
      <c r="D84" s="73">
        <v>209.0</v>
      </c>
      <c r="E84" s="73" t="s">
        <v>1291</v>
      </c>
      <c r="F84" s="73" t="s">
        <v>2612</v>
      </c>
      <c r="G84" s="73" t="s">
        <v>2613</v>
      </c>
      <c r="H84" s="74" t="s">
        <v>1255</v>
      </c>
      <c r="I84" s="73" t="s">
        <v>2614</v>
      </c>
      <c r="J84" s="74" t="s">
        <v>2615</v>
      </c>
      <c r="K84" s="73" t="s">
        <v>2616</v>
      </c>
      <c r="L84" s="73" t="s">
        <v>2617</v>
      </c>
      <c r="M84" s="74"/>
      <c r="N84" s="73" t="s">
        <v>2618</v>
      </c>
      <c r="O84" s="75">
        <v>4.49583800159E11</v>
      </c>
      <c r="P84" s="74">
        <v>259.0</v>
      </c>
      <c r="Q84" s="74">
        <v>138.0</v>
      </c>
      <c r="R84" s="73" t="s">
        <v>1261</v>
      </c>
      <c r="S84" s="73" t="s">
        <v>1294</v>
      </c>
      <c r="T84" s="74"/>
      <c r="U84" s="74"/>
      <c r="V84" s="74"/>
      <c r="W84" s="74"/>
      <c r="X84" s="73" t="s">
        <v>2619</v>
      </c>
      <c r="Y84" s="74"/>
      <c r="Z84" s="74"/>
      <c r="AA84" s="73" t="s">
        <v>1267</v>
      </c>
      <c r="AB84" s="73" t="s">
        <v>73</v>
      </c>
      <c r="AC84" s="73" t="s">
        <v>73</v>
      </c>
      <c r="AD84" s="73" t="s">
        <v>1268</v>
      </c>
      <c r="AE84" s="73" t="s">
        <v>1268</v>
      </c>
      <c r="AF84" s="74" t="s">
        <v>1284</v>
      </c>
      <c r="AG84" s="73" t="s">
        <v>73</v>
      </c>
      <c r="AH84" s="74"/>
      <c r="AI84" s="73" t="s">
        <v>73</v>
      </c>
      <c r="AJ84" s="74"/>
      <c r="AK84" s="73" t="s">
        <v>1314</v>
      </c>
      <c r="AL84" s="73" t="s">
        <v>2620</v>
      </c>
      <c r="AM84" s="74"/>
      <c r="AN84" s="74" t="s">
        <v>1271</v>
      </c>
      <c r="AO84" s="74" t="s">
        <v>866</v>
      </c>
      <c r="AP84" s="74">
        <v>42.0</v>
      </c>
      <c r="AQ84" s="74"/>
      <c r="AR84" s="74" t="s">
        <v>35</v>
      </c>
      <c r="AS84" s="74" t="s">
        <v>1866</v>
      </c>
      <c r="AT84" s="74" t="s">
        <v>867</v>
      </c>
      <c r="AU84" s="74">
        <v>42.0</v>
      </c>
      <c r="AV84" s="74"/>
      <c r="AW84" s="74" t="s">
        <v>35</v>
      </c>
      <c r="AX84" s="74" t="s">
        <v>2621</v>
      </c>
      <c r="AY84" s="74" t="s">
        <v>2622</v>
      </c>
      <c r="AZ84" s="74">
        <v>79.0</v>
      </c>
      <c r="BA84" s="74"/>
      <c r="BB84" s="74" t="s">
        <v>35</v>
      </c>
      <c r="BC84" s="74" t="s">
        <v>1430</v>
      </c>
      <c r="BD84" s="74" t="s">
        <v>2623</v>
      </c>
      <c r="BE84" s="74">
        <v>13.0</v>
      </c>
      <c r="BF84" s="74" t="s">
        <v>35</v>
      </c>
      <c r="BG84" s="74"/>
      <c r="BH84" s="74" t="s">
        <v>2624</v>
      </c>
      <c r="BI84" s="74" t="s">
        <v>2625</v>
      </c>
      <c r="BJ84" s="74">
        <v>23.0</v>
      </c>
      <c r="BK84" s="74"/>
      <c r="BL84" s="74" t="s">
        <v>35</v>
      </c>
      <c r="BM84" s="74" t="s">
        <v>1271</v>
      </c>
      <c r="BN84" s="74" t="s">
        <v>2626</v>
      </c>
      <c r="BO84" s="74">
        <v>2000.0</v>
      </c>
      <c r="BP84" s="74" t="s">
        <v>1866</v>
      </c>
      <c r="BQ84" s="74" t="s">
        <v>2627</v>
      </c>
      <c r="BR84" s="74">
        <v>1200.0</v>
      </c>
      <c r="BS84" s="74" t="s">
        <v>2621</v>
      </c>
      <c r="BT84" s="74" t="s">
        <v>2628</v>
      </c>
      <c r="BU84" s="74">
        <v>3500.0</v>
      </c>
      <c r="BV84" s="74" t="s">
        <v>2624</v>
      </c>
      <c r="BW84" s="74" t="s">
        <v>2629</v>
      </c>
      <c r="BX84" s="74">
        <v>1500.0</v>
      </c>
      <c r="BZ84" s="74"/>
      <c r="CA84" s="74" t="s">
        <v>1284</v>
      </c>
      <c r="CB84" s="74"/>
      <c r="CC84" s="73" t="s">
        <v>73</v>
      </c>
      <c r="CD84" s="74"/>
      <c r="CE84" s="73" t="s">
        <v>37</v>
      </c>
      <c r="CF84" s="74"/>
      <c r="CG84" s="73" t="s">
        <v>84</v>
      </c>
      <c r="CH84" s="74"/>
      <c r="CI84" s="73" t="s">
        <v>35</v>
      </c>
      <c r="CJ84" s="74" t="s">
        <v>2630</v>
      </c>
      <c r="CK84" s="73" t="s">
        <v>73</v>
      </c>
      <c r="CL84" s="74"/>
      <c r="CM84" s="73" t="s">
        <v>73</v>
      </c>
      <c r="CN84" s="74"/>
      <c r="CO84" s="73" t="s">
        <v>73</v>
      </c>
      <c r="CP84" s="74"/>
      <c r="CQ84" s="73" t="s">
        <v>35</v>
      </c>
      <c r="CR84" s="73" t="s">
        <v>2631</v>
      </c>
      <c r="CS84" s="74" t="s">
        <v>2505</v>
      </c>
      <c r="CT84" s="74" t="s">
        <v>1288</v>
      </c>
      <c r="CU84" s="79">
        <f t="shared" si="1"/>
        <v>84</v>
      </c>
      <c r="CV84" s="77">
        <f>IFERROR(__xludf.DUMMYFUNCTION("IFERROR(QUERY(Presidente!$A$3:$AD112, ""SELECT AD WHERE A = '"" &amp; $B84 &amp; ""'""),"""")"),681.0)</f>
        <v>681</v>
      </c>
    </row>
    <row r="85">
      <c r="A85" s="72">
        <v>44375.33257239583</v>
      </c>
      <c r="B85" s="73" t="s">
        <v>873</v>
      </c>
      <c r="C85" s="73" t="s">
        <v>2632</v>
      </c>
      <c r="D85" s="73">
        <v>601.0</v>
      </c>
      <c r="E85" s="73" t="s">
        <v>2293</v>
      </c>
      <c r="F85" s="73" t="s">
        <v>2633</v>
      </c>
      <c r="G85" s="73" t="s">
        <v>2634</v>
      </c>
      <c r="H85" s="74" t="s">
        <v>1255</v>
      </c>
      <c r="I85" s="73" t="s">
        <v>2635</v>
      </c>
      <c r="J85" s="74"/>
      <c r="K85" s="73" t="s">
        <v>2636</v>
      </c>
      <c r="L85" s="73" t="s">
        <v>2637</v>
      </c>
      <c r="M85" s="74"/>
      <c r="N85" s="73" t="s">
        <v>1260</v>
      </c>
      <c r="O85" s="75">
        <v>4.67683100175E11</v>
      </c>
      <c r="P85" s="73">
        <v>372.0</v>
      </c>
      <c r="Q85" s="80" t="s">
        <v>2638</v>
      </c>
      <c r="R85" s="73" t="s">
        <v>1261</v>
      </c>
      <c r="S85" s="73" t="s">
        <v>1294</v>
      </c>
      <c r="T85" s="73"/>
      <c r="U85" s="74" t="s">
        <v>2639</v>
      </c>
      <c r="V85" s="74" t="s">
        <v>2640</v>
      </c>
      <c r="W85" s="73"/>
      <c r="X85" s="73" t="s">
        <v>2641</v>
      </c>
      <c r="Y85" s="73" t="s">
        <v>2642</v>
      </c>
      <c r="Z85" s="74"/>
      <c r="AA85" s="74" t="s">
        <v>73</v>
      </c>
      <c r="AB85" s="73" t="s">
        <v>1267</v>
      </c>
      <c r="AC85" s="73" t="s">
        <v>35</v>
      </c>
      <c r="AD85" s="73" t="s">
        <v>1268</v>
      </c>
      <c r="AE85" s="73" t="s">
        <v>1268</v>
      </c>
      <c r="AF85" s="74" t="s">
        <v>2643</v>
      </c>
      <c r="AG85" s="73" t="s">
        <v>73</v>
      </c>
      <c r="AH85" s="74"/>
      <c r="AI85" s="73" t="s">
        <v>73</v>
      </c>
      <c r="AJ85" s="74"/>
      <c r="AK85" s="73" t="s">
        <v>1314</v>
      </c>
      <c r="AL85" s="73" t="s">
        <v>1299</v>
      </c>
      <c r="AM85" s="74"/>
      <c r="AN85" s="74" t="s">
        <v>1445</v>
      </c>
      <c r="AO85" s="74" t="s">
        <v>2644</v>
      </c>
      <c r="AP85" s="74">
        <v>46.0</v>
      </c>
      <c r="AQ85" s="74"/>
      <c r="AR85" s="74" t="s">
        <v>35</v>
      </c>
      <c r="AS85" s="74" t="s">
        <v>1348</v>
      </c>
      <c r="AT85" s="74" t="s">
        <v>2645</v>
      </c>
      <c r="AU85" s="74">
        <v>20.0</v>
      </c>
      <c r="AV85" s="74"/>
      <c r="AW85" s="74" t="s">
        <v>35</v>
      </c>
      <c r="AX85" s="74" t="s">
        <v>1348</v>
      </c>
      <c r="AY85" s="74" t="s">
        <v>2646</v>
      </c>
      <c r="AZ85" s="74">
        <v>26.0</v>
      </c>
      <c r="BA85" s="74" t="s">
        <v>73</v>
      </c>
      <c r="BB85" s="74" t="s">
        <v>73</v>
      </c>
      <c r="BC85" s="74"/>
      <c r="BD85" s="74"/>
      <c r="BE85" s="74"/>
      <c r="BF85" s="74"/>
      <c r="BH85" s="74"/>
      <c r="BI85" s="74"/>
      <c r="BJ85" s="74"/>
      <c r="BK85" s="74"/>
      <c r="BL85" s="74"/>
      <c r="BM85" s="74" t="s">
        <v>1445</v>
      </c>
      <c r="BN85" s="74" t="s">
        <v>2647</v>
      </c>
      <c r="BO85" s="74">
        <v>2000.0</v>
      </c>
      <c r="BP85" s="74" t="s">
        <v>1348</v>
      </c>
      <c r="BQ85" s="74" t="s">
        <v>2073</v>
      </c>
      <c r="BR85" s="74">
        <v>1700.0</v>
      </c>
      <c r="BS85" s="74"/>
      <c r="BT85" s="74"/>
      <c r="BU85" s="74"/>
      <c r="BV85" s="74"/>
      <c r="BW85" s="74"/>
      <c r="BX85" s="74"/>
      <c r="BZ85" s="74"/>
      <c r="CA85" s="74" t="s">
        <v>73</v>
      </c>
      <c r="CB85" s="74"/>
      <c r="CC85" s="73" t="s">
        <v>73</v>
      </c>
      <c r="CD85" s="74"/>
      <c r="CE85" s="73" t="s">
        <v>37</v>
      </c>
      <c r="CF85" s="74"/>
      <c r="CG85" s="73" t="s">
        <v>37</v>
      </c>
      <c r="CH85" s="74"/>
      <c r="CI85" s="73" t="s">
        <v>35</v>
      </c>
      <c r="CJ85" s="73" t="s">
        <v>2360</v>
      </c>
      <c r="CK85" s="73" t="s">
        <v>73</v>
      </c>
      <c r="CL85" s="74"/>
      <c r="CM85" s="73" t="s">
        <v>73</v>
      </c>
      <c r="CN85" s="74"/>
      <c r="CO85" s="73" t="s">
        <v>35</v>
      </c>
      <c r="CP85" s="73" t="s">
        <v>2648</v>
      </c>
      <c r="CQ85" s="73" t="s">
        <v>35</v>
      </c>
      <c r="CR85" s="73" t="s">
        <v>2649</v>
      </c>
      <c r="CS85" s="74" t="s">
        <v>1497</v>
      </c>
      <c r="CT85" s="74" t="s">
        <v>1354</v>
      </c>
      <c r="CU85" s="79">
        <f t="shared" si="1"/>
        <v>85</v>
      </c>
      <c r="CV85" s="77">
        <f>IFERROR(__xludf.DUMMYFUNCTION("IFERROR(QUERY(Presidente!$A$3:$AD112, ""SELECT AD WHERE A = '"" &amp; $B85 &amp; ""'""),"""")"),682.0)</f>
        <v>682</v>
      </c>
    </row>
    <row r="86">
      <c r="A86" s="72">
        <v>44375.30008421296</v>
      </c>
      <c r="B86" s="73" t="s">
        <v>883</v>
      </c>
      <c r="C86" s="73" t="s">
        <v>2650</v>
      </c>
      <c r="D86" s="73">
        <v>43.0</v>
      </c>
      <c r="E86" s="73" t="s">
        <v>2651</v>
      </c>
      <c r="F86" s="73" t="s">
        <v>2652</v>
      </c>
      <c r="G86" s="73" t="s">
        <v>2653</v>
      </c>
      <c r="H86" s="74" t="s">
        <v>1255</v>
      </c>
      <c r="I86" s="74" t="s">
        <v>2654</v>
      </c>
      <c r="J86" s="74" t="s">
        <v>2655</v>
      </c>
      <c r="K86" s="73" t="s">
        <v>2656</v>
      </c>
      <c r="L86" s="73" t="s">
        <v>2657</v>
      </c>
      <c r="M86" s="74" t="s">
        <v>2658</v>
      </c>
      <c r="N86" s="73" t="s">
        <v>1260</v>
      </c>
      <c r="O86" s="78"/>
      <c r="R86" s="73" t="s">
        <v>1261</v>
      </c>
      <c r="S86" s="73" t="s">
        <v>1728</v>
      </c>
      <c r="T86" s="73" t="s">
        <v>2659</v>
      </c>
      <c r="W86" s="73" t="s">
        <v>2660</v>
      </c>
      <c r="AA86" s="73" t="s">
        <v>73</v>
      </c>
      <c r="AB86" s="73" t="s">
        <v>73</v>
      </c>
      <c r="AC86" s="73" t="s">
        <v>73</v>
      </c>
      <c r="AD86" s="73" t="s">
        <v>1268</v>
      </c>
      <c r="AE86" s="73" t="s">
        <v>1268</v>
      </c>
      <c r="AG86" s="73" t="s">
        <v>35</v>
      </c>
      <c r="AI86" s="73" t="s">
        <v>73</v>
      </c>
      <c r="AK86" s="73" t="s">
        <v>1314</v>
      </c>
      <c r="AL86" s="73" t="s">
        <v>1623</v>
      </c>
      <c r="CC86" s="73" t="s">
        <v>73</v>
      </c>
      <c r="CE86" s="73" t="s">
        <v>37</v>
      </c>
      <c r="CG86" s="73" t="s">
        <v>37</v>
      </c>
      <c r="CI86" s="73" t="s">
        <v>35</v>
      </c>
      <c r="CK86" s="73" t="s">
        <v>73</v>
      </c>
      <c r="CM86" s="73" t="s">
        <v>35</v>
      </c>
      <c r="CO86" s="73" t="s">
        <v>73</v>
      </c>
      <c r="CQ86" s="73" t="s">
        <v>35</v>
      </c>
      <c r="CR86" s="73" t="s">
        <v>2661</v>
      </c>
      <c r="CT86" s="74" t="s">
        <v>1542</v>
      </c>
      <c r="CU86" s="79">
        <f t="shared" si="1"/>
        <v>86</v>
      </c>
      <c r="CV86" s="77">
        <f>IFERROR(__xludf.DUMMYFUNCTION("IFERROR(QUERY(Presidente!$A$3:$AD112, ""SELECT AD WHERE A = '"" &amp; $B86 &amp; ""'""),"""")"),683.0)</f>
        <v>683</v>
      </c>
    </row>
    <row r="87">
      <c r="A87" s="72">
        <v>44375.36677013889</v>
      </c>
      <c r="B87" s="73" t="s">
        <v>893</v>
      </c>
      <c r="C87" s="73" t="s">
        <v>2662</v>
      </c>
      <c r="D87" s="73">
        <v>39.0</v>
      </c>
      <c r="E87" s="73" t="s">
        <v>2663</v>
      </c>
      <c r="F87" s="73" t="s">
        <v>2664</v>
      </c>
      <c r="G87" s="73" t="s">
        <v>2665</v>
      </c>
      <c r="H87" s="74" t="s">
        <v>1329</v>
      </c>
      <c r="I87" s="73" t="s">
        <v>2666</v>
      </c>
      <c r="J87" s="74"/>
      <c r="K87" s="73" t="s">
        <v>2667</v>
      </c>
      <c r="L87" s="74"/>
      <c r="M87" s="74"/>
      <c r="N87" s="73" t="s">
        <v>1260</v>
      </c>
      <c r="O87" s="75"/>
      <c r="P87" s="74"/>
      <c r="Q87" s="74"/>
      <c r="R87" s="73" t="s">
        <v>1261</v>
      </c>
      <c r="S87" s="73" t="s">
        <v>1294</v>
      </c>
      <c r="T87" s="73" t="s">
        <v>2668</v>
      </c>
      <c r="U87" s="74"/>
      <c r="V87" s="74"/>
      <c r="W87" s="73" t="s">
        <v>2669</v>
      </c>
      <c r="X87" s="73" t="s">
        <v>2254</v>
      </c>
      <c r="Y87" s="74"/>
      <c r="Z87" s="74"/>
      <c r="AA87" s="73" t="s">
        <v>73</v>
      </c>
      <c r="AB87" s="73" t="s">
        <v>73</v>
      </c>
      <c r="AC87" s="73" t="s">
        <v>73</v>
      </c>
      <c r="AD87" s="73" t="s">
        <v>1268</v>
      </c>
      <c r="AE87" s="73" t="s">
        <v>1268</v>
      </c>
      <c r="AF87" s="74"/>
      <c r="AG87" s="73" t="s">
        <v>73</v>
      </c>
      <c r="AH87" s="74"/>
      <c r="AI87" s="73" t="s">
        <v>73</v>
      </c>
      <c r="AJ87" s="74"/>
      <c r="AK87" s="73" t="s">
        <v>1269</v>
      </c>
      <c r="AL87" s="73" t="s">
        <v>1299</v>
      </c>
      <c r="AM87" s="74"/>
      <c r="AN87" s="74" t="s">
        <v>1445</v>
      </c>
      <c r="AO87" s="74" t="s">
        <v>896</v>
      </c>
      <c r="AP87" s="74">
        <v>44.0</v>
      </c>
      <c r="AQ87" s="74"/>
      <c r="AR87" s="74" t="s">
        <v>35</v>
      </c>
      <c r="AS87" s="74" t="s">
        <v>1348</v>
      </c>
      <c r="AT87" s="74" t="s">
        <v>2670</v>
      </c>
      <c r="AU87" s="74">
        <v>13.0</v>
      </c>
      <c r="AV87" s="74" t="s">
        <v>35</v>
      </c>
      <c r="AW87" s="74"/>
      <c r="AX87" s="74"/>
      <c r="AY87" s="74"/>
      <c r="AZ87" s="74"/>
      <c r="BA87" s="74"/>
      <c r="BB87" s="74"/>
      <c r="BC87" s="74"/>
      <c r="BD87" s="74"/>
      <c r="BE87" s="74"/>
      <c r="BF87" s="74"/>
      <c r="BG87" s="74"/>
      <c r="BH87" s="74"/>
      <c r="BI87" s="74"/>
      <c r="BJ87" s="74"/>
      <c r="BK87" s="74"/>
      <c r="BL87" s="74"/>
      <c r="BM87" s="74" t="s">
        <v>1445</v>
      </c>
      <c r="BN87" s="74" t="s">
        <v>2671</v>
      </c>
      <c r="BO87" s="74">
        <v>1100.0</v>
      </c>
      <c r="BP87" s="74"/>
      <c r="BQ87" s="74"/>
      <c r="BR87" s="74"/>
      <c r="BS87" s="74"/>
      <c r="BT87" s="74"/>
      <c r="BU87" s="74"/>
      <c r="BV87" s="74"/>
      <c r="BW87" s="74"/>
      <c r="BX87" s="74"/>
      <c r="BZ87" s="74"/>
      <c r="CA87" s="74" t="s">
        <v>73</v>
      </c>
      <c r="CB87" s="74"/>
      <c r="CC87" s="73" t="s">
        <v>73</v>
      </c>
      <c r="CD87" s="74"/>
      <c r="CE87" s="73" t="s">
        <v>37</v>
      </c>
      <c r="CF87" s="74"/>
      <c r="CG87" s="73" t="s">
        <v>37</v>
      </c>
      <c r="CH87" s="74"/>
      <c r="CI87" s="73" t="s">
        <v>73</v>
      </c>
      <c r="CJ87" s="74"/>
      <c r="CK87" s="73" t="s">
        <v>73</v>
      </c>
      <c r="CL87" s="74"/>
      <c r="CM87" s="73" t="s">
        <v>35</v>
      </c>
      <c r="CN87" s="74" t="s">
        <v>2672</v>
      </c>
      <c r="CO87" s="73" t="s">
        <v>35</v>
      </c>
      <c r="CP87" s="74" t="s">
        <v>2673</v>
      </c>
      <c r="CQ87" s="73" t="s">
        <v>35</v>
      </c>
      <c r="CR87" s="73" t="s">
        <v>2674</v>
      </c>
      <c r="CS87" s="74" t="s">
        <v>1287</v>
      </c>
      <c r="CT87" s="74" t="s">
        <v>1454</v>
      </c>
      <c r="CU87" s="79">
        <f t="shared" si="1"/>
        <v>87</v>
      </c>
      <c r="CV87" s="77">
        <f>IFERROR(__xludf.DUMMYFUNCTION("IFERROR(QUERY(Presidente!$A$3:$AD112, ""SELECT AD WHERE A = '"" &amp; $B87 &amp; ""'""),"""")"),684.0)</f>
        <v>684</v>
      </c>
    </row>
    <row r="88">
      <c r="A88" s="72">
        <v>44375.29998672454</v>
      </c>
      <c r="B88" s="73" t="s">
        <v>902</v>
      </c>
      <c r="C88" s="73" t="s">
        <v>2675</v>
      </c>
      <c r="D88" s="73">
        <v>134.0</v>
      </c>
      <c r="E88" s="73" t="s">
        <v>1356</v>
      </c>
      <c r="F88" s="73" t="s">
        <v>2676</v>
      </c>
      <c r="G88" s="73" t="s">
        <v>2677</v>
      </c>
      <c r="H88" s="74" t="s">
        <v>1329</v>
      </c>
      <c r="I88" s="73" t="s">
        <v>2678</v>
      </c>
      <c r="J88" s="74"/>
      <c r="K88" s="73" t="s">
        <v>2679</v>
      </c>
      <c r="L88" s="73" t="s">
        <v>2680</v>
      </c>
      <c r="M88" s="74"/>
      <c r="N88" s="73" t="s">
        <v>1260</v>
      </c>
      <c r="O88" s="75"/>
      <c r="P88" s="74"/>
      <c r="Q88" s="74"/>
      <c r="R88" s="73" t="s">
        <v>1261</v>
      </c>
      <c r="S88" s="73" t="s">
        <v>1294</v>
      </c>
      <c r="T88" s="73" t="s">
        <v>2681</v>
      </c>
      <c r="U88" s="74"/>
      <c r="V88" s="74"/>
      <c r="W88" s="74"/>
      <c r="X88" s="73" t="s">
        <v>2682</v>
      </c>
      <c r="Y88" s="74"/>
      <c r="Z88" s="74"/>
      <c r="AA88" s="74" t="s">
        <v>73</v>
      </c>
      <c r="AB88" s="73" t="s">
        <v>73</v>
      </c>
      <c r="AC88" s="73" t="s">
        <v>73</v>
      </c>
      <c r="AD88" s="73" t="s">
        <v>1268</v>
      </c>
      <c r="AE88" s="73" t="s">
        <v>1268</v>
      </c>
      <c r="AF88" s="74" t="s">
        <v>1701</v>
      </c>
      <c r="AG88" s="73" t="s">
        <v>73</v>
      </c>
      <c r="AH88" s="74"/>
      <c r="AI88" s="73" t="s">
        <v>73</v>
      </c>
      <c r="AJ88" s="74"/>
      <c r="AK88" s="73" t="s">
        <v>1314</v>
      </c>
      <c r="AL88" s="73" t="s">
        <v>1270</v>
      </c>
      <c r="AM88" s="74"/>
      <c r="AN88" s="74" t="s">
        <v>1494</v>
      </c>
      <c r="AO88" s="74" t="s">
        <v>2683</v>
      </c>
      <c r="AP88" s="74">
        <v>52.0</v>
      </c>
      <c r="AQ88" s="74"/>
      <c r="AR88" s="74"/>
      <c r="AS88" s="74" t="s">
        <v>1315</v>
      </c>
      <c r="AT88" s="74" t="s">
        <v>2684</v>
      </c>
      <c r="AU88" s="74">
        <v>38.0</v>
      </c>
      <c r="AV88" s="74"/>
      <c r="AW88" s="74"/>
      <c r="AX88" s="74" t="s">
        <v>1392</v>
      </c>
      <c r="AY88" s="74" t="s">
        <v>2685</v>
      </c>
      <c r="AZ88" s="74">
        <v>21.0</v>
      </c>
      <c r="BA88" s="74"/>
      <c r="BB88" s="74" t="s">
        <v>35</v>
      </c>
      <c r="BC88" s="74" t="s">
        <v>1411</v>
      </c>
      <c r="BD88" s="74" t="s">
        <v>2686</v>
      </c>
      <c r="BE88" s="74">
        <v>22.0</v>
      </c>
      <c r="BF88" s="74"/>
      <c r="BG88" s="74" t="s">
        <v>35</v>
      </c>
      <c r="BH88" s="74"/>
      <c r="BI88" s="74"/>
      <c r="BJ88" s="74"/>
      <c r="BK88" s="74"/>
      <c r="BL88" s="74"/>
      <c r="BM88" s="74" t="s">
        <v>1392</v>
      </c>
      <c r="BN88" s="74" t="s">
        <v>2687</v>
      </c>
      <c r="BO88" s="74">
        <v>1800.0</v>
      </c>
      <c r="BP88" s="74" t="s">
        <v>1411</v>
      </c>
      <c r="BQ88" s="74" t="s">
        <v>2688</v>
      </c>
      <c r="BR88" s="74">
        <v>2000.0</v>
      </c>
      <c r="BS88" s="74"/>
      <c r="BT88" s="74"/>
      <c r="BU88" s="74"/>
      <c r="BV88" s="74"/>
      <c r="BW88" s="74"/>
      <c r="BX88" s="74"/>
      <c r="BZ88" s="74"/>
      <c r="CA88" s="74" t="s">
        <v>73</v>
      </c>
      <c r="CB88" s="74"/>
      <c r="CC88" s="73" t="s">
        <v>73</v>
      </c>
      <c r="CD88" s="74"/>
      <c r="CE88" s="73" t="s">
        <v>1416</v>
      </c>
      <c r="CF88" s="74"/>
      <c r="CG88" s="73" t="s">
        <v>1416</v>
      </c>
      <c r="CH88" s="74"/>
      <c r="CI88" s="73" t="s">
        <v>73</v>
      </c>
      <c r="CJ88" s="74"/>
      <c r="CK88" s="73" t="s">
        <v>73</v>
      </c>
      <c r="CL88" s="74"/>
      <c r="CM88" s="73" t="s">
        <v>35</v>
      </c>
      <c r="CN88" s="74" t="s">
        <v>2689</v>
      </c>
      <c r="CO88" s="73" t="s">
        <v>73</v>
      </c>
      <c r="CP88" s="74"/>
      <c r="CQ88" s="73" t="s">
        <v>35</v>
      </c>
      <c r="CR88" s="73" t="s">
        <v>2690</v>
      </c>
      <c r="CS88" s="74" t="s">
        <v>1353</v>
      </c>
      <c r="CT88" s="74" t="s">
        <v>1711</v>
      </c>
      <c r="CU88" s="79">
        <f t="shared" si="1"/>
        <v>88</v>
      </c>
      <c r="CV88" s="77">
        <f>IFERROR(__xludf.DUMMYFUNCTION("IFERROR(QUERY(Presidente!$A$3:$AD112, ""SELECT AD WHERE A = '"" &amp; $B88 &amp; ""'""),"""")"),685.0)</f>
        <v>685</v>
      </c>
    </row>
    <row r="89">
      <c r="A89" s="72">
        <v>44375.33881354167</v>
      </c>
      <c r="B89" s="73" t="s">
        <v>912</v>
      </c>
      <c r="C89" s="73" t="s">
        <v>2691</v>
      </c>
      <c r="D89" s="73">
        <v>100.0</v>
      </c>
      <c r="E89" s="73" t="s">
        <v>2692</v>
      </c>
      <c r="F89" s="73" t="s">
        <v>2693</v>
      </c>
      <c r="G89" s="73" t="s">
        <v>2694</v>
      </c>
      <c r="H89" s="74" t="s">
        <v>1329</v>
      </c>
      <c r="I89" s="73" t="s">
        <v>2695</v>
      </c>
      <c r="J89" s="74"/>
      <c r="K89" s="73" t="s">
        <v>2696</v>
      </c>
      <c r="L89" s="73" t="s">
        <v>2697</v>
      </c>
      <c r="M89" s="74"/>
      <c r="N89" s="73" t="s">
        <v>1260</v>
      </c>
      <c r="O89" s="75"/>
      <c r="P89" s="74"/>
      <c r="Q89" s="74"/>
      <c r="R89" s="73" t="s">
        <v>1261</v>
      </c>
      <c r="S89" s="73" t="s">
        <v>1294</v>
      </c>
      <c r="T89" s="73" t="s">
        <v>2698</v>
      </c>
      <c r="U89" s="73" t="s">
        <v>2699</v>
      </c>
      <c r="V89" s="73" t="s">
        <v>2700</v>
      </c>
      <c r="W89" s="74"/>
      <c r="X89" s="73" t="s">
        <v>1510</v>
      </c>
      <c r="Y89" s="74"/>
      <c r="Z89" s="74"/>
      <c r="AA89" s="74" t="s">
        <v>73</v>
      </c>
      <c r="AB89" s="73" t="s">
        <v>73</v>
      </c>
      <c r="AC89" s="73" t="s">
        <v>73</v>
      </c>
      <c r="AD89" s="73" t="s">
        <v>1268</v>
      </c>
      <c r="AE89" s="73" t="s">
        <v>1268</v>
      </c>
      <c r="AF89" s="74" t="s">
        <v>2701</v>
      </c>
      <c r="AG89" s="73" t="s">
        <v>73</v>
      </c>
      <c r="AH89" s="74"/>
      <c r="AI89" s="73" t="s">
        <v>73</v>
      </c>
      <c r="AJ89" s="74"/>
      <c r="AK89" s="73" t="s">
        <v>1269</v>
      </c>
      <c r="AL89" s="73" t="s">
        <v>1299</v>
      </c>
      <c r="AM89" s="74"/>
      <c r="AN89" s="74" t="s">
        <v>1315</v>
      </c>
      <c r="AO89" s="74" t="s">
        <v>2702</v>
      </c>
      <c r="AP89" s="74">
        <v>36.0</v>
      </c>
      <c r="AQ89" s="74"/>
      <c r="AR89" s="74" t="s">
        <v>35</v>
      </c>
      <c r="AS89" s="74" t="s">
        <v>1411</v>
      </c>
      <c r="AT89" s="74" t="s">
        <v>2703</v>
      </c>
      <c r="AU89" s="74">
        <v>20.0</v>
      </c>
      <c r="AV89" s="74"/>
      <c r="AW89" s="74" t="s">
        <v>35</v>
      </c>
      <c r="AX89" s="74"/>
      <c r="AY89" s="74"/>
      <c r="AZ89" s="74"/>
      <c r="BA89" s="74"/>
      <c r="BB89" s="74"/>
      <c r="BC89" s="74"/>
      <c r="BD89" s="74"/>
      <c r="BE89" s="74"/>
      <c r="BF89" s="74"/>
      <c r="BG89" s="74"/>
      <c r="BH89" s="74"/>
      <c r="BI89" s="74"/>
      <c r="BJ89" s="74"/>
      <c r="BK89" s="74"/>
      <c r="BL89" s="74"/>
      <c r="BM89" s="74" t="s">
        <v>1315</v>
      </c>
      <c r="BN89" s="74" t="s">
        <v>2704</v>
      </c>
      <c r="BO89" s="74">
        <v>1500.0</v>
      </c>
      <c r="BP89" s="74" t="s">
        <v>1411</v>
      </c>
      <c r="BQ89" s="74" t="s">
        <v>2705</v>
      </c>
      <c r="BR89" s="74">
        <v>1100.0</v>
      </c>
      <c r="BS89" s="74"/>
      <c r="BT89" s="74"/>
      <c r="BU89" s="74"/>
      <c r="BV89" s="74"/>
      <c r="BW89" s="74"/>
      <c r="BX89" s="74"/>
      <c r="BZ89" s="74"/>
      <c r="CA89" s="74"/>
      <c r="CB89" s="74"/>
      <c r="CC89" s="73" t="s">
        <v>73</v>
      </c>
      <c r="CD89" s="74"/>
      <c r="CE89" s="73" t="s">
        <v>37</v>
      </c>
      <c r="CF89" s="74"/>
      <c r="CG89" s="73" t="s">
        <v>84</v>
      </c>
      <c r="CH89" s="74"/>
      <c r="CI89" s="73" t="s">
        <v>73</v>
      </c>
      <c r="CJ89" s="74"/>
      <c r="CK89" s="73" t="s">
        <v>73</v>
      </c>
      <c r="CL89" s="74"/>
      <c r="CM89" s="73" t="s">
        <v>73</v>
      </c>
      <c r="CN89" s="74"/>
      <c r="CO89" s="73" t="s">
        <v>73</v>
      </c>
      <c r="CP89" s="74"/>
      <c r="CQ89" s="73" t="s">
        <v>73</v>
      </c>
      <c r="CR89" s="73" t="s">
        <v>2706</v>
      </c>
      <c r="CS89" s="74" t="s">
        <v>1836</v>
      </c>
      <c r="CT89" s="74" t="s">
        <v>1711</v>
      </c>
      <c r="CU89" s="79">
        <f t="shared" si="1"/>
        <v>89</v>
      </c>
      <c r="CV89" s="77">
        <f>IFERROR(__xludf.DUMMYFUNCTION("IFERROR(QUERY(Presidente!$A$3:$AD112, ""SELECT AD WHERE A = '"" &amp; $B89 &amp; ""'""),"""")"),686.0)</f>
        <v>686</v>
      </c>
    </row>
    <row r="90">
      <c r="A90" s="72">
        <v>44375.309563206014</v>
      </c>
      <c r="B90" s="73" t="s">
        <v>921</v>
      </c>
      <c r="C90" s="73" t="s">
        <v>2707</v>
      </c>
      <c r="D90" s="73">
        <v>2254.0</v>
      </c>
      <c r="E90" s="73" t="s">
        <v>2708</v>
      </c>
      <c r="F90" s="73" t="s">
        <v>2709</v>
      </c>
      <c r="G90" s="73" t="s">
        <v>2710</v>
      </c>
      <c r="H90" s="74" t="s">
        <v>1255</v>
      </c>
      <c r="I90" s="73" t="s">
        <v>2711</v>
      </c>
      <c r="J90" s="74">
        <v>1.150733667E9</v>
      </c>
      <c r="K90" s="73" t="s">
        <v>2712</v>
      </c>
      <c r="L90" s="73" t="s">
        <v>2713</v>
      </c>
      <c r="M90" s="73" t="s">
        <v>2714</v>
      </c>
      <c r="N90" s="73" t="s">
        <v>1310</v>
      </c>
      <c r="O90" s="75">
        <v>4.53969990124E11</v>
      </c>
      <c r="P90" s="74"/>
      <c r="R90" s="73" t="s">
        <v>1261</v>
      </c>
      <c r="S90" s="73" t="s">
        <v>1262</v>
      </c>
      <c r="T90" s="73" t="s">
        <v>2715</v>
      </c>
      <c r="U90" s="74"/>
      <c r="V90" s="74"/>
      <c r="W90" s="73" t="s">
        <v>2716</v>
      </c>
      <c r="X90" s="73" t="s">
        <v>2717</v>
      </c>
      <c r="Y90" s="74"/>
      <c r="Z90" s="73" t="s">
        <v>2718</v>
      </c>
      <c r="AA90" s="74" t="s">
        <v>1284</v>
      </c>
      <c r="AB90" s="73" t="s">
        <v>73</v>
      </c>
      <c r="AC90" s="73" t="s">
        <v>73</v>
      </c>
      <c r="AD90" s="73" t="s">
        <v>1268</v>
      </c>
      <c r="AE90" s="73" t="s">
        <v>1268</v>
      </c>
      <c r="AF90" s="74" t="s">
        <v>1284</v>
      </c>
      <c r="AG90" s="73" t="s">
        <v>73</v>
      </c>
      <c r="AH90" s="74"/>
      <c r="AI90" s="73" t="s">
        <v>73</v>
      </c>
      <c r="AJ90" s="74"/>
      <c r="AK90" s="73" t="s">
        <v>1314</v>
      </c>
      <c r="AL90" s="73" t="s">
        <v>2201</v>
      </c>
      <c r="AM90" s="74" t="s">
        <v>2719</v>
      </c>
      <c r="AN90" s="74" t="s">
        <v>1315</v>
      </c>
      <c r="AO90" s="74" t="s">
        <v>2720</v>
      </c>
      <c r="AP90" s="74">
        <v>43.0</v>
      </c>
      <c r="AQ90" s="74"/>
      <c r="AR90" s="74" t="s">
        <v>35</v>
      </c>
      <c r="AS90" s="74" t="s">
        <v>1275</v>
      </c>
      <c r="AT90" s="74" t="s">
        <v>2721</v>
      </c>
      <c r="AU90" s="74">
        <v>15.0</v>
      </c>
      <c r="AV90" s="74" t="s">
        <v>35</v>
      </c>
      <c r="AW90" s="74"/>
      <c r="AX90" s="74" t="s">
        <v>1275</v>
      </c>
      <c r="AY90" s="74" t="s">
        <v>2722</v>
      </c>
      <c r="AZ90" s="74">
        <v>13.0</v>
      </c>
      <c r="BA90" s="74" t="s">
        <v>35</v>
      </c>
      <c r="BB90" s="74"/>
      <c r="BC90" s="74" t="s">
        <v>2723</v>
      </c>
      <c r="BD90" s="74" t="s">
        <v>2724</v>
      </c>
      <c r="BE90" s="74">
        <v>55.0</v>
      </c>
      <c r="BF90" s="74"/>
      <c r="BG90" s="73" t="s">
        <v>73</v>
      </c>
      <c r="BH90" s="74" t="s">
        <v>2621</v>
      </c>
      <c r="BI90" s="74" t="s">
        <v>2725</v>
      </c>
      <c r="BJ90" s="74">
        <v>63.0</v>
      </c>
      <c r="BK90" s="74"/>
      <c r="BL90" s="74" t="s">
        <v>35</v>
      </c>
      <c r="BM90" s="74" t="s">
        <v>1273</v>
      </c>
      <c r="BN90" s="74" t="s">
        <v>2726</v>
      </c>
      <c r="BO90" s="74" t="s">
        <v>2727</v>
      </c>
      <c r="BP90" s="74" t="s">
        <v>2621</v>
      </c>
      <c r="BQ90" s="74" t="s">
        <v>2728</v>
      </c>
      <c r="BR90" s="74">
        <v>1000.0</v>
      </c>
      <c r="BS90" s="74"/>
      <c r="BT90" s="74"/>
      <c r="BV90" s="74"/>
      <c r="BW90" s="74"/>
      <c r="BZ90" s="74"/>
      <c r="CA90" s="73" t="s">
        <v>73</v>
      </c>
      <c r="CB90" s="74"/>
      <c r="CC90" s="73" t="s">
        <v>73</v>
      </c>
      <c r="CD90" s="74"/>
      <c r="CE90" s="73" t="s">
        <v>1416</v>
      </c>
      <c r="CF90" s="74"/>
      <c r="CG90" s="73" t="s">
        <v>1416</v>
      </c>
      <c r="CH90" s="74"/>
      <c r="CI90" s="73" t="s">
        <v>73</v>
      </c>
      <c r="CJ90" s="74"/>
      <c r="CK90" s="73" t="s">
        <v>73</v>
      </c>
      <c r="CL90" s="74"/>
      <c r="CM90" s="73" t="s">
        <v>35</v>
      </c>
      <c r="CN90" s="74"/>
      <c r="CO90" s="73" t="s">
        <v>73</v>
      </c>
      <c r="CP90" s="74"/>
      <c r="CQ90" s="73" t="s">
        <v>35</v>
      </c>
      <c r="CR90" s="73" t="s">
        <v>2729</v>
      </c>
      <c r="CS90" s="74" t="s">
        <v>1434</v>
      </c>
      <c r="CT90" s="74" t="s">
        <v>1435</v>
      </c>
      <c r="CU90" s="79">
        <f t="shared" si="1"/>
        <v>90</v>
      </c>
      <c r="CV90" s="77">
        <f>IFERROR(__xludf.DUMMYFUNCTION("IFERROR(QUERY(Presidente!$A$3:$AD112, ""SELECT AD WHERE A = '"" &amp; $B90 &amp; ""'""),"""")"),687.0)</f>
        <v>687</v>
      </c>
    </row>
    <row r="91">
      <c r="A91" s="72">
        <v>44375.36535042824</v>
      </c>
      <c r="B91" s="73" t="s">
        <v>931</v>
      </c>
      <c r="C91" s="73" t="s">
        <v>2730</v>
      </c>
      <c r="D91" s="73">
        <v>344.0</v>
      </c>
      <c r="E91" s="74"/>
      <c r="F91" s="73" t="s">
        <v>2731</v>
      </c>
      <c r="G91" s="73" t="s">
        <v>2732</v>
      </c>
      <c r="H91" s="74"/>
      <c r="I91" s="73" t="s">
        <v>2733</v>
      </c>
      <c r="J91" s="74" t="s">
        <v>2734</v>
      </c>
      <c r="K91" s="74"/>
      <c r="L91" s="74"/>
      <c r="M91" s="74"/>
      <c r="N91" s="73" t="s">
        <v>1260</v>
      </c>
      <c r="O91" s="75">
        <v>4.59105120141E11</v>
      </c>
      <c r="P91" s="74">
        <v>4.0</v>
      </c>
      <c r="Q91" s="74">
        <v>259.0</v>
      </c>
      <c r="R91" s="73" t="s">
        <v>1261</v>
      </c>
      <c r="S91" s="73" t="s">
        <v>1262</v>
      </c>
      <c r="T91" s="73" t="s">
        <v>2015</v>
      </c>
      <c r="U91" s="74"/>
      <c r="V91" s="74"/>
      <c r="W91" s="73" t="s">
        <v>2735</v>
      </c>
      <c r="X91" s="73" t="s">
        <v>2736</v>
      </c>
      <c r="Y91" s="74"/>
      <c r="Z91" s="74"/>
      <c r="AA91" s="74" t="s">
        <v>1351</v>
      </c>
      <c r="AB91" s="73" t="s">
        <v>73</v>
      </c>
      <c r="AC91" s="73" t="s">
        <v>73</v>
      </c>
      <c r="AD91" s="73" t="s">
        <v>1268</v>
      </c>
      <c r="AE91" s="73" t="s">
        <v>1268</v>
      </c>
      <c r="AF91" s="74" t="s">
        <v>2737</v>
      </c>
      <c r="AG91" s="73" t="s">
        <v>73</v>
      </c>
      <c r="AH91" s="74"/>
      <c r="AI91" s="73" t="s">
        <v>73</v>
      </c>
      <c r="AJ91" s="74"/>
      <c r="AK91" s="73" t="s">
        <v>1314</v>
      </c>
      <c r="AL91" s="73" t="s">
        <v>2738</v>
      </c>
      <c r="AM91" s="74"/>
      <c r="AN91" s="74" t="s">
        <v>1340</v>
      </c>
      <c r="AO91" s="74" t="s">
        <v>935</v>
      </c>
      <c r="AP91" s="74">
        <v>45.0</v>
      </c>
      <c r="AQ91" s="74"/>
      <c r="AR91" s="74" t="s">
        <v>2169</v>
      </c>
      <c r="AS91" s="74" t="s">
        <v>1369</v>
      </c>
      <c r="AT91" s="74" t="s">
        <v>2739</v>
      </c>
      <c r="AU91" s="74">
        <v>44.0</v>
      </c>
      <c r="AV91" s="74"/>
      <c r="AW91" s="74" t="s">
        <v>2169</v>
      </c>
      <c r="AX91" s="74" t="s">
        <v>1344</v>
      </c>
      <c r="AY91" s="74" t="s">
        <v>2740</v>
      </c>
      <c r="AZ91" s="74">
        <v>21.0</v>
      </c>
      <c r="BA91" s="74"/>
      <c r="BB91" s="74" t="s">
        <v>2169</v>
      </c>
      <c r="BC91" s="74" t="s">
        <v>1371</v>
      </c>
      <c r="BD91" s="74" t="s">
        <v>2741</v>
      </c>
      <c r="BE91" s="74">
        <v>83.0</v>
      </c>
      <c r="BF91" s="74"/>
      <c r="BG91" s="74" t="s">
        <v>2169</v>
      </c>
      <c r="BH91" s="74"/>
      <c r="BI91" s="74"/>
      <c r="BJ91" s="74"/>
      <c r="BK91" s="74"/>
      <c r="BL91" s="74"/>
      <c r="BM91" s="74" t="s">
        <v>1340</v>
      </c>
      <c r="BN91" s="74" t="s">
        <v>2742</v>
      </c>
      <c r="BO91" s="74">
        <v>1800.0</v>
      </c>
      <c r="BP91" s="74" t="s">
        <v>1369</v>
      </c>
      <c r="BQ91" s="74" t="s">
        <v>2743</v>
      </c>
      <c r="BR91" s="74">
        <v>3000.0</v>
      </c>
      <c r="BS91" s="74" t="s">
        <v>1344</v>
      </c>
      <c r="BT91" s="74" t="s">
        <v>2744</v>
      </c>
      <c r="BU91" s="74">
        <v>1500.0</v>
      </c>
      <c r="BV91" s="74" t="s">
        <v>1371</v>
      </c>
      <c r="BW91" s="74" t="s">
        <v>2745</v>
      </c>
      <c r="BX91" s="74">
        <v>2300.0</v>
      </c>
      <c r="BZ91" s="74"/>
      <c r="CA91" s="74"/>
      <c r="CB91" s="73" t="s">
        <v>73</v>
      </c>
      <c r="CC91" s="73" t="s">
        <v>73</v>
      </c>
      <c r="CD91" s="74"/>
      <c r="CE91" s="73" t="s">
        <v>37</v>
      </c>
      <c r="CF91" s="74"/>
      <c r="CG91" s="73" t="s">
        <v>2746</v>
      </c>
      <c r="CH91" s="73" t="s">
        <v>2747</v>
      </c>
      <c r="CI91" s="73" t="s">
        <v>73</v>
      </c>
      <c r="CJ91" s="74"/>
      <c r="CK91" s="73" t="s">
        <v>73</v>
      </c>
      <c r="CL91" s="74"/>
      <c r="CM91" s="73" t="s">
        <v>73</v>
      </c>
      <c r="CN91" s="74"/>
      <c r="CO91" s="73" t="s">
        <v>73</v>
      </c>
      <c r="CP91" s="74"/>
      <c r="CQ91" s="73" t="s">
        <v>73</v>
      </c>
      <c r="CR91" s="73" t="s">
        <v>2748</v>
      </c>
      <c r="CS91" s="74" t="s">
        <v>1497</v>
      </c>
      <c r="CT91" s="74" t="s">
        <v>1435</v>
      </c>
      <c r="CU91" s="79">
        <f t="shared" si="1"/>
        <v>91</v>
      </c>
      <c r="CV91" s="77">
        <f>IFERROR(__xludf.DUMMYFUNCTION("IFERROR(QUERY(Presidente!$A$3:$AD112, ""SELECT AD WHERE A = '"" &amp; $B91 &amp; ""'""),"""")"),688.0)</f>
        <v>688</v>
      </c>
    </row>
    <row r="92">
      <c r="A92" s="72">
        <v>44375.56688628472</v>
      </c>
      <c r="B92" s="73" t="s">
        <v>942</v>
      </c>
      <c r="C92" s="73" t="s">
        <v>2749</v>
      </c>
      <c r="D92" s="73">
        <v>630.0</v>
      </c>
      <c r="E92" s="73" t="s">
        <v>2750</v>
      </c>
      <c r="F92" s="73" t="s">
        <v>2751</v>
      </c>
      <c r="G92" s="74" t="s">
        <v>2752</v>
      </c>
      <c r="H92" s="74" t="s">
        <v>1255</v>
      </c>
      <c r="I92" s="73" t="s">
        <v>2753</v>
      </c>
      <c r="J92" s="74">
        <v>1.1971674446E10</v>
      </c>
      <c r="K92" s="73" t="s">
        <v>2754</v>
      </c>
      <c r="L92" s="73" t="s">
        <v>2755</v>
      </c>
      <c r="M92" s="74"/>
      <c r="N92" s="73" t="s">
        <v>2756</v>
      </c>
      <c r="O92" s="75"/>
      <c r="P92" s="74"/>
      <c r="R92" s="73" t="s">
        <v>1261</v>
      </c>
      <c r="S92" s="73" t="s">
        <v>1294</v>
      </c>
      <c r="T92" s="74"/>
      <c r="U92" s="74"/>
      <c r="V92" s="74"/>
      <c r="W92" s="74"/>
      <c r="X92" s="73" t="s">
        <v>1699</v>
      </c>
      <c r="Y92" s="74"/>
      <c r="Z92" s="73" t="s">
        <v>1298</v>
      </c>
      <c r="AA92" s="74" t="s">
        <v>73</v>
      </c>
      <c r="AB92" s="73" t="s">
        <v>73</v>
      </c>
      <c r="AC92" s="73" t="s">
        <v>73</v>
      </c>
      <c r="AD92" s="73" t="s">
        <v>1268</v>
      </c>
      <c r="AE92" s="73" t="s">
        <v>1268</v>
      </c>
      <c r="AF92" s="74" t="s">
        <v>2757</v>
      </c>
      <c r="AG92" s="73" t="s">
        <v>73</v>
      </c>
      <c r="AH92" s="74"/>
      <c r="AI92" s="73" t="s">
        <v>73</v>
      </c>
      <c r="AJ92" s="74"/>
      <c r="AK92" s="73" t="s">
        <v>1269</v>
      </c>
      <c r="AL92" s="73" t="s">
        <v>1315</v>
      </c>
      <c r="AM92" s="74"/>
      <c r="AN92" s="74" t="s">
        <v>1315</v>
      </c>
      <c r="AO92" s="74" t="s">
        <v>2758</v>
      </c>
      <c r="AP92" s="74">
        <v>46.0</v>
      </c>
      <c r="AQ92" s="74" t="s">
        <v>35</v>
      </c>
      <c r="AR92" s="74" t="s">
        <v>35</v>
      </c>
      <c r="AS92" s="74"/>
      <c r="AT92" s="74"/>
      <c r="AU92" s="74"/>
      <c r="AV92" s="74"/>
      <c r="AW92" s="74"/>
      <c r="AX92" s="74"/>
      <c r="AY92" s="74"/>
      <c r="AZ92" s="74"/>
      <c r="BA92" s="74"/>
      <c r="BB92" s="74"/>
      <c r="BC92" s="74"/>
      <c r="BD92" s="74"/>
      <c r="BE92" s="74"/>
      <c r="BF92" s="74"/>
      <c r="BH92" s="74"/>
      <c r="BI92" s="74"/>
      <c r="BJ92" s="74"/>
      <c r="BK92" s="74"/>
      <c r="BL92" s="74"/>
      <c r="BM92" s="74" t="s">
        <v>1315</v>
      </c>
      <c r="BN92" s="74" t="s">
        <v>2759</v>
      </c>
      <c r="BO92" s="74">
        <v>1500.0</v>
      </c>
      <c r="BP92" s="74"/>
      <c r="BQ92" s="74"/>
      <c r="BR92" s="74"/>
      <c r="BS92" s="74"/>
      <c r="BT92" s="74"/>
      <c r="BU92" s="74"/>
      <c r="BV92" s="74"/>
      <c r="BW92" s="74"/>
      <c r="BX92" s="74"/>
      <c r="BZ92" s="74"/>
      <c r="CA92" s="74" t="s">
        <v>73</v>
      </c>
      <c r="CB92" s="74"/>
      <c r="CC92" s="73" t="s">
        <v>73</v>
      </c>
      <c r="CD92" s="74"/>
      <c r="CE92" s="73" t="s">
        <v>1416</v>
      </c>
      <c r="CF92" s="74"/>
      <c r="CG92" s="73" t="s">
        <v>84</v>
      </c>
      <c r="CH92" s="74"/>
      <c r="CI92" s="73" t="s">
        <v>73</v>
      </c>
      <c r="CJ92" s="74"/>
      <c r="CK92" s="73" t="s">
        <v>73</v>
      </c>
      <c r="CL92" s="74"/>
      <c r="CM92" s="73" t="s">
        <v>73</v>
      </c>
      <c r="CN92" s="74"/>
      <c r="CO92" s="73" t="s">
        <v>73</v>
      </c>
      <c r="CP92" s="74"/>
      <c r="CQ92" s="73" t="s">
        <v>1260</v>
      </c>
      <c r="CR92" s="73" t="s">
        <v>2760</v>
      </c>
      <c r="CS92" s="74" t="s">
        <v>1816</v>
      </c>
      <c r="CT92" s="74" t="s">
        <v>1498</v>
      </c>
      <c r="CU92" s="76">
        <f t="shared" si="1"/>
        <v>92</v>
      </c>
      <c r="CV92" s="77">
        <f>IFERROR(__xludf.DUMMYFUNCTION("IFERROR(QUERY(Presidente!$A$3:$AD112, ""SELECT AD WHERE A = '"" &amp; $B92 &amp; ""'""),"""")"),689.0)</f>
        <v>689</v>
      </c>
    </row>
    <row r="93">
      <c r="A93" s="72">
        <v>44375.381956956015</v>
      </c>
      <c r="B93" s="73" t="s">
        <v>954</v>
      </c>
      <c r="C93" s="73" t="s">
        <v>2761</v>
      </c>
      <c r="D93" s="73">
        <v>141.0</v>
      </c>
      <c r="E93" s="73" t="s">
        <v>1852</v>
      </c>
      <c r="F93" s="73" t="s">
        <v>2762</v>
      </c>
      <c r="G93" s="73" t="s">
        <v>2763</v>
      </c>
      <c r="H93" s="74" t="s">
        <v>1255</v>
      </c>
      <c r="I93" s="73" t="s">
        <v>2764</v>
      </c>
      <c r="J93" s="74"/>
      <c r="K93" s="73" t="s">
        <v>2765</v>
      </c>
      <c r="L93" s="73" t="s">
        <v>2766</v>
      </c>
      <c r="M93" s="74"/>
      <c r="N93" s="73" t="s">
        <v>1260</v>
      </c>
      <c r="O93" s="78"/>
      <c r="P93" s="74"/>
      <c r="R93" s="73" t="s">
        <v>1261</v>
      </c>
      <c r="S93" s="73" t="s">
        <v>1294</v>
      </c>
      <c r="T93" s="74" t="s">
        <v>2767</v>
      </c>
      <c r="U93" s="73" t="s">
        <v>2768</v>
      </c>
      <c r="V93" s="73" t="s">
        <v>2769</v>
      </c>
      <c r="W93" s="74" t="s">
        <v>2770</v>
      </c>
      <c r="X93" s="73" t="s">
        <v>1312</v>
      </c>
      <c r="Y93" s="74" t="s">
        <v>1284</v>
      </c>
      <c r="Z93" s="74" t="s">
        <v>1284</v>
      </c>
      <c r="AA93" s="74" t="s">
        <v>1284</v>
      </c>
      <c r="AB93" s="73" t="s">
        <v>73</v>
      </c>
      <c r="AC93" s="73" t="s">
        <v>73</v>
      </c>
      <c r="AD93" s="73" t="s">
        <v>1268</v>
      </c>
      <c r="AE93" s="73" t="s">
        <v>1268</v>
      </c>
      <c r="AF93" s="74" t="s">
        <v>1740</v>
      </c>
      <c r="AG93" s="73" t="s">
        <v>73</v>
      </c>
      <c r="AH93" s="74"/>
      <c r="AI93" s="73" t="s">
        <v>73</v>
      </c>
      <c r="AJ93" s="74"/>
      <c r="AK93" s="73" t="s">
        <v>1314</v>
      </c>
      <c r="AL93" s="73" t="s">
        <v>1270</v>
      </c>
      <c r="AM93" s="74"/>
      <c r="AN93" s="74" t="s">
        <v>1271</v>
      </c>
      <c r="AO93" s="74" t="s">
        <v>2771</v>
      </c>
      <c r="AP93" s="74">
        <v>45.0</v>
      </c>
      <c r="AQ93" s="74"/>
      <c r="AR93" s="74" t="s">
        <v>35</v>
      </c>
      <c r="AS93" s="74" t="s">
        <v>1273</v>
      </c>
      <c r="AT93" s="74" t="s">
        <v>2772</v>
      </c>
      <c r="AU93" s="74">
        <v>40.0</v>
      </c>
      <c r="AV93" s="74"/>
      <c r="AW93" s="74" t="s">
        <v>35</v>
      </c>
      <c r="AX93" s="74" t="s">
        <v>1275</v>
      </c>
      <c r="AY93" s="74" t="s">
        <v>2773</v>
      </c>
      <c r="AZ93" s="74">
        <v>7.0</v>
      </c>
      <c r="BA93" s="74"/>
      <c r="BB93" s="74"/>
      <c r="BC93" s="74"/>
      <c r="BD93" s="74"/>
      <c r="BE93" s="74"/>
      <c r="BF93" s="74"/>
      <c r="BH93" s="74"/>
      <c r="BI93" s="74"/>
      <c r="BJ93" s="74"/>
      <c r="BK93" s="74"/>
      <c r="BL93" s="74"/>
      <c r="BM93" s="74" t="s">
        <v>1271</v>
      </c>
      <c r="BN93" s="74" t="s">
        <v>1958</v>
      </c>
      <c r="BO93" s="74">
        <v>4000.0</v>
      </c>
      <c r="BP93" s="74" t="s">
        <v>1866</v>
      </c>
      <c r="BQ93" s="74" t="s">
        <v>1958</v>
      </c>
      <c r="BR93" s="74">
        <v>4000.0</v>
      </c>
      <c r="BS93" s="74"/>
      <c r="BT93" s="74"/>
      <c r="BV93" s="74"/>
      <c r="BW93" s="74"/>
      <c r="BZ93" s="74"/>
      <c r="CA93" s="74" t="s">
        <v>1284</v>
      </c>
      <c r="CB93" s="74"/>
      <c r="CC93" s="73" t="s">
        <v>35</v>
      </c>
      <c r="CD93" s="74"/>
      <c r="CE93" s="73" t="s">
        <v>37</v>
      </c>
      <c r="CF93" s="74"/>
      <c r="CG93" s="73" t="s">
        <v>37</v>
      </c>
      <c r="CH93" s="74"/>
      <c r="CI93" s="73" t="s">
        <v>73</v>
      </c>
      <c r="CJ93" s="74"/>
      <c r="CK93" s="73" t="s">
        <v>73</v>
      </c>
      <c r="CL93" s="74"/>
      <c r="CM93" s="73" t="s">
        <v>73</v>
      </c>
      <c r="CN93" s="74"/>
      <c r="CO93" s="73" t="s">
        <v>73</v>
      </c>
      <c r="CP93" s="74"/>
      <c r="CQ93" s="73" t="s">
        <v>35</v>
      </c>
      <c r="CR93" s="73" t="s">
        <v>2774</v>
      </c>
      <c r="CS93" s="74" t="s">
        <v>1434</v>
      </c>
      <c r="CT93" s="74"/>
      <c r="CU93" s="79">
        <f t="shared" si="1"/>
        <v>93</v>
      </c>
      <c r="CV93" s="77">
        <f>IFERROR(__xludf.DUMMYFUNCTION("IFERROR(QUERY(Presidente!$A$3:$AD112, ""SELECT AD WHERE A = '"" &amp; $B93 &amp; ""'""),"""")"),690.0)</f>
        <v>690</v>
      </c>
    </row>
    <row r="94">
      <c r="A94" s="72">
        <v>44375.64644020834</v>
      </c>
      <c r="B94" s="73" t="s">
        <v>964</v>
      </c>
      <c r="C94" s="73" t="s">
        <v>2775</v>
      </c>
      <c r="D94" s="73">
        <v>338.0</v>
      </c>
      <c r="E94" s="74" t="s">
        <v>2776</v>
      </c>
      <c r="F94" s="73" t="s">
        <v>2777</v>
      </c>
      <c r="G94" s="73" t="s">
        <v>2775</v>
      </c>
      <c r="H94" s="74" t="s">
        <v>1255</v>
      </c>
      <c r="I94" s="73" t="s">
        <v>2778</v>
      </c>
      <c r="J94" s="74"/>
      <c r="K94" s="73" t="s">
        <v>2779</v>
      </c>
      <c r="L94" s="73" t="s">
        <v>2780</v>
      </c>
      <c r="M94" s="74"/>
      <c r="N94" s="73" t="s">
        <v>1260</v>
      </c>
      <c r="O94" s="75"/>
      <c r="P94" s="74"/>
      <c r="Q94" s="74"/>
      <c r="R94" s="73" t="s">
        <v>1261</v>
      </c>
      <c r="S94" s="73" t="s">
        <v>1294</v>
      </c>
      <c r="T94" s="74"/>
      <c r="U94" s="74" t="s">
        <v>2781</v>
      </c>
      <c r="V94" s="74"/>
      <c r="W94" s="74"/>
      <c r="X94" s="73" t="s">
        <v>2782</v>
      </c>
      <c r="Y94" s="74"/>
      <c r="Z94" s="74"/>
      <c r="AA94" s="73" t="s">
        <v>1267</v>
      </c>
      <c r="AB94" s="73" t="s">
        <v>1267</v>
      </c>
      <c r="AC94" s="73" t="s">
        <v>73</v>
      </c>
      <c r="AD94" s="73" t="s">
        <v>1268</v>
      </c>
      <c r="AE94" s="73" t="s">
        <v>1268</v>
      </c>
      <c r="AF94" s="74" t="s">
        <v>2783</v>
      </c>
      <c r="AG94" s="73" t="s">
        <v>73</v>
      </c>
      <c r="AH94" s="74"/>
      <c r="AI94" s="73" t="s">
        <v>73</v>
      </c>
      <c r="AJ94" s="74"/>
      <c r="AK94" s="73" t="s">
        <v>2784</v>
      </c>
      <c r="AL94" s="73" t="s">
        <v>1270</v>
      </c>
      <c r="AM94" s="74"/>
      <c r="AN94" s="74" t="s">
        <v>1278</v>
      </c>
      <c r="AO94" s="74" t="s">
        <v>2785</v>
      </c>
      <c r="AP94" s="74">
        <v>60.0</v>
      </c>
      <c r="AQ94" s="74"/>
      <c r="AR94" s="74" t="s">
        <v>35</v>
      </c>
      <c r="AS94" s="74" t="s">
        <v>1315</v>
      </c>
      <c r="AT94" s="74" t="s">
        <v>2786</v>
      </c>
      <c r="AU94" s="74">
        <v>60.0</v>
      </c>
      <c r="AV94" s="74"/>
      <c r="AW94" s="74" t="s">
        <v>35</v>
      </c>
      <c r="AX94" s="74" t="s">
        <v>1411</v>
      </c>
      <c r="AY94" s="74" t="s">
        <v>2787</v>
      </c>
      <c r="AZ94" s="74">
        <v>25.0</v>
      </c>
      <c r="BA94" s="74"/>
      <c r="BB94" s="74"/>
      <c r="BC94" s="74"/>
      <c r="BD94" s="74"/>
      <c r="BE94" s="74"/>
      <c r="BF94" s="74"/>
      <c r="BH94" s="74"/>
      <c r="BI94" s="74"/>
      <c r="BJ94" s="74"/>
      <c r="BK94" s="74"/>
      <c r="BL94" s="74"/>
      <c r="BM94" s="74" t="s">
        <v>1278</v>
      </c>
      <c r="BN94" s="74" t="s">
        <v>2099</v>
      </c>
      <c r="BO94" s="74">
        <v>3000.0</v>
      </c>
      <c r="BP94" s="74" t="s">
        <v>1315</v>
      </c>
      <c r="BQ94" s="74" t="s">
        <v>2788</v>
      </c>
      <c r="BR94" s="74">
        <v>1300.0</v>
      </c>
      <c r="BS94" s="74"/>
      <c r="BT94" s="74"/>
      <c r="BU94" s="74"/>
      <c r="BV94" s="74"/>
      <c r="BW94" s="74"/>
      <c r="BX94" s="74"/>
      <c r="BZ94" s="74"/>
      <c r="CA94" s="74" t="s">
        <v>73</v>
      </c>
      <c r="CB94" s="74"/>
      <c r="CC94" s="73" t="s">
        <v>73</v>
      </c>
      <c r="CD94" s="74"/>
      <c r="CE94" s="73" t="s">
        <v>37</v>
      </c>
      <c r="CF94" s="74"/>
      <c r="CG94" s="73" t="s">
        <v>1416</v>
      </c>
      <c r="CH94" s="74"/>
      <c r="CI94" s="73" t="s">
        <v>73</v>
      </c>
      <c r="CJ94" s="74"/>
      <c r="CK94" s="73" t="s">
        <v>73</v>
      </c>
      <c r="CL94" s="74"/>
      <c r="CM94" s="73" t="s">
        <v>73</v>
      </c>
      <c r="CN94" s="74"/>
      <c r="CO94" s="73" t="s">
        <v>73</v>
      </c>
      <c r="CP94" s="74"/>
      <c r="CQ94" s="73" t="s">
        <v>73</v>
      </c>
      <c r="CR94" s="73" t="s">
        <v>2789</v>
      </c>
      <c r="CS94" s="74" t="s">
        <v>1497</v>
      </c>
      <c r="CT94" s="74" t="s">
        <v>1498</v>
      </c>
      <c r="CU94" s="76">
        <f t="shared" si="1"/>
        <v>94</v>
      </c>
      <c r="CV94" s="77">
        <f>IFERROR(__xludf.DUMMYFUNCTION("IFERROR(QUERY(Presidente!$A$3:$AD112, ""SELECT AD WHERE A = '"" &amp; $B94 &amp; ""'""),"""")"),691.0)</f>
        <v>691</v>
      </c>
    </row>
    <row r="95">
      <c r="A95" s="72">
        <v>44375.58998576389</v>
      </c>
      <c r="B95" s="73" t="s">
        <v>974</v>
      </c>
      <c r="C95" s="73" t="s">
        <v>2790</v>
      </c>
      <c r="D95" s="73">
        <v>196.0</v>
      </c>
      <c r="E95" s="73" t="s">
        <v>2791</v>
      </c>
      <c r="F95" s="73" t="s">
        <v>2792</v>
      </c>
      <c r="G95" s="73" t="s">
        <v>2793</v>
      </c>
      <c r="H95" s="74" t="s">
        <v>1929</v>
      </c>
      <c r="I95" s="73" t="s">
        <v>2794</v>
      </c>
      <c r="J95" s="74">
        <v>1.12389826E9</v>
      </c>
      <c r="K95" s="73" t="s">
        <v>2795</v>
      </c>
      <c r="L95" s="73" t="s">
        <v>2796</v>
      </c>
      <c r="M95" s="74"/>
      <c r="N95" s="73" t="s">
        <v>1310</v>
      </c>
      <c r="O95" s="78"/>
      <c r="R95" s="73" t="s">
        <v>1587</v>
      </c>
      <c r="S95" s="73" t="s">
        <v>1294</v>
      </c>
      <c r="T95" s="73" t="s">
        <v>2797</v>
      </c>
      <c r="X95" s="73" t="s">
        <v>1699</v>
      </c>
      <c r="AA95" s="73" t="s">
        <v>73</v>
      </c>
      <c r="AB95" s="73" t="s">
        <v>73</v>
      </c>
      <c r="AC95" s="73" t="s">
        <v>73</v>
      </c>
      <c r="AD95" s="73" t="s">
        <v>1268</v>
      </c>
      <c r="AE95" s="73" t="s">
        <v>1268</v>
      </c>
      <c r="AG95" s="73" t="s">
        <v>73</v>
      </c>
      <c r="AI95" s="73" t="s">
        <v>73</v>
      </c>
      <c r="AK95" s="73" t="s">
        <v>1314</v>
      </c>
      <c r="AL95" s="73" t="s">
        <v>1270</v>
      </c>
      <c r="CC95" s="73" t="s">
        <v>73</v>
      </c>
      <c r="CE95" s="73" t="s">
        <v>37</v>
      </c>
      <c r="CG95" s="73" t="s">
        <v>37</v>
      </c>
      <c r="CI95" s="73" t="s">
        <v>35</v>
      </c>
      <c r="CK95" s="73" t="s">
        <v>73</v>
      </c>
      <c r="CM95" s="73" t="s">
        <v>73</v>
      </c>
      <c r="CO95" s="73" t="s">
        <v>73</v>
      </c>
      <c r="CQ95" s="73" t="s">
        <v>35</v>
      </c>
      <c r="CR95" s="73" t="s">
        <v>2798</v>
      </c>
      <c r="CT95" s="74" t="s">
        <v>1991</v>
      </c>
      <c r="CU95" s="76">
        <f t="shared" si="1"/>
        <v>95</v>
      </c>
      <c r="CV95" s="77">
        <f>IFERROR(__xludf.DUMMYFUNCTION("IFERROR(QUERY(Presidente!$A$3:$AD112, ""SELECT AD WHERE A = '"" &amp; $B95 &amp; ""'""),"""")"),692.0)</f>
        <v>692</v>
      </c>
    </row>
    <row r="96">
      <c r="A96" s="72">
        <v>44375.34670898148</v>
      </c>
      <c r="B96" s="73" t="s">
        <v>984</v>
      </c>
      <c r="C96" s="73" t="s">
        <v>2799</v>
      </c>
      <c r="D96" s="73">
        <v>42.0</v>
      </c>
      <c r="E96" s="74" t="s">
        <v>2800</v>
      </c>
      <c r="F96" s="73" t="s">
        <v>2801</v>
      </c>
      <c r="G96" s="73" t="s">
        <v>2802</v>
      </c>
      <c r="H96" s="74" t="s">
        <v>1329</v>
      </c>
      <c r="I96" s="73" t="s">
        <v>2803</v>
      </c>
      <c r="J96" s="74" t="s">
        <v>2804</v>
      </c>
      <c r="K96" s="73" t="s">
        <v>2805</v>
      </c>
      <c r="L96" s="73" t="s">
        <v>2806</v>
      </c>
      <c r="M96" s="74"/>
      <c r="N96" s="73" t="s">
        <v>2756</v>
      </c>
      <c r="O96" s="75">
        <v>4.63544560116E11</v>
      </c>
      <c r="P96" s="73">
        <v>350.0</v>
      </c>
      <c r="Q96" s="90" t="s">
        <v>2807</v>
      </c>
      <c r="R96" s="73" t="s">
        <v>1587</v>
      </c>
      <c r="S96" s="73" t="s">
        <v>1262</v>
      </c>
      <c r="T96" s="73" t="s">
        <v>2808</v>
      </c>
      <c r="W96" s="73" t="s">
        <v>2809</v>
      </c>
      <c r="X96" s="73" t="s">
        <v>2810</v>
      </c>
      <c r="AA96" s="73" t="s">
        <v>73</v>
      </c>
      <c r="AB96" s="73" t="s">
        <v>73</v>
      </c>
      <c r="AC96" s="73" t="s">
        <v>73</v>
      </c>
      <c r="AD96" s="73" t="s">
        <v>1268</v>
      </c>
      <c r="AE96" s="73" t="s">
        <v>1268</v>
      </c>
      <c r="AG96" s="73" t="s">
        <v>73</v>
      </c>
      <c r="AI96" s="73" t="s">
        <v>73</v>
      </c>
      <c r="AK96" s="73" t="s">
        <v>1314</v>
      </c>
      <c r="AL96" s="73" t="s">
        <v>1315</v>
      </c>
      <c r="CC96" s="73" t="s">
        <v>73</v>
      </c>
      <c r="CE96" s="73" t="s">
        <v>1416</v>
      </c>
      <c r="CG96" s="73" t="s">
        <v>1416</v>
      </c>
      <c r="CI96" s="73" t="s">
        <v>73</v>
      </c>
      <c r="CK96" s="73" t="s">
        <v>73</v>
      </c>
      <c r="CM96" s="73" t="s">
        <v>73</v>
      </c>
      <c r="CO96" s="73" t="s">
        <v>73</v>
      </c>
      <c r="CQ96" s="73" t="s">
        <v>1260</v>
      </c>
      <c r="CR96" s="73" t="s">
        <v>2811</v>
      </c>
      <c r="CT96" s="74" t="s">
        <v>1991</v>
      </c>
      <c r="CU96" s="79">
        <f t="shared" si="1"/>
        <v>96</v>
      </c>
      <c r="CV96" s="77">
        <f>IFERROR(__xludf.DUMMYFUNCTION("IFERROR(QUERY(Presidente!$A$3:$AD112, ""SELECT AD WHERE A = '"" &amp; $B96 &amp; ""'""),"""")"),693.0)</f>
        <v>693</v>
      </c>
    </row>
    <row r="97">
      <c r="A97" s="72">
        <v>44375.34070428241</v>
      </c>
      <c r="B97" s="73" t="s">
        <v>994</v>
      </c>
      <c r="C97" s="73" t="s">
        <v>2812</v>
      </c>
      <c r="D97" s="73">
        <v>74.0</v>
      </c>
      <c r="E97" s="74"/>
      <c r="F97" s="73" t="s">
        <v>1477</v>
      </c>
      <c r="G97" s="73" t="s">
        <v>2813</v>
      </c>
      <c r="H97" s="74" t="s">
        <v>1329</v>
      </c>
      <c r="I97" s="73" t="s">
        <v>2814</v>
      </c>
      <c r="J97" s="74" t="s">
        <v>1001</v>
      </c>
      <c r="K97" s="73" t="s">
        <v>2815</v>
      </c>
      <c r="L97" s="74"/>
      <c r="M97" s="74"/>
      <c r="N97" s="73" t="s">
        <v>1260</v>
      </c>
      <c r="O97" s="78"/>
      <c r="R97" s="73" t="s">
        <v>1261</v>
      </c>
      <c r="S97" s="73" t="s">
        <v>1262</v>
      </c>
      <c r="T97" s="73" t="s">
        <v>2816</v>
      </c>
      <c r="W97" s="73" t="s">
        <v>2817</v>
      </c>
      <c r="X97" s="73" t="s">
        <v>2818</v>
      </c>
      <c r="Z97" s="73" t="s">
        <v>2819</v>
      </c>
      <c r="AA97" s="73" t="s">
        <v>73</v>
      </c>
      <c r="AB97" s="73" t="s">
        <v>73</v>
      </c>
      <c r="AC97" s="73" t="s">
        <v>73</v>
      </c>
      <c r="AD97" s="73" t="s">
        <v>1268</v>
      </c>
      <c r="AE97" s="73" t="s">
        <v>1268</v>
      </c>
      <c r="AG97" s="73" t="s">
        <v>73</v>
      </c>
      <c r="AI97" s="73" t="s">
        <v>73</v>
      </c>
      <c r="AK97" s="73" t="s">
        <v>1314</v>
      </c>
      <c r="AL97" s="73" t="s">
        <v>2820</v>
      </c>
      <c r="CC97" s="73" t="s">
        <v>73</v>
      </c>
      <c r="CE97" s="73" t="s">
        <v>37</v>
      </c>
      <c r="CG97" s="73" t="s">
        <v>1416</v>
      </c>
      <c r="CI97" s="73" t="s">
        <v>35</v>
      </c>
      <c r="CK97" s="73" t="s">
        <v>73</v>
      </c>
      <c r="CM97" s="73" t="s">
        <v>73</v>
      </c>
      <c r="CO97" s="73" t="s">
        <v>73</v>
      </c>
      <c r="CQ97" s="73" t="s">
        <v>1260</v>
      </c>
      <c r="CR97" s="73" t="s">
        <v>2821</v>
      </c>
      <c r="CT97" s="74" t="s">
        <v>1420</v>
      </c>
      <c r="CU97" s="79">
        <f t="shared" si="1"/>
        <v>97</v>
      </c>
      <c r="CV97" s="77">
        <f>IFERROR(__xludf.DUMMYFUNCTION("IFERROR(QUERY(Presidente!$A$3:$AD112, ""SELECT AD WHERE A = '"" &amp; $B97 &amp; ""'""),"""")"),694.0)</f>
        <v>694</v>
      </c>
    </row>
    <row r="98">
      <c r="A98" s="72">
        <v>44375.40585732639</v>
      </c>
      <c r="B98" s="73" t="s">
        <v>1005</v>
      </c>
      <c r="C98" s="73" t="s">
        <v>2822</v>
      </c>
      <c r="D98" s="73">
        <v>88.0</v>
      </c>
      <c r="E98" s="73" t="s">
        <v>2823</v>
      </c>
      <c r="F98" s="73" t="s">
        <v>2824</v>
      </c>
      <c r="G98" s="73" t="s">
        <v>2825</v>
      </c>
      <c r="I98" s="73" t="s">
        <v>2826</v>
      </c>
      <c r="K98" s="73" t="s">
        <v>2827</v>
      </c>
      <c r="L98" s="73" t="s">
        <v>2828</v>
      </c>
      <c r="N98" s="73" t="s">
        <v>1260</v>
      </c>
      <c r="O98" s="78"/>
      <c r="R98" s="73" t="s">
        <v>1261</v>
      </c>
      <c r="S98" s="73" t="s">
        <v>1294</v>
      </c>
      <c r="T98" s="73" t="s">
        <v>2829</v>
      </c>
      <c r="X98" s="73" t="s">
        <v>1312</v>
      </c>
      <c r="Z98" s="73" t="s">
        <v>1914</v>
      </c>
      <c r="AA98" s="73" t="s">
        <v>73</v>
      </c>
      <c r="AB98" s="73" t="s">
        <v>73</v>
      </c>
      <c r="AC98" s="73" t="s">
        <v>73</v>
      </c>
      <c r="AD98" s="73" t="s">
        <v>1268</v>
      </c>
      <c r="AE98" s="73" t="s">
        <v>1268</v>
      </c>
      <c r="AG98" s="73" t="s">
        <v>73</v>
      </c>
      <c r="AI98" s="73" t="s">
        <v>73</v>
      </c>
      <c r="AK98" s="73" t="s">
        <v>1314</v>
      </c>
      <c r="AL98" s="73" t="s">
        <v>1270</v>
      </c>
      <c r="CA98" s="73" t="s">
        <v>73</v>
      </c>
      <c r="CC98" s="73" t="s">
        <v>73</v>
      </c>
      <c r="CE98" s="73" t="s">
        <v>37</v>
      </c>
      <c r="CG98" s="73" t="s">
        <v>37</v>
      </c>
      <c r="CI98" s="73" t="s">
        <v>73</v>
      </c>
      <c r="CK98" s="73" t="s">
        <v>35</v>
      </c>
      <c r="CM98" s="73" t="s">
        <v>35</v>
      </c>
      <c r="CO98" s="73" t="s">
        <v>73</v>
      </c>
      <c r="CQ98" s="73" t="s">
        <v>35</v>
      </c>
      <c r="CR98" s="73" t="s">
        <v>2830</v>
      </c>
      <c r="CT98" s="74" t="s">
        <v>1420</v>
      </c>
      <c r="CU98" s="79">
        <f t="shared" si="1"/>
        <v>98</v>
      </c>
      <c r="CV98" s="77">
        <f>IFERROR(__xludf.DUMMYFUNCTION("IFERROR(QUERY(Presidente!$A$3:$AD112, ""SELECT AD WHERE A = '"" &amp; $B98 &amp; ""'""),"""")"),695.0)</f>
        <v>695</v>
      </c>
    </row>
    <row r="99">
      <c r="A99" s="72">
        <v>44375.35277046297</v>
      </c>
      <c r="B99" s="73" t="s">
        <v>1015</v>
      </c>
      <c r="C99" s="73" t="s">
        <v>2831</v>
      </c>
      <c r="D99" s="73">
        <v>148.0</v>
      </c>
      <c r="E99" s="74"/>
      <c r="F99" s="73" t="s">
        <v>2832</v>
      </c>
      <c r="G99" s="73" t="s">
        <v>2833</v>
      </c>
      <c r="H99" s="74" t="s">
        <v>1255</v>
      </c>
      <c r="I99" s="73" t="s">
        <v>2834</v>
      </c>
      <c r="J99" s="74"/>
      <c r="K99" s="73" t="s">
        <v>2835</v>
      </c>
      <c r="L99" s="73" t="s">
        <v>2836</v>
      </c>
      <c r="M99" s="74"/>
      <c r="N99" s="73" t="s">
        <v>1310</v>
      </c>
      <c r="O99" s="75">
        <v>4.62175220175E11</v>
      </c>
      <c r="P99" s="73">
        <v>381.0</v>
      </c>
      <c r="Q99" s="80" t="s">
        <v>2837</v>
      </c>
      <c r="R99" s="73" t="s">
        <v>1261</v>
      </c>
      <c r="S99" s="73" t="s">
        <v>1294</v>
      </c>
      <c r="T99" s="73" t="s">
        <v>2838</v>
      </c>
      <c r="U99" s="74"/>
      <c r="V99" s="74"/>
      <c r="W99" s="74"/>
      <c r="X99" s="74" t="s">
        <v>2839</v>
      </c>
      <c r="Y99" s="74"/>
      <c r="Z99" s="74"/>
      <c r="AA99" s="73" t="s">
        <v>73</v>
      </c>
      <c r="AB99" s="73" t="s">
        <v>73</v>
      </c>
      <c r="AC99" s="73" t="s">
        <v>73</v>
      </c>
      <c r="AD99" s="73" t="s">
        <v>1268</v>
      </c>
      <c r="AE99" s="73" t="s">
        <v>1268</v>
      </c>
      <c r="AF99" s="74"/>
      <c r="AG99" s="73" t="s">
        <v>73</v>
      </c>
      <c r="AH99" s="74"/>
      <c r="AI99" s="73" t="s">
        <v>73</v>
      </c>
      <c r="AJ99" s="74"/>
      <c r="AK99" s="73" t="s">
        <v>2146</v>
      </c>
      <c r="AL99" s="73" t="s">
        <v>1299</v>
      </c>
      <c r="AM99" s="74"/>
      <c r="AN99" s="74" t="s">
        <v>1608</v>
      </c>
      <c r="AO99" s="74" t="s">
        <v>2840</v>
      </c>
      <c r="AP99" s="74">
        <v>44.0</v>
      </c>
      <c r="AQ99" s="74"/>
      <c r="AR99" s="74" t="s">
        <v>35</v>
      </c>
      <c r="AS99" s="74" t="s">
        <v>1445</v>
      </c>
      <c r="AT99" s="74" t="s">
        <v>2841</v>
      </c>
      <c r="AU99" s="74">
        <v>38.0</v>
      </c>
      <c r="AV99" s="74"/>
      <c r="AW99" s="74" t="s">
        <v>35</v>
      </c>
      <c r="AX99" s="74" t="s">
        <v>1344</v>
      </c>
      <c r="AY99" s="74" t="s">
        <v>2842</v>
      </c>
      <c r="AZ99" s="74">
        <v>4.0</v>
      </c>
      <c r="BA99" s="74"/>
      <c r="BB99" s="74"/>
      <c r="BC99" s="74"/>
      <c r="BD99" s="74"/>
      <c r="BE99" s="74"/>
      <c r="BF99" s="74"/>
      <c r="BG99" s="74"/>
      <c r="BH99" s="74"/>
      <c r="BI99" s="74"/>
      <c r="BJ99" s="74"/>
      <c r="BK99" s="74"/>
      <c r="BL99" s="74"/>
      <c r="BM99" s="74" t="s">
        <v>1608</v>
      </c>
      <c r="BN99" s="74" t="s">
        <v>1377</v>
      </c>
      <c r="BO99" s="74">
        <v>1600.0</v>
      </c>
      <c r="BP99" s="74" t="s">
        <v>1445</v>
      </c>
      <c r="BQ99" s="74" t="s">
        <v>2843</v>
      </c>
      <c r="BR99" s="74">
        <v>1300.0</v>
      </c>
      <c r="BS99" s="74" t="s">
        <v>1450</v>
      </c>
      <c r="BT99" s="74" t="s">
        <v>2844</v>
      </c>
      <c r="BU99" s="74">
        <v>2300.0</v>
      </c>
      <c r="BV99" s="74"/>
      <c r="BW99" s="74"/>
      <c r="BX99" s="74"/>
      <c r="BZ99" s="74">
        <v>1500.0</v>
      </c>
      <c r="CA99" s="74"/>
      <c r="CB99" s="74"/>
      <c r="CC99" s="73" t="s">
        <v>35</v>
      </c>
      <c r="CD99" s="74" t="s">
        <v>2845</v>
      </c>
      <c r="CE99" s="73" t="s">
        <v>37</v>
      </c>
      <c r="CF99" s="74"/>
      <c r="CG99" s="73" t="s">
        <v>37</v>
      </c>
      <c r="CH99" s="74"/>
      <c r="CI99" s="73" t="s">
        <v>73</v>
      </c>
      <c r="CJ99" s="74"/>
      <c r="CK99" s="73" t="s">
        <v>73</v>
      </c>
      <c r="CL99" s="74"/>
      <c r="CM99" s="73" t="s">
        <v>35</v>
      </c>
      <c r="CN99" s="74" t="s">
        <v>1614</v>
      </c>
      <c r="CO99" s="73" t="s">
        <v>35</v>
      </c>
      <c r="CP99" s="74" t="s">
        <v>2846</v>
      </c>
      <c r="CQ99" s="73" t="s">
        <v>35</v>
      </c>
      <c r="CR99" s="73" t="s">
        <v>2847</v>
      </c>
      <c r="CS99" s="74" t="s">
        <v>1353</v>
      </c>
      <c r="CT99" s="74" t="s">
        <v>1454</v>
      </c>
      <c r="CU99" s="79">
        <f t="shared" si="1"/>
        <v>99</v>
      </c>
      <c r="CV99" s="77">
        <f>IFERROR(__xludf.DUMMYFUNCTION("IFERROR(QUERY(Presidente!$A$3:$AD112, ""SELECT AD WHERE A = '"" &amp; $B99 &amp; ""'""),"""")"),696.0)</f>
        <v>696</v>
      </c>
    </row>
    <row r="100">
      <c r="A100" s="72">
        <v>44375.32723679398</v>
      </c>
      <c r="B100" s="73" t="s">
        <v>1026</v>
      </c>
      <c r="C100" s="73" t="s">
        <v>2848</v>
      </c>
      <c r="D100" s="73">
        <v>610.0</v>
      </c>
      <c r="E100" s="74" t="s">
        <v>1475</v>
      </c>
      <c r="F100" s="73" t="s">
        <v>2849</v>
      </c>
      <c r="G100" s="73" t="s">
        <v>2850</v>
      </c>
      <c r="H100" s="74" t="s">
        <v>1475</v>
      </c>
      <c r="I100" s="73" t="s">
        <v>2851</v>
      </c>
      <c r="J100" s="74" t="s">
        <v>1475</v>
      </c>
      <c r="K100" s="73" t="s">
        <v>2852</v>
      </c>
      <c r="L100" s="73" t="s">
        <v>2853</v>
      </c>
      <c r="M100" s="74" t="s">
        <v>1475</v>
      </c>
      <c r="N100" s="73" t="s">
        <v>1603</v>
      </c>
      <c r="O100" s="75">
        <v>4.61635560191E11</v>
      </c>
      <c r="P100" s="73">
        <v>320.0</v>
      </c>
      <c r="Q100" s="73">
        <v>225.0</v>
      </c>
      <c r="R100" s="73" t="s">
        <v>1261</v>
      </c>
      <c r="S100" s="73" t="s">
        <v>1294</v>
      </c>
      <c r="T100" s="73"/>
      <c r="U100" s="74" t="s">
        <v>1475</v>
      </c>
      <c r="V100" s="74" t="s">
        <v>1475</v>
      </c>
      <c r="W100" s="74" t="s">
        <v>1475</v>
      </c>
      <c r="X100" s="73" t="s">
        <v>2854</v>
      </c>
      <c r="Y100" s="74" t="s">
        <v>1475</v>
      </c>
      <c r="Z100" s="73" t="s">
        <v>2272</v>
      </c>
      <c r="AA100" s="73" t="s">
        <v>73</v>
      </c>
      <c r="AB100" s="73" t="s">
        <v>73</v>
      </c>
      <c r="AC100" s="73" t="s">
        <v>73</v>
      </c>
      <c r="AD100" s="73" t="s">
        <v>1268</v>
      </c>
      <c r="AE100" s="73" t="s">
        <v>1268</v>
      </c>
      <c r="AF100" s="74" t="s">
        <v>1475</v>
      </c>
      <c r="AG100" s="73" t="s">
        <v>73</v>
      </c>
      <c r="AH100" s="74" t="s">
        <v>1475</v>
      </c>
      <c r="AI100" s="73" t="s">
        <v>73</v>
      </c>
      <c r="AJ100" s="74" t="s">
        <v>1475</v>
      </c>
      <c r="AK100" s="73" t="s">
        <v>1314</v>
      </c>
      <c r="AL100" s="73" t="s">
        <v>1623</v>
      </c>
      <c r="AM100" s="74" t="s">
        <v>1475</v>
      </c>
      <c r="AN100" s="74" t="s">
        <v>1475</v>
      </c>
      <c r="AO100" s="74" t="s">
        <v>1475</v>
      </c>
      <c r="AP100" s="74" t="s">
        <v>1475</v>
      </c>
      <c r="AQ100" s="74" t="s">
        <v>1475</v>
      </c>
      <c r="AR100" s="74" t="s">
        <v>1475</v>
      </c>
      <c r="AS100" s="74" t="s">
        <v>1475</v>
      </c>
      <c r="AT100" s="74" t="s">
        <v>1475</v>
      </c>
      <c r="AU100" s="74" t="s">
        <v>1475</v>
      </c>
      <c r="AV100" s="74" t="s">
        <v>1475</v>
      </c>
      <c r="AW100" s="74" t="s">
        <v>1475</v>
      </c>
      <c r="AX100" s="74" t="s">
        <v>1475</v>
      </c>
      <c r="AY100" s="74" t="s">
        <v>1475</v>
      </c>
      <c r="AZ100" s="74" t="s">
        <v>1475</v>
      </c>
      <c r="BA100" s="74" t="s">
        <v>1475</v>
      </c>
      <c r="BB100" s="74" t="s">
        <v>1475</v>
      </c>
      <c r="BC100" s="74" t="s">
        <v>1475</v>
      </c>
      <c r="BD100" s="74" t="s">
        <v>1475</v>
      </c>
      <c r="BE100" s="74" t="s">
        <v>1475</v>
      </c>
      <c r="BF100" s="74" t="s">
        <v>1475</v>
      </c>
      <c r="BG100" s="81" t="s">
        <v>1475</v>
      </c>
      <c r="BH100" s="74" t="s">
        <v>1475</v>
      </c>
      <c r="BI100" s="74" t="s">
        <v>1475</v>
      </c>
      <c r="BJ100" s="74" t="s">
        <v>1475</v>
      </c>
      <c r="BK100" s="74" t="s">
        <v>1475</v>
      </c>
      <c r="BL100" s="74" t="s">
        <v>1475</v>
      </c>
      <c r="BM100" s="74" t="s">
        <v>1475</v>
      </c>
      <c r="BN100" s="74" t="s">
        <v>1475</v>
      </c>
      <c r="BO100" s="74" t="s">
        <v>1475</v>
      </c>
      <c r="BP100" s="74" t="s">
        <v>1475</v>
      </c>
      <c r="BQ100" s="74" t="s">
        <v>1475</v>
      </c>
      <c r="BR100" s="74" t="s">
        <v>1475</v>
      </c>
      <c r="BS100" s="74" t="s">
        <v>1475</v>
      </c>
      <c r="BT100" s="74" t="s">
        <v>1475</v>
      </c>
      <c r="BU100" s="74" t="s">
        <v>1475</v>
      </c>
      <c r="BV100" s="74" t="s">
        <v>1475</v>
      </c>
      <c r="BW100" s="74" t="s">
        <v>1475</v>
      </c>
      <c r="BX100" s="74" t="s">
        <v>1475</v>
      </c>
      <c r="BZ100" s="74" t="s">
        <v>1475</v>
      </c>
      <c r="CA100" s="74" t="s">
        <v>1475</v>
      </c>
      <c r="CB100" s="74" t="s">
        <v>1475</v>
      </c>
      <c r="CC100" s="73" t="s">
        <v>73</v>
      </c>
      <c r="CD100" s="74" t="s">
        <v>1475</v>
      </c>
      <c r="CE100" s="73" t="s">
        <v>37</v>
      </c>
      <c r="CF100" s="74" t="s">
        <v>1475</v>
      </c>
      <c r="CG100" s="73" t="s">
        <v>1416</v>
      </c>
      <c r="CH100" s="74" t="s">
        <v>1475</v>
      </c>
      <c r="CI100" s="73" t="s">
        <v>35</v>
      </c>
      <c r="CJ100" s="74" t="s">
        <v>1475</v>
      </c>
      <c r="CK100" s="73" t="s">
        <v>73</v>
      </c>
      <c r="CL100" s="74" t="s">
        <v>1475</v>
      </c>
      <c r="CM100" s="73" t="s">
        <v>73</v>
      </c>
      <c r="CN100" s="74" t="s">
        <v>1475</v>
      </c>
      <c r="CO100" s="73" t="s">
        <v>73</v>
      </c>
      <c r="CP100" s="74" t="s">
        <v>1475</v>
      </c>
      <c r="CQ100" s="73" t="s">
        <v>35</v>
      </c>
      <c r="CR100" s="73" t="s">
        <v>2855</v>
      </c>
      <c r="CS100" s="74" t="s">
        <v>1323</v>
      </c>
      <c r="CT100" s="74" t="s">
        <v>1722</v>
      </c>
      <c r="CU100" s="79">
        <f t="shared" si="1"/>
        <v>100</v>
      </c>
      <c r="CV100" s="77">
        <f>IFERROR(__xludf.DUMMYFUNCTION("IFERROR(QUERY(Presidente!$A$3:$AD112, ""SELECT AD WHERE A = '"" &amp; $B100 &amp; ""'""),"""")"),697.0)</f>
        <v>697</v>
      </c>
    </row>
    <row r="101">
      <c r="A101" s="72">
        <v>44375.43233472222</v>
      </c>
      <c r="B101" s="73" t="s">
        <v>1035</v>
      </c>
      <c r="C101" s="73" t="s">
        <v>2856</v>
      </c>
      <c r="D101" s="73">
        <v>260.0</v>
      </c>
      <c r="E101" s="74" t="s">
        <v>1475</v>
      </c>
      <c r="F101" s="73" t="s">
        <v>1487</v>
      </c>
      <c r="G101" s="73" t="s">
        <v>2857</v>
      </c>
      <c r="H101" s="73" t="s">
        <v>1255</v>
      </c>
      <c r="I101" s="91" t="s">
        <v>2858</v>
      </c>
      <c r="J101" s="74" t="s">
        <v>1475</v>
      </c>
      <c r="K101" s="91" t="s">
        <v>2859</v>
      </c>
      <c r="L101" s="74" t="s">
        <v>1475</v>
      </c>
      <c r="M101" s="74" t="s">
        <v>1475</v>
      </c>
      <c r="N101" s="73" t="s">
        <v>1260</v>
      </c>
      <c r="O101" s="75" t="s">
        <v>1475</v>
      </c>
      <c r="P101" s="74" t="s">
        <v>1475</v>
      </c>
      <c r="Q101" s="74" t="s">
        <v>1475</v>
      </c>
      <c r="R101" s="73" t="s">
        <v>1261</v>
      </c>
      <c r="S101" s="73" t="s">
        <v>1262</v>
      </c>
      <c r="T101" s="91" t="s">
        <v>2860</v>
      </c>
      <c r="U101" s="74" t="s">
        <v>1475</v>
      </c>
      <c r="V101" s="74" t="s">
        <v>1475</v>
      </c>
      <c r="W101" s="73" t="s">
        <v>2861</v>
      </c>
      <c r="X101" s="91" t="s">
        <v>2862</v>
      </c>
      <c r="Y101" s="73" t="s">
        <v>1475</v>
      </c>
      <c r="Z101" s="73" t="s">
        <v>1475</v>
      </c>
      <c r="AA101" s="73" t="s">
        <v>73</v>
      </c>
      <c r="AB101" s="73" t="s">
        <v>73</v>
      </c>
      <c r="AC101" s="73" t="s">
        <v>73</v>
      </c>
      <c r="AD101" s="73" t="s">
        <v>1268</v>
      </c>
      <c r="AE101" s="73" t="s">
        <v>1268</v>
      </c>
      <c r="AF101" s="74" t="s">
        <v>1475</v>
      </c>
      <c r="AG101" s="73" t="s">
        <v>73</v>
      </c>
      <c r="AH101" s="74" t="s">
        <v>1475</v>
      </c>
      <c r="AI101" s="73" t="s">
        <v>73</v>
      </c>
      <c r="AJ101" s="74" t="s">
        <v>1475</v>
      </c>
      <c r="AK101" s="73" t="s">
        <v>1314</v>
      </c>
      <c r="AL101" s="73" t="s">
        <v>1270</v>
      </c>
      <c r="AM101" s="74" t="s">
        <v>1475</v>
      </c>
      <c r="AN101" s="74" t="s">
        <v>1475</v>
      </c>
      <c r="AP101" s="74" t="s">
        <v>1475</v>
      </c>
      <c r="AQ101" s="74" t="s">
        <v>1475</v>
      </c>
      <c r="AR101" s="74" t="s">
        <v>1475</v>
      </c>
      <c r="AS101" s="74" t="s">
        <v>1475</v>
      </c>
      <c r="AT101" s="74" t="s">
        <v>1475</v>
      </c>
      <c r="AU101" s="74" t="s">
        <v>1475</v>
      </c>
      <c r="AV101" s="74" t="s">
        <v>1475</v>
      </c>
      <c r="AW101" s="74" t="s">
        <v>1475</v>
      </c>
      <c r="AX101" s="74" t="s">
        <v>1475</v>
      </c>
      <c r="AY101" s="74" t="s">
        <v>1475</v>
      </c>
      <c r="AZ101" s="74" t="s">
        <v>1475</v>
      </c>
      <c r="BA101" s="74" t="s">
        <v>1475</v>
      </c>
      <c r="BB101" s="74" t="s">
        <v>1475</v>
      </c>
      <c r="BC101" s="74" t="s">
        <v>1475</v>
      </c>
      <c r="BD101" s="74" t="s">
        <v>1475</v>
      </c>
      <c r="BE101" s="74" t="s">
        <v>1475</v>
      </c>
      <c r="BF101" s="74" t="s">
        <v>1475</v>
      </c>
      <c r="BG101" s="81" t="s">
        <v>1475</v>
      </c>
      <c r="BH101" s="74" t="s">
        <v>1475</v>
      </c>
      <c r="BI101" s="74" t="s">
        <v>1475</v>
      </c>
      <c r="BJ101" s="74" t="s">
        <v>1475</v>
      </c>
      <c r="BK101" s="74" t="s">
        <v>1475</v>
      </c>
      <c r="BL101" s="74" t="s">
        <v>1475</v>
      </c>
      <c r="BM101" s="74" t="s">
        <v>1475</v>
      </c>
      <c r="BN101" s="74" t="s">
        <v>1475</v>
      </c>
      <c r="BO101" s="74" t="s">
        <v>1475</v>
      </c>
      <c r="BP101" s="74" t="s">
        <v>1475</v>
      </c>
      <c r="BQ101" s="74" t="s">
        <v>1475</v>
      </c>
      <c r="BR101" s="74" t="s">
        <v>1475</v>
      </c>
      <c r="BS101" s="74" t="s">
        <v>1475</v>
      </c>
      <c r="BT101" s="74" t="s">
        <v>1475</v>
      </c>
      <c r="BU101" s="74" t="s">
        <v>1475</v>
      </c>
      <c r="BV101" s="74" t="s">
        <v>1475</v>
      </c>
      <c r="BW101" s="74" t="s">
        <v>1475</v>
      </c>
      <c r="BX101" s="81" t="s">
        <v>1475</v>
      </c>
      <c r="BZ101" s="74" t="s">
        <v>1475</v>
      </c>
      <c r="CA101" s="73" t="s">
        <v>73</v>
      </c>
      <c r="CB101" s="74" t="s">
        <v>1475</v>
      </c>
      <c r="CC101" s="73" t="s">
        <v>73</v>
      </c>
      <c r="CD101" s="74" t="s">
        <v>1475</v>
      </c>
      <c r="CE101" s="73" t="s">
        <v>84</v>
      </c>
      <c r="CF101" s="74" t="s">
        <v>1475</v>
      </c>
      <c r="CG101" s="73" t="s">
        <v>84</v>
      </c>
      <c r="CH101" s="74" t="s">
        <v>1475</v>
      </c>
      <c r="CI101" s="73" t="s">
        <v>73</v>
      </c>
      <c r="CJ101" s="74" t="s">
        <v>1475</v>
      </c>
      <c r="CK101" s="73" t="s">
        <v>73</v>
      </c>
      <c r="CL101" s="74" t="s">
        <v>1475</v>
      </c>
      <c r="CM101" s="73" t="s">
        <v>35</v>
      </c>
      <c r="CN101" s="74" t="s">
        <v>1475</v>
      </c>
      <c r="CO101" s="73" t="s">
        <v>73</v>
      </c>
      <c r="CP101" s="74" t="s">
        <v>1475</v>
      </c>
      <c r="CQ101" s="73" t="s">
        <v>35</v>
      </c>
      <c r="CR101" s="73" t="s">
        <v>2116</v>
      </c>
      <c r="CS101" s="74" t="s">
        <v>1434</v>
      </c>
      <c r="CT101" s="74" t="s">
        <v>1475</v>
      </c>
      <c r="CU101" s="79">
        <f t="shared" si="1"/>
        <v>101</v>
      </c>
      <c r="CV101" s="77">
        <f>IFERROR(__xludf.DUMMYFUNCTION("IFERROR(QUERY(Presidente!$A$3:$AD112, ""SELECT AD WHERE A = '"" &amp; $B101 &amp; ""'""),"""")"),698.0)</f>
        <v>698</v>
      </c>
    </row>
    <row r="102">
      <c r="A102" s="72">
        <v>44375.35639784722</v>
      </c>
      <c r="B102" s="73" t="s">
        <v>1045</v>
      </c>
      <c r="C102" s="73" t="s">
        <v>2863</v>
      </c>
      <c r="D102" s="73">
        <v>408.0</v>
      </c>
      <c r="E102" s="73" t="s">
        <v>1993</v>
      </c>
      <c r="F102" s="73" t="s">
        <v>2864</v>
      </c>
      <c r="G102" s="73" t="s">
        <v>2865</v>
      </c>
      <c r="H102" s="74" t="s">
        <v>1255</v>
      </c>
      <c r="I102" s="73" t="s">
        <v>2410</v>
      </c>
      <c r="J102" s="74"/>
      <c r="K102" s="73" t="s">
        <v>2866</v>
      </c>
      <c r="L102" s="73" t="s">
        <v>2867</v>
      </c>
      <c r="M102" s="74"/>
      <c r="N102" s="73" t="s">
        <v>1260</v>
      </c>
      <c r="O102" s="75">
        <v>4.60681790167E11</v>
      </c>
      <c r="P102" s="74"/>
      <c r="Q102" s="74"/>
      <c r="R102" s="73" t="s">
        <v>1261</v>
      </c>
      <c r="S102" s="73" t="s">
        <v>1728</v>
      </c>
      <c r="T102" s="73" t="s">
        <v>1451</v>
      </c>
      <c r="U102" s="73" t="s">
        <v>2868</v>
      </c>
      <c r="V102" s="74"/>
      <c r="W102" s="73" t="s">
        <v>2869</v>
      </c>
      <c r="X102" s="73" t="s">
        <v>1312</v>
      </c>
      <c r="Y102" s="74"/>
      <c r="Z102" s="74"/>
      <c r="AA102" s="73" t="s">
        <v>2870</v>
      </c>
      <c r="AB102" s="73" t="s">
        <v>1267</v>
      </c>
      <c r="AC102" s="73" t="s">
        <v>73</v>
      </c>
      <c r="AD102" s="73" t="s">
        <v>1268</v>
      </c>
      <c r="AE102" s="73" t="s">
        <v>1268</v>
      </c>
      <c r="AF102" s="74"/>
      <c r="AG102" s="73" t="s">
        <v>73</v>
      </c>
      <c r="AH102" s="74"/>
      <c r="AI102" s="73" t="s">
        <v>73</v>
      </c>
      <c r="AJ102" s="74"/>
      <c r="AK102" s="73" t="s">
        <v>1314</v>
      </c>
      <c r="AL102" s="73" t="s">
        <v>1278</v>
      </c>
      <c r="AM102" s="74"/>
      <c r="AN102" s="74" t="s">
        <v>1278</v>
      </c>
      <c r="AO102" s="74" t="s">
        <v>2871</v>
      </c>
      <c r="AP102" s="74">
        <v>45.0</v>
      </c>
      <c r="AQ102" s="74"/>
      <c r="AR102" s="74" t="s">
        <v>35</v>
      </c>
      <c r="AS102" s="74"/>
      <c r="AT102" s="74"/>
      <c r="AU102" s="74"/>
      <c r="AV102" s="74"/>
      <c r="AW102" s="74"/>
      <c r="AX102" s="74"/>
      <c r="AY102" s="74"/>
      <c r="AZ102" s="74"/>
      <c r="BA102" s="74"/>
      <c r="BB102" s="74"/>
      <c r="BC102" s="74"/>
      <c r="BD102" s="74"/>
      <c r="BE102" s="74"/>
      <c r="BF102" s="74"/>
      <c r="BH102" s="74"/>
      <c r="BI102" s="74"/>
      <c r="BJ102" s="74"/>
      <c r="BK102" s="74"/>
      <c r="BL102" s="74"/>
      <c r="BM102" s="74" t="s">
        <v>1278</v>
      </c>
      <c r="BN102" s="74" t="s">
        <v>1554</v>
      </c>
      <c r="BO102" s="74">
        <v>1100.0</v>
      </c>
      <c r="BP102" s="74"/>
      <c r="BQ102" s="74"/>
      <c r="BR102" s="74"/>
      <c r="BS102" s="74"/>
      <c r="BT102" s="74"/>
      <c r="BU102" s="74"/>
      <c r="BV102" s="74"/>
      <c r="BW102" s="74"/>
      <c r="BX102" s="74"/>
      <c r="BZ102" s="74"/>
      <c r="CA102" s="74" t="s">
        <v>73</v>
      </c>
      <c r="CB102" s="74"/>
      <c r="CC102" s="73" t="s">
        <v>73</v>
      </c>
      <c r="CD102" s="74"/>
      <c r="CE102" s="73" t="s">
        <v>1416</v>
      </c>
      <c r="CF102" s="74"/>
      <c r="CG102" s="73" t="s">
        <v>1416</v>
      </c>
      <c r="CH102" s="74"/>
      <c r="CI102" s="73" t="s">
        <v>35</v>
      </c>
      <c r="CJ102" s="74"/>
      <c r="CK102" s="73" t="s">
        <v>73</v>
      </c>
      <c r="CL102" s="74"/>
      <c r="CM102" s="73" t="s">
        <v>35</v>
      </c>
      <c r="CN102" s="74"/>
      <c r="CO102" s="73" t="s">
        <v>73</v>
      </c>
      <c r="CP102" s="74"/>
      <c r="CQ102" s="73" t="s">
        <v>35</v>
      </c>
      <c r="CR102" s="73" t="s">
        <v>2872</v>
      </c>
      <c r="CS102" s="74" t="s">
        <v>1816</v>
      </c>
      <c r="CT102" s="74" t="s">
        <v>1301</v>
      </c>
      <c r="CU102" s="79">
        <f t="shared" si="1"/>
        <v>102</v>
      </c>
      <c r="CV102" s="77">
        <f>IFERROR(__xludf.DUMMYFUNCTION("IFERROR(QUERY(Presidente!$A$3:$AD112, ""SELECT AD WHERE A = '"" &amp; $B102 &amp; ""'""),"""")"),699.0)</f>
        <v>699</v>
      </c>
    </row>
    <row r="103">
      <c r="A103" s="72">
        <v>44375.351223645834</v>
      </c>
      <c r="B103" s="73" t="s">
        <v>1055</v>
      </c>
      <c r="C103" s="73" t="s">
        <v>2873</v>
      </c>
      <c r="D103" s="73">
        <v>217.0</v>
      </c>
      <c r="E103" s="74"/>
      <c r="F103" s="73" t="s">
        <v>2874</v>
      </c>
      <c r="G103" s="73" t="s">
        <v>2875</v>
      </c>
      <c r="H103" s="74" t="s">
        <v>1255</v>
      </c>
      <c r="I103" s="73" t="s">
        <v>2876</v>
      </c>
      <c r="J103" s="74"/>
      <c r="K103" s="73" t="s">
        <v>2877</v>
      </c>
      <c r="L103" s="73" t="s">
        <v>2878</v>
      </c>
      <c r="M103" s="74"/>
      <c r="N103" s="73" t="s">
        <v>1462</v>
      </c>
      <c r="O103" s="75">
        <v>4.59297030116E11</v>
      </c>
      <c r="P103" s="73">
        <v>246.0</v>
      </c>
      <c r="Q103" s="80" t="s">
        <v>2879</v>
      </c>
      <c r="R103" s="73" t="s">
        <v>1261</v>
      </c>
      <c r="S103" s="73" t="s">
        <v>1262</v>
      </c>
      <c r="T103" s="73" t="s">
        <v>2880</v>
      </c>
      <c r="U103" s="74" t="s">
        <v>2881</v>
      </c>
      <c r="V103" s="74" t="s">
        <v>2882</v>
      </c>
      <c r="W103" s="73" t="s">
        <v>2883</v>
      </c>
      <c r="X103" s="73" t="s">
        <v>2884</v>
      </c>
      <c r="Y103" s="73" t="s">
        <v>2885</v>
      </c>
      <c r="Z103" s="74" t="s">
        <v>2886</v>
      </c>
      <c r="AA103" s="74" t="s">
        <v>73</v>
      </c>
      <c r="AB103" s="73" t="s">
        <v>73</v>
      </c>
      <c r="AC103" s="73" t="s">
        <v>73</v>
      </c>
      <c r="AD103" s="73" t="s">
        <v>1268</v>
      </c>
      <c r="AE103" s="73" t="s">
        <v>1268</v>
      </c>
      <c r="AF103" s="74" t="s">
        <v>73</v>
      </c>
      <c r="AG103" s="73" t="s">
        <v>73</v>
      </c>
      <c r="AH103" s="74" t="s">
        <v>2887</v>
      </c>
      <c r="AI103" s="73" t="s">
        <v>73</v>
      </c>
      <c r="AJ103" s="74"/>
      <c r="AK103" s="73" t="s">
        <v>1314</v>
      </c>
      <c r="AL103" s="73" t="s">
        <v>2516</v>
      </c>
      <c r="AM103" s="74"/>
      <c r="AN103" s="74" t="s">
        <v>1445</v>
      </c>
      <c r="AO103" s="74" t="s">
        <v>2888</v>
      </c>
      <c r="AP103" s="74">
        <v>51.0</v>
      </c>
      <c r="AQ103" s="74"/>
      <c r="AR103" s="74"/>
      <c r="AS103" s="74" t="s">
        <v>1340</v>
      </c>
      <c r="AT103" s="74" t="s">
        <v>1058</v>
      </c>
      <c r="AU103" s="74">
        <v>52.0</v>
      </c>
      <c r="AV103" s="74" t="s">
        <v>35</v>
      </c>
      <c r="AW103" s="74" t="s">
        <v>35</v>
      </c>
      <c r="AX103" s="74" t="s">
        <v>1344</v>
      </c>
      <c r="AY103" s="74" t="s">
        <v>2889</v>
      </c>
      <c r="AZ103" s="74">
        <v>21.0</v>
      </c>
      <c r="BA103" s="74" t="s">
        <v>35</v>
      </c>
      <c r="BB103" s="74" t="s">
        <v>35</v>
      </c>
      <c r="BC103" s="74"/>
      <c r="BD103" s="74"/>
      <c r="BE103" s="74"/>
      <c r="BF103" s="74"/>
      <c r="BH103" s="74"/>
      <c r="BI103" s="74"/>
      <c r="BJ103" s="74"/>
      <c r="BK103" s="74"/>
      <c r="BL103" s="74"/>
      <c r="BM103" s="74" t="s">
        <v>1340</v>
      </c>
      <c r="BN103" s="74" t="s">
        <v>2890</v>
      </c>
      <c r="BO103" s="74">
        <v>10000.0</v>
      </c>
      <c r="BP103" s="74" t="s">
        <v>1344</v>
      </c>
      <c r="BQ103" s="74" t="s">
        <v>1518</v>
      </c>
      <c r="BR103" s="74">
        <v>3000.0</v>
      </c>
      <c r="BS103" s="74"/>
      <c r="BT103" s="74"/>
      <c r="BU103" s="74"/>
      <c r="BV103" s="74"/>
      <c r="BW103" s="74"/>
      <c r="BZ103" s="74">
        <v>0.0</v>
      </c>
      <c r="CA103" s="74" t="s">
        <v>73</v>
      </c>
      <c r="CB103" s="74"/>
      <c r="CC103" s="73" t="s">
        <v>73</v>
      </c>
      <c r="CD103" s="74"/>
      <c r="CE103" s="73" t="s">
        <v>37</v>
      </c>
      <c r="CF103" s="74"/>
      <c r="CG103" s="73" t="s">
        <v>37</v>
      </c>
      <c r="CH103" s="74"/>
      <c r="CI103" s="73" t="s">
        <v>73</v>
      </c>
      <c r="CJ103" s="74"/>
      <c r="CK103" s="73" t="s">
        <v>73</v>
      </c>
      <c r="CL103" s="74" t="s">
        <v>2891</v>
      </c>
      <c r="CM103" s="73" t="s">
        <v>73</v>
      </c>
      <c r="CN103" s="74"/>
      <c r="CO103" s="73" t="s">
        <v>73</v>
      </c>
      <c r="CP103" s="74"/>
      <c r="CQ103" s="73" t="s">
        <v>35</v>
      </c>
      <c r="CR103" s="73" t="s">
        <v>2892</v>
      </c>
      <c r="CS103" s="74" t="s">
        <v>1497</v>
      </c>
      <c r="CT103" s="74" t="s">
        <v>1354</v>
      </c>
      <c r="CU103" s="79">
        <f t="shared" si="1"/>
        <v>103</v>
      </c>
      <c r="CV103" s="77">
        <f>IFERROR(__xludf.DUMMYFUNCTION("IFERROR(QUERY(Presidente!$A$3:$AD112, ""SELECT AD WHERE A = '"" &amp; $B103 &amp; ""'""),"""")"),700.0)</f>
        <v>700</v>
      </c>
    </row>
    <row r="104">
      <c r="A104" s="72">
        <v>44375.36216858796</v>
      </c>
      <c r="B104" s="73" t="s">
        <v>1065</v>
      </c>
      <c r="C104" s="73" t="s">
        <v>2893</v>
      </c>
      <c r="D104" s="73">
        <v>15.0</v>
      </c>
      <c r="E104" s="74"/>
      <c r="F104" s="73" t="s">
        <v>2308</v>
      </c>
      <c r="G104" s="73" t="s">
        <v>2894</v>
      </c>
      <c r="H104" s="74" t="s">
        <v>1255</v>
      </c>
      <c r="I104" s="73" t="s">
        <v>2895</v>
      </c>
      <c r="J104" s="74">
        <v>1.156222947E9</v>
      </c>
      <c r="K104" s="73" t="s">
        <v>2896</v>
      </c>
      <c r="L104" s="73" t="s">
        <v>2897</v>
      </c>
      <c r="M104" s="74"/>
      <c r="N104" s="73" t="s">
        <v>1462</v>
      </c>
      <c r="O104" s="75">
        <v>4.59802050141E11</v>
      </c>
      <c r="P104" s="73">
        <v>351.0</v>
      </c>
      <c r="Q104" s="73" t="s">
        <v>2898</v>
      </c>
      <c r="R104" s="73" t="s">
        <v>1261</v>
      </c>
      <c r="S104" s="73" t="s">
        <v>1262</v>
      </c>
      <c r="T104" s="73" t="s">
        <v>2715</v>
      </c>
      <c r="U104" s="74"/>
      <c r="V104" s="74"/>
      <c r="W104" s="73" t="s">
        <v>2899</v>
      </c>
      <c r="X104" s="73" t="s">
        <v>2900</v>
      </c>
      <c r="Y104" s="74"/>
      <c r="Z104" s="74"/>
      <c r="AA104" s="73" t="s">
        <v>73</v>
      </c>
      <c r="AB104" s="73" t="s">
        <v>73</v>
      </c>
      <c r="AC104" s="73" t="s">
        <v>73</v>
      </c>
      <c r="AD104" s="73" t="s">
        <v>1268</v>
      </c>
      <c r="AE104" s="73" t="s">
        <v>1268</v>
      </c>
      <c r="AF104" s="74"/>
      <c r="AG104" s="73" t="s">
        <v>73</v>
      </c>
      <c r="AH104" s="74"/>
      <c r="AI104" s="73" t="s">
        <v>73</v>
      </c>
      <c r="AJ104" s="74"/>
      <c r="AK104" s="73" t="s">
        <v>1314</v>
      </c>
      <c r="AL104" s="73" t="s">
        <v>2901</v>
      </c>
      <c r="AM104" s="74"/>
      <c r="AN104" s="74" t="s">
        <v>1445</v>
      </c>
      <c r="AO104" s="74" t="s">
        <v>2902</v>
      </c>
      <c r="AP104" s="74">
        <v>35.0</v>
      </c>
      <c r="AQ104" s="74"/>
      <c r="AR104" s="74" t="s">
        <v>35</v>
      </c>
      <c r="AS104" s="74" t="s">
        <v>1371</v>
      </c>
      <c r="AT104" s="74" t="s">
        <v>2903</v>
      </c>
      <c r="AU104" s="74">
        <v>65.0</v>
      </c>
      <c r="AV104" s="74"/>
      <c r="AW104" s="74"/>
      <c r="AX104" s="74" t="s">
        <v>1626</v>
      </c>
      <c r="AY104" s="74" t="s">
        <v>2904</v>
      </c>
      <c r="AZ104" s="74">
        <v>69.0</v>
      </c>
      <c r="BA104" s="74"/>
      <c r="BB104" s="74"/>
      <c r="BC104" s="74"/>
      <c r="BD104" s="74"/>
      <c r="BE104" s="74"/>
      <c r="BF104" s="74"/>
      <c r="BG104" s="74"/>
      <c r="BH104" s="74"/>
      <c r="BI104" s="74"/>
      <c r="BJ104" s="74"/>
      <c r="BK104" s="74"/>
      <c r="BL104" s="74"/>
      <c r="BM104" s="74" t="s">
        <v>1445</v>
      </c>
      <c r="BN104" s="74" t="s">
        <v>2905</v>
      </c>
      <c r="BO104" s="74">
        <v>10000.0</v>
      </c>
      <c r="BP104" s="74" t="s">
        <v>1626</v>
      </c>
      <c r="BQ104" s="74" t="s">
        <v>2906</v>
      </c>
      <c r="BR104" s="74">
        <v>2200.0</v>
      </c>
      <c r="BS104" s="74" t="s">
        <v>1371</v>
      </c>
      <c r="BT104" s="74" t="s">
        <v>2906</v>
      </c>
      <c r="BU104" s="74">
        <v>1100.0</v>
      </c>
      <c r="BV104" s="74"/>
      <c r="BW104" s="74"/>
      <c r="BX104" s="74"/>
      <c r="BZ104" s="74"/>
      <c r="CA104" s="74" t="s">
        <v>73</v>
      </c>
      <c r="CB104" s="74"/>
      <c r="CC104" s="73" t="s">
        <v>73</v>
      </c>
      <c r="CD104" s="74"/>
      <c r="CE104" s="73" t="s">
        <v>1416</v>
      </c>
      <c r="CF104" s="74"/>
      <c r="CG104" s="73" t="s">
        <v>37</v>
      </c>
      <c r="CH104" s="74"/>
      <c r="CI104" s="73" t="s">
        <v>73</v>
      </c>
      <c r="CJ104" s="74"/>
      <c r="CK104" s="73" t="s">
        <v>73</v>
      </c>
      <c r="CL104" s="74"/>
      <c r="CM104" s="73" t="s">
        <v>73</v>
      </c>
      <c r="CN104" s="74"/>
      <c r="CO104" s="73" t="s">
        <v>73</v>
      </c>
      <c r="CP104" s="74"/>
      <c r="CQ104" s="73" t="s">
        <v>35</v>
      </c>
      <c r="CR104" s="73" t="s">
        <v>2907</v>
      </c>
      <c r="CS104" s="74" t="s">
        <v>1287</v>
      </c>
      <c r="CT104" s="74" t="s">
        <v>1454</v>
      </c>
      <c r="CU104" s="79">
        <f t="shared" si="1"/>
        <v>104</v>
      </c>
      <c r="CV104" s="77">
        <f>IFERROR(__xludf.DUMMYFUNCTION("IFERROR(QUERY(Presidente!$A$3:$AD112, ""SELECT AD WHERE A = '"" &amp; $B104 &amp; ""'""),"""")"),701.0)</f>
        <v>701</v>
      </c>
    </row>
    <row r="105">
      <c r="A105" s="72">
        <v>44375.35990285879</v>
      </c>
      <c r="B105" s="73" t="s">
        <v>1075</v>
      </c>
      <c r="C105" s="73" t="s">
        <v>2908</v>
      </c>
      <c r="D105" s="73">
        <v>67.0</v>
      </c>
      <c r="E105" s="74" t="s">
        <v>2498</v>
      </c>
      <c r="F105" s="73" t="s">
        <v>2909</v>
      </c>
      <c r="G105" s="73" t="s">
        <v>2910</v>
      </c>
      <c r="H105" s="74" t="s">
        <v>1329</v>
      </c>
      <c r="I105" s="74">
        <v>3239040.0</v>
      </c>
      <c r="J105" s="74" t="s">
        <v>2911</v>
      </c>
      <c r="K105" s="73" t="s">
        <v>2912</v>
      </c>
      <c r="L105" s="73" t="s">
        <v>2913</v>
      </c>
      <c r="M105" s="74"/>
      <c r="N105" s="73" t="s">
        <v>1260</v>
      </c>
      <c r="O105" s="75">
        <v>4.59769620167E11</v>
      </c>
      <c r="P105" s="73">
        <v>257.0</v>
      </c>
      <c r="Q105" s="73" t="s">
        <v>2914</v>
      </c>
      <c r="R105" s="73" t="s">
        <v>1261</v>
      </c>
      <c r="S105" s="73" t="s">
        <v>1262</v>
      </c>
      <c r="T105" s="73" t="s">
        <v>2915</v>
      </c>
      <c r="U105" s="74"/>
      <c r="V105" s="74"/>
      <c r="W105" s="73" t="s">
        <v>2916</v>
      </c>
      <c r="X105" s="73" t="s">
        <v>2818</v>
      </c>
      <c r="Y105" s="74"/>
      <c r="Z105" s="74"/>
      <c r="AA105" s="74" t="s">
        <v>73</v>
      </c>
      <c r="AB105" s="73" t="s">
        <v>73</v>
      </c>
      <c r="AC105" s="73" t="s">
        <v>73</v>
      </c>
      <c r="AD105" s="73" t="s">
        <v>1268</v>
      </c>
      <c r="AE105" s="73" t="s">
        <v>1268</v>
      </c>
      <c r="AF105" s="74" t="s">
        <v>1351</v>
      </c>
      <c r="AG105" s="73" t="s">
        <v>73</v>
      </c>
      <c r="AH105" s="74"/>
      <c r="AI105" s="73" t="s">
        <v>73</v>
      </c>
      <c r="AJ105" s="74"/>
      <c r="AK105" s="73" t="s">
        <v>1314</v>
      </c>
      <c r="AL105" s="73" t="s">
        <v>2917</v>
      </c>
      <c r="AM105" s="74"/>
      <c r="AN105" s="74" t="s">
        <v>1445</v>
      </c>
      <c r="AO105" s="74" t="s">
        <v>2918</v>
      </c>
      <c r="AP105" s="74">
        <v>52.0</v>
      </c>
      <c r="AQ105" s="74"/>
      <c r="AR105" s="74" t="s">
        <v>2169</v>
      </c>
      <c r="AS105" s="74" t="s">
        <v>1344</v>
      </c>
      <c r="AT105" s="74" t="s">
        <v>2919</v>
      </c>
      <c r="AU105" s="74">
        <v>23.0</v>
      </c>
      <c r="AV105" s="74"/>
      <c r="AW105" s="74" t="s">
        <v>2169</v>
      </c>
      <c r="AX105" s="74" t="s">
        <v>1371</v>
      </c>
      <c r="AY105" s="74" t="s">
        <v>2920</v>
      </c>
      <c r="AZ105" s="74">
        <v>89.0</v>
      </c>
      <c r="BA105" s="74"/>
      <c r="BB105" s="74" t="s">
        <v>2169</v>
      </c>
      <c r="BC105" s="74"/>
      <c r="BD105" s="74"/>
      <c r="BE105" s="74"/>
      <c r="BF105" s="74"/>
      <c r="BG105" s="74"/>
      <c r="BH105" s="74"/>
      <c r="BI105" s="74"/>
      <c r="BJ105" s="74"/>
      <c r="BK105" s="74"/>
      <c r="BL105" s="74"/>
      <c r="BM105" s="74" t="s">
        <v>1445</v>
      </c>
      <c r="BN105" s="74" t="s">
        <v>2921</v>
      </c>
      <c r="BO105" s="74"/>
      <c r="BP105" s="74" t="s">
        <v>1344</v>
      </c>
      <c r="BQ105" s="74" t="s">
        <v>2922</v>
      </c>
      <c r="BR105" s="74"/>
      <c r="BS105" s="74" t="s">
        <v>1371</v>
      </c>
      <c r="BT105" s="74" t="s">
        <v>2745</v>
      </c>
      <c r="BU105" s="74"/>
      <c r="BV105" s="74"/>
      <c r="BW105" s="74"/>
      <c r="BX105" s="74"/>
      <c r="BZ105" s="74"/>
      <c r="CA105" s="74" t="s">
        <v>1351</v>
      </c>
      <c r="CB105" s="74"/>
      <c r="CC105" s="73" t="s">
        <v>73</v>
      </c>
      <c r="CD105" s="74"/>
      <c r="CE105" s="73" t="s">
        <v>37</v>
      </c>
      <c r="CF105" s="74"/>
      <c r="CG105" s="73" t="s">
        <v>84</v>
      </c>
      <c r="CH105" s="74"/>
      <c r="CI105" s="73" t="s">
        <v>73</v>
      </c>
      <c r="CJ105" s="74"/>
      <c r="CK105" s="73" t="s">
        <v>73</v>
      </c>
      <c r="CL105" s="74"/>
      <c r="CM105" s="73" t="s">
        <v>73</v>
      </c>
      <c r="CN105" s="74"/>
      <c r="CO105" s="73" t="s">
        <v>73</v>
      </c>
      <c r="CP105" s="74"/>
      <c r="CQ105" s="73" t="s">
        <v>35</v>
      </c>
      <c r="CR105" s="73" t="s">
        <v>2923</v>
      </c>
      <c r="CS105" s="74" t="s">
        <v>1381</v>
      </c>
      <c r="CT105" s="74" t="s">
        <v>1435</v>
      </c>
      <c r="CU105" s="79">
        <f t="shared" si="1"/>
        <v>105</v>
      </c>
      <c r="CV105" s="77">
        <f>IFERROR(__xludf.DUMMYFUNCTION("IFERROR(QUERY(Presidente!$A$3:$AD112, ""SELECT AD WHERE A = '"" &amp; $B105 &amp; ""'""),"""")"),702.0)</f>
        <v>702</v>
      </c>
    </row>
    <row r="106">
      <c r="A106" s="72">
        <v>44375.31470033565</v>
      </c>
      <c r="B106" s="73" t="s">
        <v>1085</v>
      </c>
      <c r="C106" s="73" t="s">
        <v>2924</v>
      </c>
      <c r="D106" s="73">
        <v>131.0</v>
      </c>
      <c r="E106" s="73" t="s">
        <v>1838</v>
      </c>
      <c r="F106" s="73" t="s">
        <v>1545</v>
      </c>
      <c r="G106" s="73" t="s">
        <v>2925</v>
      </c>
      <c r="H106" s="74" t="s">
        <v>1329</v>
      </c>
      <c r="I106" s="73" t="s">
        <v>2926</v>
      </c>
      <c r="J106" s="74" t="s">
        <v>2927</v>
      </c>
      <c r="K106" s="73" t="s">
        <v>2928</v>
      </c>
      <c r="L106" s="73" t="s">
        <v>2929</v>
      </c>
      <c r="M106" s="74"/>
      <c r="N106" s="73" t="s">
        <v>1462</v>
      </c>
      <c r="O106" s="75">
        <v>4.53793630116E11</v>
      </c>
      <c r="P106" s="73">
        <v>353.0</v>
      </c>
      <c r="Q106" s="80" t="s">
        <v>2930</v>
      </c>
      <c r="R106" s="73" t="s">
        <v>1261</v>
      </c>
      <c r="S106" s="73" t="s">
        <v>1294</v>
      </c>
      <c r="T106" s="73" t="s">
        <v>1604</v>
      </c>
      <c r="U106" s="74" t="s">
        <v>2931</v>
      </c>
      <c r="V106" s="74" t="s">
        <v>2932</v>
      </c>
      <c r="W106" s="74" t="s">
        <v>73</v>
      </c>
      <c r="X106" s="74" t="s">
        <v>2933</v>
      </c>
      <c r="Y106" s="74" t="s">
        <v>2933</v>
      </c>
      <c r="Z106" s="74" t="s">
        <v>2933</v>
      </c>
      <c r="AA106" s="74" t="s">
        <v>73</v>
      </c>
      <c r="AB106" s="73" t="s">
        <v>73</v>
      </c>
      <c r="AC106" s="73" t="s">
        <v>73</v>
      </c>
      <c r="AD106" s="73" t="s">
        <v>1268</v>
      </c>
      <c r="AE106" s="73" t="s">
        <v>1268</v>
      </c>
      <c r="AF106" s="74" t="s">
        <v>73</v>
      </c>
      <c r="AG106" s="73" t="s">
        <v>73</v>
      </c>
      <c r="AH106" s="74"/>
      <c r="AI106" s="73" t="s">
        <v>73</v>
      </c>
      <c r="AJ106" s="74"/>
      <c r="AK106" s="73" t="s">
        <v>2934</v>
      </c>
      <c r="AL106" s="73" t="s">
        <v>2917</v>
      </c>
      <c r="AM106" s="74"/>
      <c r="AN106" s="74" t="s">
        <v>1315</v>
      </c>
      <c r="AO106" s="74" t="s">
        <v>2935</v>
      </c>
      <c r="AP106" s="74">
        <v>47.0</v>
      </c>
      <c r="AQ106" s="74"/>
      <c r="AR106" s="74" t="s">
        <v>35</v>
      </c>
      <c r="AS106" s="74" t="s">
        <v>1278</v>
      </c>
      <c r="AT106" s="74" t="s">
        <v>2936</v>
      </c>
      <c r="AU106" s="74">
        <v>58.0</v>
      </c>
      <c r="AV106" s="74"/>
      <c r="AW106" s="74" t="s">
        <v>35</v>
      </c>
      <c r="AX106" s="74" t="s">
        <v>1392</v>
      </c>
      <c r="AY106" s="74" t="s">
        <v>2937</v>
      </c>
      <c r="AZ106" s="74">
        <v>26.0</v>
      </c>
      <c r="BA106" s="74"/>
      <c r="BB106" s="74" t="s">
        <v>35</v>
      </c>
      <c r="BC106" s="74" t="s">
        <v>1705</v>
      </c>
      <c r="BD106" s="74" t="s">
        <v>2938</v>
      </c>
      <c r="BE106" s="74">
        <v>15.0</v>
      </c>
      <c r="BF106" s="74" t="s">
        <v>35</v>
      </c>
      <c r="BH106" s="74"/>
      <c r="BI106" s="74"/>
      <c r="BJ106" s="74"/>
      <c r="BK106" s="74"/>
      <c r="BL106" s="74"/>
      <c r="BM106" s="74" t="s">
        <v>1315</v>
      </c>
      <c r="BN106" s="74" t="s">
        <v>2935</v>
      </c>
      <c r="BO106" s="74">
        <v>2000.0</v>
      </c>
      <c r="BP106" s="74" t="s">
        <v>1278</v>
      </c>
      <c r="BQ106" s="74" t="s">
        <v>2936</v>
      </c>
      <c r="BR106" s="74">
        <v>1000.0</v>
      </c>
      <c r="BS106" s="74" t="s">
        <v>1392</v>
      </c>
      <c r="BT106" s="74" t="s">
        <v>2937</v>
      </c>
      <c r="BU106" s="74">
        <v>2000.0</v>
      </c>
      <c r="BV106" s="74"/>
      <c r="BW106" s="74"/>
      <c r="BX106" s="74"/>
      <c r="BZ106" s="74"/>
      <c r="CA106" s="74" t="s">
        <v>73</v>
      </c>
      <c r="CB106" s="74"/>
      <c r="CC106" s="73" t="s">
        <v>73</v>
      </c>
      <c r="CD106" s="74"/>
      <c r="CE106" s="73" t="s">
        <v>1416</v>
      </c>
      <c r="CF106" s="74"/>
      <c r="CG106" s="73" t="s">
        <v>1416</v>
      </c>
      <c r="CH106" s="74"/>
      <c r="CI106" s="73" t="s">
        <v>35</v>
      </c>
      <c r="CJ106" s="74" t="s">
        <v>2939</v>
      </c>
      <c r="CK106" s="73" t="s">
        <v>73</v>
      </c>
      <c r="CL106" s="74"/>
      <c r="CM106" s="73" t="s">
        <v>73</v>
      </c>
      <c r="CN106" s="74"/>
      <c r="CO106" s="73" t="s">
        <v>73</v>
      </c>
      <c r="CP106" s="74"/>
      <c r="CQ106" s="73" t="s">
        <v>35</v>
      </c>
      <c r="CR106" s="73" t="s">
        <v>2940</v>
      </c>
      <c r="CS106" s="74" t="s">
        <v>1323</v>
      </c>
      <c r="CT106" s="74" t="s">
        <v>1324</v>
      </c>
      <c r="CU106" s="79">
        <f t="shared" si="1"/>
        <v>106</v>
      </c>
      <c r="CV106" s="77">
        <f>IFERROR(__xludf.DUMMYFUNCTION("IFERROR(QUERY(Presidente!$A$3:$AD112, ""SELECT AD WHERE A = '"" &amp; $B106 &amp; ""'""),"""")"),703.0)</f>
        <v>703</v>
      </c>
    </row>
    <row r="107">
      <c r="A107" s="72">
        <v>44375.30917399305</v>
      </c>
      <c r="B107" s="73" t="s">
        <v>1095</v>
      </c>
      <c r="C107" s="73" t="s">
        <v>2941</v>
      </c>
      <c r="D107" s="73">
        <v>50.0</v>
      </c>
      <c r="E107" s="73" t="s">
        <v>2942</v>
      </c>
      <c r="F107" s="73" t="s">
        <v>2943</v>
      </c>
      <c r="G107" s="73" t="s">
        <v>2944</v>
      </c>
      <c r="H107" s="74" t="s">
        <v>1475</v>
      </c>
      <c r="I107" s="73" t="s">
        <v>2538</v>
      </c>
      <c r="J107" s="74" t="s">
        <v>1475</v>
      </c>
      <c r="K107" s="73" t="s">
        <v>2945</v>
      </c>
      <c r="L107" s="73" t="s">
        <v>2946</v>
      </c>
      <c r="M107" s="74" t="s">
        <v>1475</v>
      </c>
      <c r="N107" s="73" t="s">
        <v>1310</v>
      </c>
      <c r="O107" s="75" t="s">
        <v>1475</v>
      </c>
      <c r="P107" s="74" t="s">
        <v>1475</v>
      </c>
      <c r="Q107" s="81" t="s">
        <v>1475</v>
      </c>
      <c r="R107" s="73" t="s">
        <v>1261</v>
      </c>
      <c r="S107" s="73" t="s">
        <v>1294</v>
      </c>
      <c r="T107" s="73" t="s">
        <v>2947</v>
      </c>
      <c r="U107" s="73" t="s">
        <v>2948</v>
      </c>
      <c r="V107" s="73" t="s">
        <v>2949</v>
      </c>
      <c r="W107" s="73"/>
      <c r="X107" s="73" t="s">
        <v>2950</v>
      </c>
      <c r="Y107" s="74" t="s">
        <v>1475</v>
      </c>
      <c r="Z107" s="74" t="s">
        <v>1475</v>
      </c>
      <c r="AA107" s="73" t="s">
        <v>73</v>
      </c>
      <c r="AB107" s="73" t="s">
        <v>73</v>
      </c>
      <c r="AC107" s="73" t="s">
        <v>73</v>
      </c>
      <c r="AD107" s="73" t="s">
        <v>1268</v>
      </c>
      <c r="AE107" s="73" t="s">
        <v>1268</v>
      </c>
      <c r="AF107" s="74" t="s">
        <v>1475</v>
      </c>
      <c r="AG107" s="73" t="s">
        <v>73</v>
      </c>
      <c r="AH107" s="74" t="s">
        <v>1475</v>
      </c>
      <c r="AI107" s="73" t="s">
        <v>73</v>
      </c>
      <c r="AJ107" s="74" t="s">
        <v>1475</v>
      </c>
      <c r="AK107" s="73" t="s">
        <v>1314</v>
      </c>
      <c r="AL107" s="73" t="s">
        <v>1270</v>
      </c>
      <c r="AM107" s="74" t="s">
        <v>1475</v>
      </c>
      <c r="AN107" s="74" t="s">
        <v>1475</v>
      </c>
      <c r="AP107" s="74" t="s">
        <v>1475</v>
      </c>
      <c r="AQ107" s="74" t="s">
        <v>1475</v>
      </c>
      <c r="AR107" s="74" t="s">
        <v>1475</v>
      </c>
      <c r="AS107" s="74" t="s">
        <v>1475</v>
      </c>
      <c r="AT107" s="74" t="s">
        <v>1475</v>
      </c>
      <c r="AU107" s="74" t="s">
        <v>1475</v>
      </c>
      <c r="AV107" s="74" t="s">
        <v>1475</v>
      </c>
      <c r="AW107" s="74" t="s">
        <v>1475</v>
      </c>
      <c r="AX107" s="74" t="s">
        <v>1475</v>
      </c>
      <c r="AY107" s="74" t="s">
        <v>1475</v>
      </c>
      <c r="AZ107" s="74" t="s">
        <v>1475</v>
      </c>
      <c r="BA107" s="74" t="s">
        <v>1475</v>
      </c>
      <c r="BB107" s="74" t="s">
        <v>1475</v>
      </c>
      <c r="BC107" s="74" t="s">
        <v>1475</v>
      </c>
      <c r="BD107" s="74" t="s">
        <v>1475</v>
      </c>
      <c r="BE107" s="74" t="s">
        <v>1475</v>
      </c>
      <c r="BF107" s="74" t="s">
        <v>1475</v>
      </c>
      <c r="BG107" s="74" t="s">
        <v>1475</v>
      </c>
      <c r="BH107" s="74" t="s">
        <v>1475</v>
      </c>
      <c r="BI107" s="74" t="s">
        <v>1475</v>
      </c>
      <c r="BJ107" s="74" t="s">
        <v>1475</v>
      </c>
      <c r="BK107" s="74" t="s">
        <v>1475</v>
      </c>
      <c r="BL107" s="74" t="s">
        <v>1475</v>
      </c>
      <c r="BM107" s="74" t="s">
        <v>1475</v>
      </c>
      <c r="BN107" s="74" t="s">
        <v>1475</v>
      </c>
      <c r="BO107" s="74" t="s">
        <v>1475</v>
      </c>
      <c r="BP107" s="74" t="s">
        <v>1475</v>
      </c>
      <c r="BQ107" s="74" t="s">
        <v>1475</v>
      </c>
      <c r="BR107" s="74" t="s">
        <v>1475</v>
      </c>
      <c r="BS107" s="74" t="s">
        <v>1475</v>
      </c>
      <c r="BT107" s="74" t="s">
        <v>1475</v>
      </c>
      <c r="BU107" s="74" t="s">
        <v>1475</v>
      </c>
      <c r="BV107" s="74" t="s">
        <v>1475</v>
      </c>
      <c r="BW107" s="74" t="s">
        <v>1475</v>
      </c>
      <c r="BX107" s="74" t="s">
        <v>1475</v>
      </c>
      <c r="BZ107" s="74" t="s">
        <v>1475</v>
      </c>
      <c r="CA107" s="73" t="s">
        <v>73</v>
      </c>
      <c r="CB107" s="74" t="s">
        <v>1475</v>
      </c>
      <c r="CC107" s="73" t="s">
        <v>73</v>
      </c>
      <c r="CD107" s="74" t="s">
        <v>1475</v>
      </c>
      <c r="CE107" s="73" t="s">
        <v>37</v>
      </c>
      <c r="CF107" s="74" t="s">
        <v>1475</v>
      </c>
      <c r="CG107" s="73" t="s">
        <v>37</v>
      </c>
      <c r="CH107" s="74" t="s">
        <v>1475</v>
      </c>
      <c r="CI107" s="73" t="s">
        <v>73</v>
      </c>
      <c r="CJ107" s="74" t="s">
        <v>1475</v>
      </c>
      <c r="CK107" s="73" t="s">
        <v>73</v>
      </c>
      <c r="CL107" s="74" t="s">
        <v>1475</v>
      </c>
      <c r="CM107" s="73" t="s">
        <v>73</v>
      </c>
      <c r="CN107" s="74" t="s">
        <v>1475</v>
      </c>
      <c r="CO107" s="73" t="s">
        <v>73</v>
      </c>
      <c r="CP107" s="74" t="s">
        <v>1475</v>
      </c>
      <c r="CQ107" s="73" t="s">
        <v>35</v>
      </c>
      <c r="CR107" s="73" t="s">
        <v>2951</v>
      </c>
      <c r="CS107" s="74" t="s">
        <v>2117</v>
      </c>
      <c r="CT107" s="74" t="s">
        <v>1475</v>
      </c>
      <c r="CU107" s="79">
        <f t="shared" si="1"/>
        <v>107</v>
      </c>
      <c r="CV107" s="77">
        <f>IFERROR(__xludf.DUMMYFUNCTION("IFERROR(QUERY(Presidente!$A$3:$AD112, ""SELECT AD WHERE A = '"" &amp; $B107 &amp; ""'""),"""")"),704.0)</f>
        <v>704</v>
      </c>
    </row>
    <row r="108">
      <c r="A108" s="72">
        <v>44375.378526967594</v>
      </c>
      <c r="B108" s="73" t="s">
        <v>1105</v>
      </c>
      <c r="C108" s="73" t="s">
        <v>2952</v>
      </c>
      <c r="D108" s="73">
        <v>80.0</v>
      </c>
      <c r="E108" s="73" t="s">
        <v>1356</v>
      </c>
      <c r="F108" s="73" t="s">
        <v>2953</v>
      </c>
      <c r="G108" s="73" t="s">
        <v>2954</v>
      </c>
      <c r="H108" s="74" t="s">
        <v>1255</v>
      </c>
      <c r="I108" s="73" t="s">
        <v>2955</v>
      </c>
      <c r="J108" s="74"/>
      <c r="K108" s="73" t="s">
        <v>2956</v>
      </c>
      <c r="L108" s="73" t="s">
        <v>2957</v>
      </c>
      <c r="M108" s="74"/>
      <c r="N108" s="73" t="s">
        <v>1462</v>
      </c>
      <c r="O108" s="75"/>
      <c r="P108" s="74"/>
      <c r="Q108" s="74"/>
      <c r="R108" s="73" t="s">
        <v>1261</v>
      </c>
      <c r="S108" s="73" t="s">
        <v>1294</v>
      </c>
      <c r="T108" s="73" t="s">
        <v>2958</v>
      </c>
      <c r="U108" s="73" t="s">
        <v>2959</v>
      </c>
      <c r="V108" s="73" t="s">
        <v>2960</v>
      </c>
      <c r="W108" s="73" t="s">
        <v>2961</v>
      </c>
      <c r="X108" s="73" t="s">
        <v>2166</v>
      </c>
      <c r="Y108" s="74"/>
      <c r="Z108" s="74"/>
      <c r="AA108" s="74" t="s">
        <v>73</v>
      </c>
      <c r="AB108" s="73" t="s">
        <v>73</v>
      </c>
      <c r="AC108" s="73" t="s">
        <v>73</v>
      </c>
      <c r="AD108" s="73" t="s">
        <v>1268</v>
      </c>
      <c r="AE108" s="73" t="s">
        <v>1268</v>
      </c>
      <c r="AF108" s="74" t="s">
        <v>73</v>
      </c>
      <c r="AG108" s="73" t="s">
        <v>73</v>
      </c>
      <c r="AH108" s="74"/>
      <c r="AI108" s="73" t="s">
        <v>73</v>
      </c>
      <c r="AJ108" s="74"/>
      <c r="AK108" s="73" t="s">
        <v>1314</v>
      </c>
      <c r="AL108" s="73" t="s">
        <v>1270</v>
      </c>
      <c r="AM108" s="74"/>
      <c r="AN108" s="74" t="s">
        <v>2962</v>
      </c>
      <c r="AO108" s="74" t="s">
        <v>2963</v>
      </c>
      <c r="AP108" s="74">
        <v>36.0</v>
      </c>
      <c r="AQ108" s="74"/>
      <c r="AR108" s="74" t="s">
        <v>35</v>
      </c>
      <c r="AS108" s="74" t="s">
        <v>1315</v>
      </c>
      <c r="AT108" s="74" t="s">
        <v>2964</v>
      </c>
      <c r="AU108" s="74">
        <v>42.0</v>
      </c>
      <c r="AV108" s="74"/>
      <c r="AW108" s="74" t="s">
        <v>35</v>
      </c>
      <c r="AX108" s="74" t="s">
        <v>1392</v>
      </c>
      <c r="AY108" s="74" t="s">
        <v>2965</v>
      </c>
      <c r="AZ108" s="74">
        <v>5.0</v>
      </c>
      <c r="BA108" s="74" t="s">
        <v>35</v>
      </c>
      <c r="BB108" s="74"/>
      <c r="BC108" s="74" t="s">
        <v>1705</v>
      </c>
      <c r="BD108" s="74" t="s">
        <v>2966</v>
      </c>
      <c r="BE108" s="74">
        <v>10.0</v>
      </c>
      <c r="BF108" s="74" t="s">
        <v>35</v>
      </c>
      <c r="BG108" s="74"/>
      <c r="BH108" s="74"/>
      <c r="BI108" s="74"/>
      <c r="BJ108" s="74"/>
      <c r="BK108" s="74"/>
      <c r="BL108" s="74"/>
      <c r="BM108" s="74" t="s">
        <v>2337</v>
      </c>
      <c r="BN108" s="74" t="s">
        <v>2967</v>
      </c>
      <c r="BO108" s="74">
        <v>4500.0</v>
      </c>
      <c r="BP108" s="74" t="s">
        <v>1315</v>
      </c>
      <c r="BQ108" s="74" t="s">
        <v>2968</v>
      </c>
      <c r="BR108" s="74">
        <v>3200.0</v>
      </c>
      <c r="BS108" s="74"/>
      <c r="BT108" s="74"/>
      <c r="BU108" s="74"/>
      <c r="BV108" s="74"/>
      <c r="BW108" s="74"/>
      <c r="BX108" s="74"/>
      <c r="BZ108" s="74"/>
      <c r="CA108" s="74" t="s">
        <v>73</v>
      </c>
      <c r="CB108" s="74"/>
      <c r="CC108" s="73" t="s">
        <v>73</v>
      </c>
      <c r="CD108" s="74"/>
      <c r="CE108" s="73" t="s">
        <v>37</v>
      </c>
      <c r="CF108" s="74"/>
      <c r="CG108" s="73" t="s">
        <v>37</v>
      </c>
      <c r="CH108" s="74"/>
      <c r="CI108" s="73" t="s">
        <v>73</v>
      </c>
      <c r="CJ108" s="74"/>
      <c r="CK108" s="73" t="s">
        <v>73</v>
      </c>
      <c r="CL108" s="74"/>
      <c r="CM108" s="73" t="s">
        <v>73</v>
      </c>
      <c r="CN108" s="74"/>
      <c r="CO108" s="73" t="s">
        <v>73</v>
      </c>
      <c r="CP108" s="74"/>
      <c r="CQ108" s="73" t="s">
        <v>35</v>
      </c>
      <c r="CR108" s="73" t="s">
        <v>2969</v>
      </c>
      <c r="CS108" s="74" t="s">
        <v>1353</v>
      </c>
      <c r="CT108" s="74" t="s">
        <v>1711</v>
      </c>
      <c r="CU108" s="79">
        <f t="shared" si="1"/>
        <v>108</v>
      </c>
      <c r="CV108" s="77">
        <f>IFERROR(__xludf.DUMMYFUNCTION("IFERROR(QUERY(Presidente!$A$3:$AD112, ""SELECT AD WHERE A = '"" &amp; $B108 &amp; ""'""),"""")"),705.0)</f>
        <v>705</v>
      </c>
    </row>
    <row r="109">
      <c r="A109" s="72">
        <v>44375.33980372685</v>
      </c>
      <c r="B109" s="73" t="s">
        <v>1115</v>
      </c>
      <c r="C109" s="73" t="s">
        <v>2970</v>
      </c>
      <c r="D109" s="73">
        <v>105.0</v>
      </c>
      <c r="E109" s="74" t="s">
        <v>1252</v>
      </c>
      <c r="F109" s="73" t="s">
        <v>2971</v>
      </c>
      <c r="G109" s="73" t="s">
        <v>2972</v>
      </c>
      <c r="H109" s="74" t="s">
        <v>1329</v>
      </c>
      <c r="I109" s="73" t="s">
        <v>2973</v>
      </c>
      <c r="J109" s="74" t="s">
        <v>2974</v>
      </c>
      <c r="K109" s="73" t="s">
        <v>2975</v>
      </c>
      <c r="L109" s="74" t="s">
        <v>2976</v>
      </c>
      <c r="M109" s="74" t="s">
        <v>2977</v>
      </c>
      <c r="N109" s="73" t="s">
        <v>1332</v>
      </c>
      <c r="O109" s="78"/>
      <c r="R109" s="73" t="s">
        <v>1261</v>
      </c>
      <c r="S109" s="73" t="s">
        <v>1262</v>
      </c>
      <c r="T109" s="73" t="s">
        <v>2978</v>
      </c>
      <c r="W109" s="73" t="s">
        <v>2979</v>
      </c>
      <c r="X109" s="73" t="s">
        <v>2980</v>
      </c>
      <c r="AA109" s="73" t="s">
        <v>73</v>
      </c>
      <c r="AB109" s="73" t="s">
        <v>73</v>
      </c>
      <c r="AC109" s="73" t="s">
        <v>73</v>
      </c>
      <c r="AD109" s="73" t="s">
        <v>1268</v>
      </c>
      <c r="AE109" s="73" t="s">
        <v>1268</v>
      </c>
      <c r="AG109" s="73" t="s">
        <v>73</v>
      </c>
      <c r="AI109" s="73" t="s">
        <v>73</v>
      </c>
      <c r="AK109" s="73" t="s">
        <v>1269</v>
      </c>
      <c r="AL109" s="73" t="s">
        <v>1270</v>
      </c>
      <c r="CC109" s="73" t="s">
        <v>73</v>
      </c>
      <c r="CE109" s="73" t="s">
        <v>37</v>
      </c>
      <c r="CG109" s="73" t="s">
        <v>37</v>
      </c>
      <c r="CI109" s="73" t="s">
        <v>35</v>
      </c>
      <c r="CK109" s="73" t="s">
        <v>73</v>
      </c>
      <c r="CM109" s="73" t="s">
        <v>73</v>
      </c>
      <c r="CO109" s="73" t="s">
        <v>73</v>
      </c>
      <c r="CQ109" s="73" t="s">
        <v>35</v>
      </c>
      <c r="CR109" s="73" t="s">
        <v>2981</v>
      </c>
      <c r="CT109" s="74" t="s">
        <v>1382</v>
      </c>
      <c r="CU109" s="79">
        <f t="shared" si="1"/>
        <v>109</v>
      </c>
      <c r="CV109" s="77">
        <f>IFERROR(__xludf.DUMMYFUNCTION("IFERROR(QUERY(Presidente!$A$3:$AD112, ""SELECT AD WHERE A = '"" &amp; $B109 &amp; ""'""),"""")"),706.0)</f>
        <v>706</v>
      </c>
    </row>
    <row r="110">
      <c r="A110" s="72">
        <v>44375.35091690972</v>
      </c>
      <c r="B110" s="73" t="s">
        <v>1125</v>
      </c>
      <c r="C110" s="73" t="s">
        <v>2982</v>
      </c>
      <c r="D110" s="73">
        <v>22.0</v>
      </c>
      <c r="E110" s="73" t="s">
        <v>1291</v>
      </c>
      <c r="F110" s="73" t="s">
        <v>2983</v>
      </c>
      <c r="G110" s="74" t="s">
        <v>1291</v>
      </c>
      <c r="H110" s="74" t="s">
        <v>1255</v>
      </c>
      <c r="I110" s="73" t="s">
        <v>2984</v>
      </c>
      <c r="J110" s="74"/>
      <c r="K110" s="73" t="s">
        <v>2985</v>
      </c>
      <c r="L110" s="73" t="s">
        <v>2986</v>
      </c>
      <c r="M110" s="74"/>
      <c r="N110" s="73" t="s">
        <v>1260</v>
      </c>
      <c r="O110" s="75"/>
      <c r="P110" s="74"/>
      <c r="Q110" s="74"/>
      <c r="R110" s="73" t="s">
        <v>1478</v>
      </c>
      <c r="S110" s="73" t="s">
        <v>1294</v>
      </c>
      <c r="T110" s="73" t="s">
        <v>2987</v>
      </c>
      <c r="U110" s="73" t="s">
        <v>2988</v>
      </c>
      <c r="V110" s="73" t="s">
        <v>2989</v>
      </c>
      <c r="W110" s="74"/>
      <c r="X110" s="73" t="s">
        <v>2990</v>
      </c>
      <c r="Y110" s="74"/>
      <c r="Z110" s="74"/>
      <c r="AA110" s="74" t="s">
        <v>73</v>
      </c>
      <c r="AB110" s="73" t="s">
        <v>73</v>
      </c>
      <c r="AC110" s="73" t="s">
        <v>73</v>
      </c>
      <c r="AD110" s="73" t="s">
        <v>1268</v>
      </c>
      <c r="AE110" s="73" t="s">
        <v>1268</v>
      </c>
      <c r="AF110" s="74" t="s">
        <v>2991</v>
      </c>
      <c r="AG110" s="73" t="s">
        <v>73</v>
      </c>
      <c r="AH110" s="74"/>
      <c r="AI110" s="73" t="s">
        <v>73</v>
      </c>
      <c r="AJ110" s="74"/>
      <c r="AK110" s="73" t="s">
        <v>1314</v>
      </c>
      <c r="AL110" s="73" t="s">
        <v>1270</v>
      </c>
      <c r="AM110" s="74"/>
      <c r="AN110" s="74" t="s">
        <v>1278</v>
      </c>
      <c r="AO110" s="74" t="s">
        <v>2992</v>
      </c>
      <c r="AP110" s="74">
        <v>55.0</v>
      </c>
      <c r="AQ110" s="74"/>
      <c r="AR110" s="74" t="s">
        <v>35</v>
      </c>
      <c r="AS110" s="74" t="s">
        <v>2204</v>
      </c>
      <c r="AT110" s="74" t="s">
        <v>2993</v>
      </c>
      <c r="AU110" s="74">
        <v>87.0</v>
      </c>
      <c r="AV110" s="74"/>
      <c r="AW110" s="74" t="s">
        <v>35</v>
      </c>
      <c r="AX110" s="74" t="s">
        <v>1574</v>
      </c>
      <c r="AY110" s="74" t="s">
        <v>2994</v>
      </c>
      <c r="AZ110" s="74">
        <v>74.0</v>
      </c>
      <c r="BA110" s="74"/>
      <c r="BB110" s="74" t="s">
        <v>35</v>
      </c>
      <c r="BC110" s="74"/>
      <c r="BD110" s="74"/>
      <c r="BE110" s="74"/>
      <c r="BF110" s="74"/>
      <c r="BG110" s="74"/>
      <c r="BH110" s="74"/>
      <c r="BI110" s="74"/>
      <c r="BJ110" s="74"/>
      <c r="BK110" s="74"/>
      <c r="BL110" s="74"/>
      <c r="BM110" s="74" t="s">
        <v>1278</v>
      </c>
      <c r="BN110" s="74" t="s">
        <v>2995</v>
      </c>
      <c r="BO110" s="74">
        <v>4000.0</v>
      </c>
      <c r="BP110" s="74" t="s">
        <v>2204</v>
      </c>
      <c r="BQ110" s="74" t="s">
        <v>1534</v>
      </c>
      <c r="BR110" s="74">
        <v>1300.0</v>
      </c>
      <c r="BS110" s="74" t="s">
        <v>1574</v>
      </c>
      <c r="BT110" s="74" t="s">
        <v>2996</v>
      </c>
      <c r="BU110" s="74">
        <v>2000.0</v>
      </c>
      <c r="BV110" s="74"/>
      <c r="BW110" s="74"/>
      <c r="BX110" s="74"/>
      <c r="BZ110" s="74">
        <v>600.0</v>
      </c>
      <c r="CA110" s="74" t="s">
        <v>73</v>
      </c>
      <c r="CB110" s="74"/>
      <c r="CC110" s="73" t="s">
        <v>73</v>
      </c>
      <c r="CD110" s="74"/>
      <c r="CE110" s="73" t="s">
        <v>37</v>
      </c>
      <c r="CF110" s="74"/>
      <c r="CG110" s="73" t="s">
        <v>1416</v>
      </c>
      <c r="CH110" s="74"/>
      <c r="CI110" s="73" t="s">
        <v>73</v>
      </c>
      <c r="CJ110" s="74"/>
      <c r="CK110" s="73" t="s">
        <v>73</v>
      </c>
      <c r="CL110" s="74"/>
      <c r="CM110" s="73" t="s">
        <v>35</v>
      </c>
      <c r="CN110" s="74" t="s">
        <v>2689</v>
      </c>
      <c r="CO110" s="73" t="s">
        <v>73</v>
      </c>
      <c r="CP110" s="74"/>
      <c r="CQ110" s="73" t="s">
        <v>35</v>
      </c>
      <c r="CR110" s="73" t="s">
        <v>2997</v>
      </c>
      <c r="CS110" s="74" t="s">
        <v>1381</v>
      </c>
      <c r="CT110" s="74" t="s">
        <v>1711</v>
      </c>
      <c r="CU110" s="79">
        <f t="shared" si="1"/>
        <v>110</v>
      </c>
      <c r="CV110" s="77">
        <f>IFERROR(__xludf.DUMMYFUNCTION("IFERROR(QUERY(Presidente!$A$3:$AD112, ""SELECT AD WHERE A = '"" &amp; $B110 &amp; ""'""),"""")"),707.0)</f>
        <v>707</v>
      </c>
    </row>
    <row r="111">
      <c r="A111" s="72">
        <v>44375.35795121528</v>
      </c>
      <c r="B111" s="73" t="s">
        <v>1135</v>
      </c>
      <c r="C111" s="73" t="s">
        <v>2998</v>
      </c>
      <c r="D111" s="73">
        <v>15.0</v>
      </c>
      <c r="E111" s="73" t="s">
        <v>2999</v>
      </c>
      <c r="F111" s="73" t="s">
        <v>3000</v>
      </c>
      <c r="G111" s="73" t="s">
        <v>3001</v>
      </c>
      <c r="H111" s="74"/>
      <c r="I111" s="73" t="s">
        <v>3002</v>
      </c>
      <c r="J111" s="74"/>
      <c r="K111" s="73" t="s">
        <v>3003</v>
      </c>
      <c r="L111" s="73" t="s">
        <v>3004</v>
      </c>
      <c r="M111" s="74"/>
      <c r="N111" s="73" t="s">
        <v>1260</v>
      </c>
      <c r="O111" s="78"/>
      <c r="P111" s="74"/>
      <c r="R111" s="73" t="s">
        <v>1261</v>
      </c>
      <c r="S111" s="73" t="s">
        <v>1262</v>
      </c>
      <c r="T111" s="73" t="s">
        <v>3005</v>
      </c>
      <c r="U111" s="74"/>
      <c r="V111" s="74"/>
      <c r="W111" s="73" t="s">
        <v>3006</v>
      </c>
      <c r="X111" s="74"/>
      <c r="Y111" s="74"/>
      <c r="Z111" s="74"/>
      <c r="AA111" s="74" t="s">
        <v>73</v>
      </c>
      <c r="AB111" s="73" t="s">
        <v>73</v>
      </c>
      <c r="AC111" s="73" t="s">
        <v>73</v>
      </c>
      <c r="AD111" s="73" t="s">
        <v>1268</v>
      </c>
      <c r="AE111" s="73" t="s">
        <v>1268</v>
      </c>
      <c r="AF111" s="74"/>
      <c r="AG111" s="73" t="s">
        <v>73</v>
      </c>
      <c r="AH111" s="74"/>
      <c r="AI111" s="73" t="s">
        <v>73</v>
      </c>
      <c r="AJ111" s="74"/>
      <c r="AK111" s="73" t="s">
        <v>1314</v>
      </c>
      <c r="AL111" s="73" t="s">
        <v>1491</v>
      </c>
      <c r="AM111" s="74"/>
      <c r="AN111" s="74" t="s">
        <v>1340</v>
      </c>
      <c r="AO111" s="74"/>
      <c r="AP111" s="74">
        <v>59.0</v>
      </c>
      <c r="AQ111" s="74"/>
      <c r="AR111" s="74" t="s">
        <v>35</v>
      </c>
      <c r="AS111" s="74" t="s">
        <v>1445</v>
      </c>
      <c r="AT111" s="74" t="s">
        <v>1139</v>
      </c>
      <c r="AU111" s="74">
        <v>56.0</v>
      </c>
      <c r="AV111" s="74"/>
      <c r="AW111" s="74"/>
      <c r="AX111" s="74"/>
      <c r="AY111" s="74"/>
      <c r="AZ111" s="74"/>
      <c r="BA111" s="74"/>
      <c r="BB111" s="74"/>
      <c r="BC111" s="74"/>
      <c r="BD111" s="74"/>
      <c r="BE111" s="74"/>
      <c r="BF111" s="74"/>
      <c r="BG111" s="74"/>
      <c r="BH111" s="74"/>
      <c r="BI111" s="74"/>
      <c r="BJ111" s="74"/>
      <c r="BK111" s="74"/>
      <c r="BL111" s="74"/>
      <c r="BM111" s="74" t="s">
        <v>1340</v>
      </c>
      <c r="BN111" s="74" t="s">
        <v>3007</v>
      </c>
      <c r="BO111" s="74">
        <v>1500.0</v>
      </c>
      <c r="BP111" s="74"/>
      <c r="BQ111" s="74"/>
      <c r="BR111" s="74"/>
      <c r="BS111" s="74"/>
      <c r="BT111" s="74"/>
      <c r="BU111" s="74"/>
      <c r="BV111" s="74"/>
      <c r="BW111" s="74"/>
      <c r="BZ111" s="74"/>
      <c r="CA111" s="74" t="s">
        <v>73</v>
      </c>
      <c r="CB111" s="74"/>
      <c r="CC111" s="73" t="s">
        <v>73</v>
      </c>
      <c r="CD111" s="74"/>
      <c r="CE111" s="73" t="s">
        <v>37</v>
      </c>
      <c r="CF111" s="74"/>
      <c r="CG111" s="73" t="s">
        <v>37</v>
      </c>
      <c r="CH111" s="74"/>
      <c r="CI111" s="73" t="s">
        <v>73</v>
      </c>
      <c r="CJ111" s="74"/>
      <c r="CK111" s="73" t="s">
        <v>73</v>
      </c>
      <c r="CL111" s="74"/>
      <c r="CM111" s="73" t="s">
        <v>35</v>
      </c>
      <c r="CN111" s="74"/>
      <c r="CO111" s="73" t="s">
        <v>73</v>
      </c>
      <c r="CP111" s="74"/>
      <c r="CQ111" s="73" t="s">
        <v>35</v>
      </c>
      <c r="CR111" s="73" t="s">
        <v>2048</v>
      </c>
      <c r="CS111" s="74" t="s">
        <v>1836</v>
      </c>
      <c r="CT111" s="74"/>
      <c r="CU111" s="79">
        <f t="shared" si="1"/>
        <v>111</v>
      </c>
      <c r="CV111" s="77">
        <f>IFERROR(__xludf.DUMMYFUNCTION("IFERROR(QUERY(Presidente!$A$3:$AD112, ""SELECT AD WHERE A = '"" &amp; $B111 &amp; ""'""),"""")"),708.0)</f>
        <v>708</v>
      </c>
    </row>
    <row r="112">
      <c r="A112" s="72">
        <v>44375.32979309028</v>
      </c>
      <c r="B112" s="73" t="s">
        <v>1145</v>
      </c>
      <c r="C112" s="73" t="s">
        <v>3008</v>
      </c>
      <c r="D112" s="73">
        <v>363.0</v>
      </c>
      <c r="E112" s="73" t="s">
        <v>1291</v>
      </c>
      <c r="F112" s="73" t="s">
        <v>3009</v>
      </c>
      <c r="G112" s="73" t="s">
        <v>3010</v>
      </c>
      <c r="H112" s="74" t="s">
        <v>1255</v>
      </c>
      <c r="I112" s="73" t="s">
        <v>3011</v>
      </c>
      <c r="J112" s="74" t="s">
        <v>3012</v>
      </c>
      <c r="K112" s="74" t="s">
        <v>3013</v>
      </c>
      <c r="L112" s="74" t="s">
        <v>3014</v>
      </c>
      <c r="M112" s="74"/>
      <c r="N112" s="73" t="s">
        <v>1462</v>
      </c>
      <c r="O112" s="78"/>
      <c r="P112" s="74"/>
      <c r="R112" s="73" t="s">
        <v>1261</v>
      </c>
      <c r="S112" s="73" t="s">
        <v>1262</v>
      </c>
      <c r="T112" s="73" t="s">
        <v>1490</v>
      </c>
      <c r="U112" s="73" t="s">
        <v>3015</v>
      </c>
      <c r="V112" s="74"/>
      <c r="W112" s="74"/>
      <c r="X112" s="73" t="s">
        <v>3016</v>
      </c>
      <c r="Y112" s="73" t="s">
        <v>3017</v>
      </c>
      <c r="Z112" s="73" t="s">
        <v>1268</v>
      </c>
      <c r="AA112" s="74" t="s">
        <v>73</v>
      </c>
      <c r="AB112" s="73" t="s">
        <v>73</v>
      </c>
      <c r="AC112" s="73" t="s">
        <v>73</v>
      </c>
      <c r="AD112" s="73" t="s">
        <v>1268</v>
      </c>
      <c r="AE112" s="73" t="s">
        <v>1268</v>
      </c>
      <c r="AF112" s="74" t="s">
        <v>3018</v>
      </c>
      <c r="AG112" s="73" t="s">
        <v>73</v>
      </c>
      <c r="AH112" s="74"/>
      <c r="AI112" s="73" t="s">
        <v>73</v>
      </c>
      <c r="AJ112" s="74"/>
      <c r="AK112" s="73" t="s">
        <v>1269</v>
      </c>
      <c r="AL112" s="73" t="s">
        <v>1270</v>
      </c>
      <c r="AM112" s="74"/>
      <c r="AN112" s="74" t="s">
        <v>1278</v>
      </c>
      <c r="AO112" s="74" t="s">
        <v>3019</v>
      </c>
      <c r="AP112" s="74">
        <v>42.0</v>
      </c>
      <c r="AQ112" s="74"/>
      <c r="AR112" s="74" t="s">
        <v>35</v>
      </c>
      <c r="AS112" s="74" t="s">
        <v>1315</v>
      </c>
      <c r="AT112" s="74" t="s">
        <v>3020</v>
      </c>
      <c r="AU112" s="74">
        <v>42.0</v>
      </c>
      <c r="AV112" s="74"/>
      <c r="AW112" s="74"/>
      <c r="AX112" s="74" t="s">
        <v>1411</v>
      </c>
      <c r="AY112" s="74" t="s">
        <v>3021</v>
      </c>
      <c r="AZ112" s="74">
        <v>13.0</v>
      </c>
      <c r="BA112" s="74" t="s">
        <v>35</v>
      </c>
      <c r="BB112" s="74"/>
      <c r="BC112" s="74"/>
      <c r="BD112" s="74"/>
      <c r="BE112" s="74"/>
      <c r="BF112" s="74"/>
      <c r="BH112" s="74"/>
      <c r="BI112" s="74"/>
      <c r="BJ112" s="74"/>
      <c r="BK112" s="74"/>
      <c r="BL112" s="74"/>
      <c r="BM112" s="74" t="s">
        <v>1278</v>
      </c>
      <c r="BN112" s="74" t="s">
        <v>1938</v>
      </c>
      <c r="BO112" s="74">
        <v>4000.0</v>
      </c>
      <c r="BP112" s="74"/>
      <c r="BQ112" s="74"/>
      <c r="BS112" s="74"/>
      <c r="BT112" s="74"/>
      <c r="BV112" s="74"/>
      <c r="BW112" s="74"/>
      <c r="BZ112" s="74"/>
      <c r="CA112" s="74" t="s">
        <v>73</v>
      </c>
      <c r="CB112" s="74"/>
      <c r="CC112" s="73" t="s">
        <v>73</v>
      </c>
      <c r="CD112" s="74"/>
      <c r="CE112" s="73" t="s">
        <v>37</v>
      </c>
      <c r="CF112" s="74"/>
      <c r="CG112" s="73" t="s">
        <v>37</v>
      </c>
      <c r="CH112" s="74"/>
      <c r="CI112" s="73" t="s">
        <v>35</v>
      </c>
      <c r="CJ112" s="74" t="s">
        <v>3022</v>
      </c>
      <c r="CK112" s="73" t="s">
        <v>73</v>
      </c>
      <c r="CL112" s="74"/>
      <c r="CM112" s="73" t="s">
        <v>73</v>
      </c>
      <c r="CN112" s="74"/>
      <c r="CO112" s="73" t="s">
        <v>73</v>
      </c>
      <c r="CP112" s="74"/>
      <c r="CQ112" s="73" t="s">
        <v>35</v>
      </c>
      <c r="CR112" s="73" t="s">
        <v>3023</v>
      </c>
      <c r="CS112" s="74" t="s">
        <v>1836</v>
      </c>
      <c r="CT112" s="74" t="s">
        <v>1924</v>
      </c>
      <c r="CU112" s="79">
        <f t="shared" si="1"/>
        <v>112</v>
      </c>
      <c r="CV112" s="77">
        <f>IFERROR(__xludf.DUMMYFUNCTION("IFERROR(QUERY(Presidente!$A$3:$AD112, ""SELECT AD WHERE A = '"" &amp; $B112 &amp; ""'""),"""")"),709.0)</f>
        <v>709</v>
      </c>
    </row>
  </sheetData>
  <conditionalFormatting sqref="C3:C112">
    <cfRule type="expression" dxfId="0" priority="1">
      <formula>COUNTIF(C3:C112,C3)&gt;1</formula>
    </cfRule>
  </conditionalFormatting>
  <conditionalFormatting sqref="AO3:AO112">
    <cfRule type="expression" dxfId="0" priority="2">
      <formula>COUNTIF(AO3:AO112,AO3)&gt;1</formula>
    </cfRule>
  </conditionalFormatting>
  <conditionalFormatting sqref="B3:B112">
    <cfRule type="expression" dxfId="0" priority="3">
      <formula>COUNTIF(B3:B112,B3)&gt;1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2" max="17" width="21.57"/>
    <col customWidth="1" min="18" max="18" width="10.71"/>
  </cols>
  <sheetData>
    <row r="1" hidden="1">
      <c r="A1" s="66"/>
      <c r="B1" s="66"/>
      <c r="C1" s="66"/>
      <c r="D1" s="66"/>
      <c r="E1" s="66"/>
      <c r="F1" s="66"/>
      <c r="G1" s="66"/>
      <c r="H1" s="66"/>
      <c r="I1" s="66"/>
      <c r="J1" s="66"/>
      <c r="K1" s="66"/>
      <c r="L1" s="66"/>
      <c r="M1" s="66"/>
      <c r="N1" s="66"/>
      <c r="O1" s="67"/>
      <c r="P1" s="66"/>
      <c r="Q1" s="66"/>
      <c r="R1" s="70"/>
    </row>
    <row r="2">
      <c r="A2" s="66" t="s">
        <v>1155</v>
      </c>
      <c r="B2" s="66" t="s">
        <v>1539</v>
      </c>
      <c r="C2" s="66" t="s">
        <v>3024</v>
      </c>
      <c r="D2" s="66" t="s">
        <v>3025</v>
      </c>
      <c r="E2" s="66" t="s">
        <v>3026</v>
      </c>
      <c r="F2" s="66" t="s">
        <v>3027</v>
      </c>
      <c r="G2" s="66" t="s">
        <v>3028</v>
      </c>
      <c r="H2" s="66" t="s">
        <v>3029</v>
      </c>
      <c r="I2" s="66" t="s">
        <v>3030</v>
      </c>
      <c r="J2" s="66" t="s">
        <v>3031</v>
      </c>
      <c r="K2" s="66" t="s">
        <v>3032</v>
      </c>
      <c r="L2" s="66" t="s">
        <v>3033</v>
      </c>
      <c r="M2" s="66" t="s">
        <v>3034</v>
      </c>
      <c r="N2" s="66" t="s">
        <v>3035</v>
      </c>
      <c r="O2" s="67" t="s">
        <v>3036</v>
      </c>
      <c r="P2" s="66" t="s">
        <v>3037</v>
      </c>
      <c r="Q2" s="66" t="s">
        <v>3038</v>
      </c>
      <c r="R2" s="70" t="s">
        <v>3039</v>
      </c>
    </row>
    <row r="3">
      <c r="A3" s="72">
        <v>44391.44291246528</v>
      </c>
      <c r="B3" s="73" t="s">
        <v>34</v>
      </c>
      <c r="C3" s="73">
        <v>60.1</v>
      </c>
      <c r="D3" s="73">
        <v>1.72</v>
      </c>
      <c r="E3" s="73">
        <v>62.0</v>
      </c>
      <c r="F3" s="73">
        <v>120.0</v>
      </c>
      <c r="G3" s="73">
        <v>80.0</v>
      </c>
      <c r="H3" s="73" t="s">
        <v>73</v>
      </c>
      <c r="I3" s="73" t="s">
        <v>73</v>
      </c>
      <c r="J3" s="73" t="s">
        <v>73</v>
      </c>
      <c r="K3" s="73" t="s">
        <v>73</v>
      </c>
      <c r="L3" s="73" t="s">
        <v>73</v>
      </c>
      <c r="M3" s="73" t="s">
        <v>73</v>
      </c>
      <c r="N3" s="73" t="s">
        <v>73</v>
      </c>
      <c r="O3" s="73" t="s">
        <v>3040</v>
      </c>
      <c r="P3" s="73" t="s">
        <v>3041</v>
      </c>
      <c r="Q3" s="73" t="s">
        <v>3042</v>
      </c>
      <c r="R3" s="77">
        <f>IFERROR(__xludf.DUMMYFUNCTION("IFERROR(QUERY(Presidente!$A$3:$AD112, ""SELECT AD WHERE A = '"" &amp; $B3 &amp; ""'""),"""")"),600.0)</f>
        <v>600</v>
      </c>
    </row>
    <row r="4">
      <c r="A4" s="72">
        <v>44390.56557666667</v>
      </c>
      <c r="B4" s="73" t="s">
        <v>50</v>
      </c>
      <c r="C4" s="73">
        <v>70.65</v>
      </c>
      <c r="D4" s="73">
        <v>1.96</v>
      </c>
      <c r="E4" s="73">
        <v>81.0</v>
      </c>
      <c r="F4" s="73">
        <v>120.0</v>
      </c>
      <c r="G4" s="73">
        <v>80.0</v>
      </c>
      <c r="H4" s="73" t="s">
        <v>73</v>
      </c>
      <c r="I4" s="73" t="s">
        <v>73</v>
      </c>
      <c r="J4" s="73" t="s">
        <v>3043</v>
      </c>
      <c r="K4" s="73" t="s">
        <v>73</v>
      </c>
      <c r="L4" s="73" t="s">
        <v>3044</v>
      </c>
      <c r="M4" s="73" t="s">
        <v>73</v>
      </c>
      <c r="N4" s="73" t="s">
        <v>73</v>
      </c>
      <c r="O4" s="73" t="s">
        <v>3045</v>
      </c>
      <c r="P4" s="73" t="s">
        <v>3041</v>
      </c>
      <c r="Q4" s="73" t="s">
        <v>3046</v>
      </c>
      <c r="R4" s="77">
        <f>IFERROR(__xludf.DUMMYFUNCTION("IFERROR(QUERY(Presidente!$A$3:$AD112, ""SELECT AD WHERE A = '"" &amp; $B4 &amp; ""'""),"""")"),601.0)</f>
        <v>601</v>
      </c>
    </row>
    <row r="5">
      <c r="A5" s="72">
        <v>44383.57602201389</v>
      </c>
      <c r="B5" s="73" t="s">
        <v>60</v>
      </c>
      <c r="C5" s="73">
        <v>50.9</v>
      </c>
      <c r="D5" s="73">
        <v>1.7</v>
      </c>
      <c r="E5" s="73">
        <v>66.0</v>
      </c>
      <c r="F5" s="73">
        <v>120.0</v>
      </c>
      <c r="G5" s="73">
        <v>80.0</v>
      </c>
      <c r="H5" s="73" t="s">
        <v>73</v>
      </c>
      <c r="I5" s="73" t="s">
        <v>73</v>
      </c>
      <c r="J5" s="73" t="s">
        <v>73</v>
      </c>
      <c r="K5" s="73" t="s">
        <v>73</v>
      </c>
      <c r="L5" s="73" t="s">
        <v>73</v>
      </c>
      <c r="M5" s="73" t="s">
        <v>73</v>
      </c>
      <c r="N5" s="73" t="s">
        <v>73</v>
      </c>
      <c r="O5" s="73" t="s">
        <v>3047</v>
      </c>
      <c r="P5" s="73" t="s">
        <v>3041</v>
      </c>
      <c r="Q5" s="73" t="s">
        <v>3048</v>
      </c>
      <c r="R5" s="77">
        <f>IFERROR(__xludf.DUMMYFUNCTION("IFERROR(QUERY(Presidente!$A$3:$AD112, ""SELECT AD WHERE A = '"" &amp; $B5 &amp; ""'""),"""")"),602.0)</f>
        <v>602</v>
      </c>
    </row>
    <row r="6">
      <c r="A6" s="72">
        <v>44390.57430623843</v>
      </c>
      <c r="B6" s="73" t="s">
        <v>72</v>
      </c>
      <c r="C6" s="73">
        <v>66.5</v>
      </c>
      <c r="D6" s="73">
        <v>1.73</v>
      </c>
      <c r="E6" s="73">
        <v>82.0</v>
      </c>
      <c r="F6" s="73">
        <v>120.0</v>
      </c>
      <c r="G6" s="73">
        <v>80.0</v>
      </c>
      <c r="H6" s="73" t="s">
        <v>73</v>
      </c>
      <c r="I6" s="73" t="s">
        <v>73</v>
      </c>
      <c r="J6" s="73" t="s">
        <v>73</v>
      </c>
      <c r="K6" s="73" t="s">
        <v>3049</v>
      </c>
      <c r="L6" s="73" t="s">
        <v>73</v>
      </c>
      <c r="M6" s="73" t="s">
        <v>73</v>
      </c>
      <c r="N6" s="73" t="s">
        <v>73</v>
      </c>
      <c r="O6" s="73" t="s">
        <v>3050</v>
      </c>
      <c r="P6" s="73" t="s">
        <v>3041</v>
      </c>
      <c r="Q6" s="73" t="s">
        <v>3046</v>
      </c>
      <c r="R6" s="77">
        <f>IFERROR(__xludf.DUMMYFUNCTION("IFERROR(QUERY(Presidente!$A$3:$AD112, ""SELECT AD WHERE A = '"" &amp; $B6 &amp; ""'""),"""")"),603.0)</f>
        <v>603</v>
      </c>
    </row>
    <row r="7">
      <c r="A7" s="72">
        <v>44392.42317699074</v>
      </c>
      <c r="B7" s="73" t="s">
        <v>83</v>
      </c>
      <c r="C7" s="73">
        <v>63.8</v>
      </c>
      <c r="D7" s="73">
        <v>1.78</v>
      </c>
      <c r="E7" s="73">
        <v>74.0</v>
      </c>
      <c r="F7" s="73">
        <v>120.0</v>
      </c>
      <c r="G7" s="73">
        <v>80.0</v>
      </c>
      <c r="H7" s="73" t="s">
        <v>73</v>
      </c>
      <c r="I7" s="73" t="s">
        <v>73</v>
      </c>
      <c r="J7" s="73" t="s">
        <v>73</v>
      </c>
      <c r="K7" s="73" t="s">
        <v>73</v>
      </c>
      <c r="L7" s="73" t="s">
        <v>73</v>
      </c>
      <c r="M7" s="73" t="s">
        <v>73</v>
      </c>
      <c r="N7" s="73" t="s">
        <v>73</v>
      </c>
      <c r="O7" s="73" t="s">
        <v>3040</v>
      </c>
      <c r="P7" s="73" t="s">
        <v>3041</v>
      </c>
      <c r="Q7" s="73" t="s">
        <v>3051</v>
      </c>
      <c r="R7" s="77">
        <f>IFERROR(__xludf.DUMMYFUNCTION("IFERROR(QUERY(Presidente!$A$3:$AD112, ""SELECT AD WHERE A = '"" &amp; $B7 &amp; ""'""),"""")"),604.0)</f>
        <v>604</v>
      </c>
    </row>
    <row r="8">
      <c r="A8" s="72">
        <v>44392.432377453704</v>
      </c>
      <c r="B8" s="73" t="s">
        <v>93</v>
      </c>
      <c r="C8" s="73">
        <v>83.3</v>
      </c>
      <c r="D8" s="73">
        <v>1.85</v>
      </c>
      <c r="E8" s="73">
        <v>86.0</v>
      </c>
      <c r="F8" s="73">
        <v>120.0</v>
      </c>
      <c r="G8" s="73">
        <v>80.0</v>
      </c>
      <c r="H8" s="73" t="s">
        <v>73</v>
      </c>
      <c r="I8" s="73" t="s">
        <v>73</v>
      </c>
      <c r="J8" s="73" t="s">
        <v>73</v>
      </c>
      <c r="K8" s="73" t="s">
        <v>73</v>
      </c>
      <c r="L8" s="73" t="s">
        <v>73</v>
      </c>
      <c r="M8" s="73" t="s">
        <v>73</v>
      </c>
      <c r="N8" s="73" t="s">
        <v>73</v>
      </c>
      <c r="O8" s="73" t="s">
        <v>3040</v>
      </c>
      <c r="P8" s="73" t="s">
        <v>3041</v>
      </c>
      <c r="Q8" s="73" t="s">
        <v>3051</v>
      </c>
      <c r="R8" s="77">
        <f>IFERROR(__xludf.DUMMYFUNCTION("IFERROR(QUERY(Presidente!$A$3:$AD112, ""SELECT AD WHERE A = '"" &amp; $B8 &amp; ""'""),"""")"),605.0)</f>
        <v>605</v>
      </c>
    </row>
    <row r="9">
      <c r="A9" s="72">
        <v>44389.44421177084</v>
      </c>
      <c r="B9" s="73" t="s">
        <v>103</v>
      </c>
      <c r="C9" s="73">
        <v>91.3</v>
      </c>
      <c r="D9" s="73">
        <v>1.73</v>
      </c>
      <c r="E9" s="73">
        <v>100.0</v>
      </c>
      <c r="F9" s="73">
        <v>118.0</v>
      </c>
      <c r="G9" s="73">
        <v>72.0</v>
      </c>
      <c r="H9" s="73" t="s">
        <v>73</v>
      </c>
      <c r="I9" s="73" t="s">
        <v>73</v>
      </c>
      <c r="J9" s="73" t="s">
        <v>73</v>
      </c>
      <c r="K9" s="73" t="s">
        <v>73</v>
      </c>
      <c r="L9" s="73" t="s">
        <v>73</v>
      </c>
      <c r="M9" s="73" t="s">
        <v>73</v>
      </c>
      <c r="N9" s="73" t="s">
        <v>73</v>
      </c>
      <c r="O9" s="73" t="s">
        <v>3040</v>
      </c>
      <c r="P9" s="73" t="s">
        <v>3041</v>
      </c>
      <c r="Q9" s="73" t="s">
        <v>3052</v>
      </c>
      <c r="R9" s="77">
        <f>IFERROR(__xludf.DUMMYFUNCTION("IFERROR(QUERY(Presidente!$A$3:$AD112, ""SELECT AD WHERE A = '"" &amp; $B9 &amp; ""'""),"""")"),606.0)</f>
        <v>606</v>
      </c>
    </row>
    <row r="10">
      <c r="A10" s="72">
        <v>44377.594052141205</v>
      </c>
      <c r="B10" s="73" t="s">
        <v>113</v>
      </c>
      <c r="C10" s="73">
        <v>108.55</v>
      </c>
      <c r="D10" s="73">
        <v>1.77</v>
      </c>
      <c r="E10" s="73">
        <v>100.0</v>
      </c>
      <c r="F10" s="73">
        <v>120.0</v>
      </c>
      <c r="G10" s="73">
        <v>80.0</v>
      </c>
      <c r="H10" s="73" t="s">
        <v>73</v>
      </c>
      <c r="I10" s="73" t="s">
        <v>3053</v>
      </c>
      <c r="J10" s="73" t="s">
        <v>73</v>
      </c>
      <c r="K10" s="73" t="s">
        <v>73</v>
      </c>
      <c r="L10" s="73" t="s">
        <v>73</v>
      </c>
      <c r="M10" s="73" t="s">
        <v>3054</v>
      </c>
      <c r="N10" s="73" t="s">
        <v>3055</v>
      </c>
      <c r="O10" s="73" t="s">
        <v>3040</v>
      </c>
      <c r="P10" s="73" t="s">
        <v>3041</v>
      </c>
      <c r="Q10" s="73" t="s">
        <v>3046</v>
      </c>
      <c r="R10" s="77">
        <f>IFERROR(__xludf.DUMMYFUNCTION("IFERROR(QUERY(Presidente!$A$3:$AD112, ""SELECT AD WHERE A = '"" &amp; $B10 &amp; ""'""),"""")"),607.0)</f>
        <v>607</v>
      </c>
    </row>
    <row r="11">
      <c r="A11" s="72">
        <v>44383.56968166667</v>
      </c>
      <c r="B11" s="73" t="s">
        <v>124</v>
      </c>
      <c r="C11" s="73">
        <v>81.5</v>
      </c>
      <c r="D11" s="73">
        <v>1.77</v>
      </c>
      <c r="E11" s="73">
        <v>83.0</v>
      </c>
      <c r="F11" s="73">
        <v>120.0</v>
      </c>
      <c r="G11" s="73">
        <v>80.0</v>
      </c>
      <c r="H11" s="73" t="s">
        <v>73</v>
      </c>
      <c r="I11" s="73" t="s">
        <v>73</v>
      </c>
      <c r="J11" s="73" t="s">
        <v>73</v>
      </c>
      <c r="K11" s="73" t="s">
        <v>73</v>
      </c>
      <c r="L11" s="73" t="s">
        <v>3056</v>
      </c>
      <c r="M11" s="73" t="s">
        <v>73</v>
      </c>
      <c r="N11" s="73" t="s">
        <v>73</v>
      </c>
      <c r="O11" s="73" t="s">
        <v>3040</v>
      </c>
      <c r="P11" s="73" t="s">
        <v>3057</v>
      </c>
      <c r="Q11" s="73" t="s">
        <v>3051</v>
      </c>
      <c r="R11" s="77">
        <f>IFERROR(__xludf.DUMMYFUNCTION("IFERROR(QUERY(Presidente!$A$3:$AD112, ""SELECT AD WHERE A = '"" &amp; $B11 &amp; ""'""),"""")"),608.0)</f>
        <v>608</v>
      </c>
    </row>
    <row r="12">
      <c r="A12" s="72">
        <v>44383.43163824074</v>
      </c>
      <c r="B12" s="73" t="s">
        <v>134</v>
      </c>
      <c r="C12" s="73">
        <v>91.5</v>
      </c>
      <c r="D12" s="73">
        <v>1.73</v>
      </c>
      <c r="E12" s="73">
        <v>94.0</v>
      </c>
      <c r="F12" s="73">
        <v>120.0</v>
      </c>
      <c r="G12" s="73">
        <v>80.0</v>
      </c>
      <c r="H12" s="73" t="s">
        <v>73</v>
      </c>
      <c r="I12" s="73" t="s">
        <v>73</v>
      </c>
      <c r="J12" s="73" t="s">
        <v>73</v>
      </c>
      <c r="K12" s="73" t="s">
        <v>73</v>
      </c>
      <c r="L12" s="73" t="s">
        <v>3058</v>
      </c>
      <c r="M12" s="73" t="s">
        <v>73</v>
      </c>
      <c r="N12" s="73" t="s">
        <v>73</v>
      </c>
      <c r="O12" s="73" t="s">
        <v>3059</v>
      </c>
      <c r="P12" s="73" t="s">
        <v>3041</v>
      </c>
      <c r="Q12" s="73" t="s">
        <v>3048</v>
      </c>
      <c r="R12" s="77">
        <f>IFERROR(__xludf.DUMMYFUNCTION("IFERROR(QUERY(Presidente!$A$3:$AD112, ""SELECT AD WHERE A = '"" &amp; $B12 &amp; ""'""),"""")"),609.0)</f>
        <v>609</v>
      </c>
    </row>
    <row r="13">
      <c r="A13" s="72">
        <v>44383.43403361111</v>
      </c>
      <c r="B13" s="73" t="s">
        <v>145</v>
      </c>
      <c r="C13" s="73">
        <v>86.4</v>
      </c>
      <c r="D13" s="73">
        <v>1.72</v>
      </c>
      <c r="E13" s="73">
        <v>89.0</v>
      </c>
      <c r="F13" s="73">
        <v>120.0</v>
      </c>
      <c r="G13" s="73">
        <v>80.0</v>
      </c>
      <c r="H13" s="73" t="s">
        <v>73</v>
      </c>
      <c r="I13" s="73" t="s">
        <v>73</v>
      </c>
      <c r="J13" s="73" t="s">
        <v>73</v>
      </c>
      <c r="K13" s="73" t="s">
        <v>73</v>
      </c>
      <c r="L13" s="73" t="s">
        <v>73</v>
      </c>
      <c r="M13" s="73" t="s">
        <v>73</v>
      </c>
      <c r="N13" s="73" t="s">
        <v>73</v>
      </c>
      <c r="O13" s="73" t="s">
        <v>3060</v>
      </c>
      <c r="P13" s="73" t="s">
        <v>3057</v>
      </c>
      <c r="Q13" s="73" t="s">
        <v>3048</v>
      </c>
      <c r="R13" s="77">
        <f>IFERROR(__xludf.DUMMYFUNCTION("IFERROR(QUERY(Presidente!$A$3:$AD112, ""SELECT AD WHERE A = '"" &amp; $B13 &amp; ""'""),"""")"),610.0)</f>
        <v>610</v>
      </c>
    </row>
    <row r="14">
      <c r="A14" s="72">
        <v>44382.58648561343</v>
      </c>
      <c r="B14" s="73" t="s">
        <v>153</v>
      </c>
      <c r="C14" s="73">
        <v>52.5</v>
      </c>
      <c r="D14" s="73">
        <v>1.7</v>
      </c>
      <c r="E14" s="73">
        <v>70.0</v>
      </c>
      <c r="F14" s="73">
        <v>112.0</v>
      </c>
      <c r="G14" s="73">
        <v>70.0</v>
      </c>
      <c r="H14" s="73" t="s">
        <v>73</v>
      </c>
      <c r="I14" s="73" t="s">
        <v>73</v>
      </c>
      <c r="J14" s="73" t="s">
        <v>73</v>
      </c>
      <c r="K14" s="73" t="s">
        <v>3061</v>
      </c>
      <c r="L14" s="73" t="s">
        <v>73</v>
      </c>
      <c r="M14" s="73" t="s">
        <v>3062</v>
      </c>
      <c r="N14" s="73" t="s">
        <v>73</v>
      </c>
      <c r="O14" s="73" t="s">
        <v>3040</v>
      </c>
      <c r="P14" s="73" t="s">
        <v>3041</v>
      </c>
      <c r="Q14" s="73" t="s">
        <v>3052</v>
      </c>
      <c r="R14" s="77">
        <f>IFERROR(__xludf.DUMMYFUNCTION("IFERROR(QUERY(Presidente!$A$3:$AD112, ""SELECT AD WHERE A = '"" &amp; $B14 &amp; ""'""),"""")"),611.0)</f>
        <v>611</v>
      </c>
    </row>
    <row r="15">
      <c r="A15" s="72">
        <v>44383.42960638889</v>
      </c>
      <c r="B15" s="73" t="s">
        <v>163</v>
      </c>
      <c r="C15" s="73">
        <v>80.6</v>
      </c>
      <c r="D15" s="73">
        <v>1.67</v>
      </c>
      <c r="E15" s="73">
        <v>93.0</v>
      </c>
      <c r="F15" s="73">
        <v>120.0</v>
      </c>
      <c r="G15" s="73">
        <v>80.0</v>
      </c>
      <c r="H15" s="73" t="s">
        <v>73</v>
      </c>
      <c r="I15" s="73" t="s">
        <v>73</v>
      </c>
      <c r="J15" s="73" t="s">
        <v>73</v>
      </c>
      <c r="K15" s="73" t="s">
        <v>73</v>
      </c>
      <c r="L15" s="73" t="s">
        <v>73</v>
      </c>
      <c r="M15" s="73" t="s">
        <v>3063</v>
      </c>
      <c r="N15" s="73" t="s">
        <v>73</v>
      </c>
      <c r="O15" s="73" t="s">
        <v>3047</v>
      </c>
      <c r="P15" s="73" t="s">
        <v>3041</v>
      </c>
      <c r="Q15" s="73" t="s">
        <v>3048</v>
      </c>
      <c r="R15" s="77">
        <f>IFERROR(__xludf.DUMMYFUNCTION("IFERROR(QUERY(Presidente!$A$3:$AD112, ""SELECT AD WHERE A = '"" &amp; $B15 &amp; ""'""),"""")"),612.0)</f>
        <v>612</v>
      </c>
    </row>
    <row r="16">
      <c r="A16" s="72">
        <v>44389.63603940972</v>
      </c>
      <c r="B16" s="73" t="s">
        <v>173</v>
      </c>
      <c r="C16" s="73">
        <v>99.8</v>
      </c>
      <c r="D16" s="73">
        <v>1.75</v>
      </c>
      <c r="E16" s="73">
        <v>91.0</v>
      </c>
      <c r="F16" s="73">
        <v>112.0</v>
      </c>
      <c r="G16" s="73">
        <v>80.0</v>
      </c>
      <c r="H16" s="73" t="s">
        <v>73</v>
      </c>
      <c r="I16" s="73" t="s">
        <v>73</v>
      </c>
      <c r="J16" s="73" t="s">
        <v>73</v>
      </c>
      <c r="K16" s="73" t="s">
        <v>73</v>
      </c>
      <c r="L16" s="73" t="s">
        <v>73</v>
      </c>
      <c r="M16" s="73" t="s">
        <v>73</v>
      </c>
      <c r="N16" s="73" t="s">
        <v>73</v>
      </c>
      <c r="O16" s="73" t="s">
        <v>3040</v>
      </c>
      <c r="P16" s="73" t="s">
        <v>3041</v>
      </c>
      <c r="Q16" s="73" t="s">
        <v>3052</v>
      </c>
      <c r="R16" s="77">
        <f>IFERROR(__xludf.DUMMYFUNCTION("IFERROR(QUERY(Presidente!$A$3:$AD112, ""SELECT AD WHERE A = '"" &amp; $B16 &amp; ""'""),"""")"),613.0)</f>
        <v>613</v>
      </c>
    </row>
    <row r="17">
      <c r="A17" s="72">
        <v>44391.582909386576</v>
      </c>
      <c r="B17" s="73" t="s">
        <v>183</v>
      </c>
      <c r="C17" s="73">
        <v>63.0</v>
      </c>
      <c r="D17" s="73">
        <v>1.74</v>
      </c>
      <c r="E17" s="73">
        <v>73.0</v>
      </c>
      <c r="F17" s="73">
        <v>120.0</v>
      </c>
      <c r="G17" s="73">
        <v>80.0</v>
      </c>
      <c r="H17" s="73" t="s">
        <v>73</v>
      </c>
      <c r="I17" s="73" t="s">
        <v>73</v>
      </c>
      <c r="J17" s="73" t="s">
        <v>73</v>
      </c>
      <c r="K17" s="73" t="s">
        <v>73</v>
      </c>
      <c r="L17" s="73" t="s">
        <v>73</v>
      </c>
      <c r="M17" s="73" t="s">
        <v>73</v>
      </c>
      <c r="N17" s="73" t="s">
        <v>73</v>
      </c>
      <c r="O17" s="73" t="s">
        <v>3040</v>
      </c>
      <c r="P17" s="73" t="s">
        <v>3041</v>
      </c>
      <c r="Q17" s="73" t="s">
        <v>3051</v>
      </c>
      <c r="R17" s="77">
        <f>IFERROR(__xludf.DUMMYFUNCTION("IFERROR(QUERY(Presidente!$A$3:$AD112, ""SELECT AD WHERE A = '"" &amp; $B17 &amp; ""'""),"""")"),614.0)</f>
        <v>614</v>
      </c>
    </row>
    <row r="18">
      <c r="A18" s="72">
        <v>44391.43365666667</v>
      </c>
      <c r="B18" s="73" t="s">
        <v>193</v>
      </c>
      <c r="C18" s="73">
        <v>97.1</v>
      </c>
      <c r="D18" s="73">
        <v>1.74</v>
      </c>
      <c r="E18" s="73">
        <v>110.0</v>
      </c>
      <c r="F18" s="73">
        <v>120.0</v>
      </c>
      <c r="G18" s="73">
        <v>80.0</v>
      </c>
      <c r="H18" s="73" t="s">
        <v>73</v>
      </c>
      <c r="I18" s="73" t="s">
        <v>3064</v>
      </c>
      <c r="J18" s="73" t="s">
        <v>73</v>
      </c>
      <c r="K18" s="73" t="s">
        <v>3065</v>
      </c>
      <c r="L18" s="73" t="s">
        <v>3056</v>
      </c>
      <c r="M18" s="73" t="s">
        <v>73</v>
      </c>
      <c r="N18" s="73" t="s">
        <v>3066</v>
      </c>
      <c r="O18" s="73" t="s">
        <v>3040</v>
      </c>
      <c r="P18" s="73" t="s">
        <v>3041</v>
      </c>
      <c r="Q18" s="73" t="s">
        <v>3042</v>
      </c>
      <c r="R18" s="77">
        <f>IFERROR(__xludf.DUMMYFUNCTION("IFERROR(QUERY(Presidente!$A$3:$AD112, ""SELECT AD WHERE A = '"" &amp; $B18 &amp; ""'""),"""")"),615.0)</f>
        <v>615</v>
      </c>
    </row>
    <row r="19">
      <c r="A19" s="72">
        <v>44377.60485876157</v>
      </c>
      <c r="B19" s="73" t="s">
        <v>203</v>
      </c>
      <c r="C19" s="73">
        <v>85.9</v>
      </c>
      <c r="D19" s="73">
        <v>1.8</v>
      </c>
      <c r="E19" s="73">
        <v>91.0</v>
      </c>
      <c r="F19" s="73">
        <v>120.0</v>
      </c>
      <c r="G19" s="73">
        <v>80.0</v>
      </c>
      <c r="H19" s="73" t="s">
        <v>73</v>
      </c>
      <c r="I19" s="73" t="s">
        <v>73</v>
      </c>
      <c r="J19" s="73" t="s">
        <v>73</v>
      </c>
      <c r="K19" s="73" t="s">
        <v>73</v>
      </c>
      <c r="L19" s="73" t="s">
        <v>73</v>
      </c>
      <c r="M19" s="73" t="s">
        <v>3067</v>
      </c>
      <c r="N19" s="73" t="s">
        <v>73</v>
      </c>
      <c r="O19" s="73" t="s">
        <v>3040</v>
      </c>
      <c r="P19" s="73" t="s">
        <v>3041</v>
      </c>
      <c r="Q19" s="73" t="s">
        <v>3046</v>
      </c>
      <c r="R19" s="77">
        <f>IFERROR(__xludf.DUMMYFUNCTION("IFERROR(QUERY(Presidente!$A$3:$AD112, ""SELECT AD WHERE A = '"" &amp; $B19 &amp; ""'""),"""")"),616.0)</f>
        <v>616</v>
      </c>
    </row>
    <row r="20">
      <c r="A20" s="72">
        <v>44390.57226564815</v>
      </c>
      <c r="B20" s="73" t="s">
        <v>214</v>
      </c>
      <c r="C20" s="73">
        <v>90.35</v>
      </c>
      <c r="D20" s="73">
        <v>1.78</v>
      </c>
      <c r="E20" s="73">
        <v>93.0</v>
      </c>
      <c r="F20" s="73">
        <v>120.0</v>
      </c>
      <c r="G20" s="73">
        <v>80.0</v>
      </c>
      <c r="H20" s="73" t="s">
        <v>73</v>
      </c>
      <c r="I20" s="73" t="s">
        <v>73</v>
      </c>
      <c r="J20" s="73" t="s">
        <v>73</v>
      </c>
      <c r="K20" s="73" t="s">
        <v>73</v>
      </c>
      <c r="L20" s="73" t="s">
        <v>73</v>
      </c>
      <c r="M20" s="73" t="s">
        <v>73</v>
      </c>
      <c r="N20" s="73" t="s">
        <v>73</v>
      </c>
      <c r="O20" s="73" t="s">
        <v>3040</v>
      </c>
      <c r="P20" s="73" t="s">
        <v>3041</v>
      </c>
      <c r="Q20" s="73" t="s">
        <v>3046</v>
      </c>
      <c r="R20" s="77">
        <f>IFERROR(__xludf.DUMMYFUNCTION("IFERROR(QUERY(Presidente!$A$3:$AD112, ""SELECT AD WHERE A = '"" &amp; $B20 &amp; ""'""),"""")"),617.0)</f>
        <v>617</v>
      </c>
    </row>
    <row r="21">
      <c r="A21" s="72">
        <v>44391.58569423611</v>
      </c>
      <c r="B21" s="73" t="s">
        <v>224</v>
      </c>
      <c r="C21" s="73">
        <v>75.0</v>
      </c>
      <c r="D21" s="73">
        <v>1.88</v>
      </c>
      <c r="E21" s="73">
        <v>75.0</v>
      </c>
      <c r="F21" s="73">
        <v>120.0</v>
      </c>
      <c r="G21" s="73">
        <v>80.0</v>
      </c>
      <c r="H21" s="73" t="s">
        <v>73</v>
      </c>
      <c r="I21" s="73" t="s">
        <v>73</v>
      </c>
      <c r="J21" s="73" t="s">
        <v>73</v>
      </c>
      <c r="K21" s="73" t="s">
        <v>73</v>
      </c>
      <c r="L21" s="73" t="s">
        <v>73</v>
      </c>
      <c r="M21" s="73" t="s">
        <v>73</v>
      </c>
      <c r="N21" s="73" t="s">
        <v>73</v>
      </c>
      <c r="O21" s="73" t="s">
        <v>3040</v>
      </c>
      <c r="P21" s="73" t="s">
        <v>3041</v>
      </c>
      <c r="Q21" s="73" t="s">
        <v>3051</v>
      </c>
      <c r="R21" s="77">
        <f>IFERROR(__xludf.DUMMYFUNCTION("IFERROR(QUERY(Presidente!$A$3:$AD112, ""SELECT AD WHERE A = '"" &amp; $B21 &amp; ""'""),"""")"),618.0)</f>
        <v>618</v>
      </c>
    </row>
    <row r="22">
      <c r="A22" s="72">
        <v>44382.62657288194</v>
      </c>
      <c r="B22" s="73" t="s">
        <v>234</v>
      </c>
      <c r="C22" s="73">
        <v>66.6</v>
      </c>
      <c r="D22" s="73">
        <v>1.73</v>
      </c>
      <c r="E22" s="73">
        <v>79.0</v>
      </c>
      <c r="F22" s="73">
        <v>112.0</v>
      </c>
      <c r="G22" s="73">
        <v>74.0</v>
      </c>
      <c r="H22" s="73" t="s">
        <v>73</v>
      </c>
      <c r="I22" s="73" t="s">
        <v>3068</v>
      </c>
      <c r="J22" s="73" t="s">
        <v>73</v>
      </c>
      <c r="K22" s="73" t="s">
        <v>3069</v>
      </c>
      <c r="L22" s="73" t="s">
        <v>3070</v>
      </c>
      <c r="M22" s="73" t="s">
        <v>73</v>
      </c>
      <c r="N22" s="73" t="s">
        <v>73</v>
      </c>
      <c r="O22" s="73" t="s">
        <v>3071</v>
      </c>
      <c r="P22" s="73" t="s">
        <v>3041</v>
      </c>
      <c r="Q22" s="73" t="s">
        <v>3052</v>
      </c>
      <c r="R22" s="77">
        <f>IFERROR(__xludf.DUMMYFUNCTION("IFERROR(QUERY(Presidente!$A$3:$AD112, ""SELECT AD WHERE A = '"" &amp; $B22 &amp; ""'""),"""")"),619.0)</f>
        <v>619</v>
      </c>
    </row>
    <row r="23">
      <c r="A23" s="72">
        <v>44390.44782153935</v>
      </c>
      <c r="B23" s="73" t="s">
        <v>244</v>
      </c>
      <c r="C23" s="73">
        <v>65.5</v>
      </c>
      <c r="D23" s="73">
        <v>1.67</v>
      </c>
      <c r="E23" s="73">
        <v>77.0</v>
      </c>
      <c r="F23" s="73">
        <v>110.0</v>
      </c>
      <c r="G23" s="73">
        <v>80.0</v>
      </c>
      <c r="H23" s="73" t="s">
        <v>73</v>
      </c>
      <c r="I23" s="73" t="s">
        <v>73</v>
      </c>
      <c r="J23" s="73" t="s">
        <v>73</v>
      </c>
      <c r="K23" s="73" t="s">
        <v>3072</v>
      </c>
      <c r="L23" s="73" t="s">
        <v>73</v>
      </c>
      <c r="M23" s="73" t="s">
        <v>73</v>
      </c>
      <c r="N23" s="73" t="s">
        <v>73</v>
      </c>
      <c r="O23" s="73" t="s">
        <v>3040</v>
      </c>
      <c r="P23" s="73" t="s">
        <v>3041</v>
      </c>
      <c r="Q23" s="73" t="s">
        <v>3052</v>
      </c>
      <c r="R23" s="77">
        <f>IFERROR(__xludf.DUMMYFUNCTION("IFERROR(QUERY(Presidente!$A$3:$AD112, ""SELECT AD WHERE A = '"" &amp; $B23 &amp; ""'""),"""")"),620.0)</f>
        <v>620</v>
      </c>
    </row>
    <row r="24">
      <c r="A24" s="72">
        <v>44389.59354229167</v>
      </c>
      <c r="B24" s="73" t="s">
        <v>254</v>
      </c>
      <c r="C24" s="73">
        <v>86.5</v>
      </c>
      <c r="D24" s="73">
        <v>1.78</v>
      </c>
      <c r="E24" s="73">
        <v>95.0</v>
      </c>
      <c r="F24" s="73">
        <v>112.0</v>
      </c>
      <c r="G24" s="73">
        <v>78.0</v>
      </c>
      <c r="H24" s="73" t="s">
        <v>3073</v>
      </c>
      <c r="I24" s="73" t="s">
        <v>73</v>
      </c>
      <c r="J24" s="73" t="s">
        <v>3074</v>
      </c>
      <c r="K24" s="73" t="s">
        <v>3075</v>
      </c>
      <c r="L24" s="73" t="s">
        <v>3076</v>
      </c>
      <c r="M24" s="73" t="s">
        <v>73</v>
      </c>
      <c r="N24" s="73" t="s">
        <v>73</v>
      </c>
      <c r="O24" s="73" t="s">
        <v>3040</v>
      </c>
      <c r="P24" s="73" t="s">
        <v>3057</v>
      </c>
      <c r="Q24" s="73" t="s">
        <v>3052</v>
      </c>
      <c r="R24" s="77">
        <f>IFERROR(__xludf.DUMMYFUNCTION("IFERROR(QUERY(Presidente!$A$3:$AD112, ""SELECT AD WHERE A = '"" &amp; $B24 &amp; ""'""),"""")"),621.0)</f>
        <v>621</v>
      </c>
    </row>
    <row r="25">
      <c r="A25" s="72">
        <v>44382.64293887731</v>
      </c>
      <c r="B25" s="73" t="s">
        <v>264</v>
      </c>
      <c r="C25" s="73">
        <v>64.4</v>
      </c>
      <c r="D25" s="73">
        <v>1.84</v>
      </c>
      <c r="E25" s="73">
        <v>75.0</v>
      </c>
      <c r="F25" s="73">
        <v>112.0</v>
      </c>
      <c r="G25" s="73">
        <v>74.0</v>
      </c>
      <c r="H25" s="73" t="s">
        <v>73</v>
      </c>
      <c r="I25" s="73" t="s">
        <v>73</v>
      </c>
      <c r="J25" s="73" t="s">
        <v>73</v>
      </c>
      <c r="K25" s="73" t="s">
        <v>73</v>
      </c>
      <c r="L25" s="73" t="s">
        <v>73</v>
      </c>
      <c r="M25" s="73" t="s">
        <v>3077</v>
      </c>
      <c r="N25" s="73" t="s">
        <v>73</v>
      </c>
      <c r="O25" s="73" t="s">
        <v>3040</v>
      </c>
      <c r="P25" s="73" t="s">
        <v>3041</v>
      </c>
      <c r="Q25" s="73" t="s">
        <v>3052</v>
      </c>
      <c r="R25" s="77">
        <f>IFERROR(__xludf.DUMMYFUNCTION("IFERROR(QUERY(Presidente!$A$3:$AD112, ""SELECT AD WHERE A = '"" &amp; $B25 &amp; ""'""),"""")"),622.0)</f>
        <v>622</v>
      </c>
    </row>
    <row r="26">
      <c r="A26" s="72">
        <v>44389.44748453704</v>
      </c>
      <c r="B26" s="73" t="s">
        <v>274</v>
      </c>
      <c r="C26" s="73">
        <v>69.0</v>
      </c>
      <c r="D26" s="73">
        <v>1.69</v>
      </c>
      <c r="E26" s="73">
        <v>79.0</v>
      </c>
      <c r="F26" s="73">
        <v>112.0</v>
      </c>
      <c r="G26" s="73">
        <v>72.0</v>
      </c>
      <c r="H26" s="73" t="s">
        <v>73</v>
      </c>
      <c r="I26" s="73" t="s">
        <v>73</v>
      </c>
      <c r="J26" s="73" t="s">
        <v>73</v>
      </c>
      <c r="K26" s="73" t="s">
        <v>73</v>
      </c>
      <c r="L26" s="73" t="s">
        <v>73</v>
      </c>
      <c r="M26" s="73" t="s">
        <v>73</v>
      </c>
      <c r="N26" s="73" t="s">
        <v>73</v>
      </c>
      <c r="O26" s="73" t="s">
        <v>3040</v>
      </c>
      <c r="P26" s="73" t="s">
        <v>3041</v>
      </c>
      <c r="Q26" s="73" t="s">
        <v>3052</v>
      </c>
      <c r="R26" s="77">
        <f>IFERROR(__xludf.DUMMYFUNCTION("IFERROR(QUERY(Presidente!$A$3:$AD112, ""SELECT AD WHERE A = '"" &amp; $B26 &amp; ""'""),"""")"),623.0)</f>
        <v>623</v>
      </c>
    </row>
    <row r="27">
      <c r="A27" s="72">
        <v>44382.617097870374</v>
      </c>
      <c r="B27" s="73" t="s">
        <v>284</v>
      </c>
      <c r="C27" s="73">
        <v>74.2</v>
      </c>
      <c r="D27" s="73">
        <v>1.9</v>
      </c>
      <c r="E27" s="73">
        <v>74.0</v>
      </c>
      <c r="F27" s="73">
        <v>118.0</v>
      </c>
      <c r="G27" s="73">
        <v>70.0</v>
      </c>
      <c r="H27" s="73" t="s">
        <v>73</v>
      </c>
      <c r="I27" s="73" t="s">
        <v>73</v>
      </c>
      <c r="J27" s="73" t="s">
        <v>73</v>
      </c>
      <c r="K27" s="73" t="s">
        <v>73</v>
      </c>
      <c r="L27" s="73" t="s">
        <v>73</v>
      </c>
      <c r="M27" s="73" t="s">
        <v>73</v>
      </c>
      <c r="N27" s="73" t="s">
        <v>73</v>
      </c>
      <c r="O27" s="73" t="s">
        <v>3040</v>
      </c>
      <c r="P27" s="73" t="s">
        <v>3041</v>
      </c>
      <c r="Q27" s="73" t="s">
        <v>3052</v>
      </c>
      <c r="R27" s="77">
        <f>IFERROR(__xludf.DUMMYFUNCTION("IFERROR(QUERY(Presidente!$A$3:$AD112, ""SELECT AD WHERE A = '"" &amp; $B27 &amp; ""'""),"""")"),624.0)</f>
        <v>624</v>
      </c>
    </row>
    <row r="28">
      <c r="A28" s="72">
        <v>44389.64148101852</v>
      </c>
      <c r="B28" s="73" t="s">
        <v>294</v>
      </c>
      <c r="C28" s="73">
        <v>81.7</v>
      </c>
      <c r="D28" s="73">
        <v>1.81</v>
      </c>
      <c r="E28" s="73">
        <v>79.0</v>
      </c>
      <c r="F28" s="73">
        <v>112.0</v>
      </c>
      <c r="G28" s="73">
        <v>80.0</v>
      </c>
      <c r="H28" s="73" t="s">
        <v>73</v>
      </c>
      <c r="I28" s="73" t="s">
        <v>73</v>
      </c>
      <c r="J28" s="73" t="s">
        <v>73</v>
      </c>
      <c r="K28" s="73" t="s">
        <v>3078</v>
      </c>
      <c r="L28" s="73" t="s">
        <v>73</v>
      </c>
      <c r="M28" s="73" t="s">
        <v>73</v>
      </c>
      <c r="N28" s="73" t="s">
        <v>73</v>
      </c>
      <c r="O28" s="73" t="s">
        <v>3079</v>
      </c>
      <c r="P28" s="73" t="s">
        <v>3041</v>
      </c>
      <c r="Q28" s="73" t="s">
        <v>3052</v>
      </c>
      <c r="R28" s="77">
        <f>IFERROR(__xludf.DUMMYFUNCTION("IFERROR(QUERY(Presidente!$A$3:$AD112, ""SELECT AD WHERE A = '"" &amp; $B28 &amp; ""'""),"""")"),625.0)</f>
        <v>625</v>
      </c>
    </row>
    <row r="29">
      <c r="A29" s="72">
        <v>44378.58942380787</v>
      </c>
      <c r="B29" s="73" t="s">
        <v>304</v>
      </c>
      <c r="C29" s="73">
        <v>101.7</v>
      </c>
      <c r="D29" s="73">
        <v>1.79</v>
      </c>
      <c r="E29" s="73">
        <v>104.0</v>
      </c>
      <c r="F29" s="73">
        <v>120.0</v>
      </c>
      <c r="G29" s="73">
        <v>80.0</v>
      </c>
      <c r="H29" s="73" t="s">
        <v>73</v>
      </c>
      <c r="I29" s="73" t="s">
        <v>73</v>
      </c>
      <c r="J29" s="73" t="s">
        <v>73</v>
      </c>
      <c r="K29" s="73" t="s">
        <v>73</v>
      </c>
      <c r="L29" s="73" t="s">
        <v>73</v>
      </c>
      <c r="M29" s="73" t="s">
        <v>73</v>
      </c>
      <c r="N29" s="73" t="s">
        <v>73</v>
      </c>
      <c r="O29" s="73" t="s">
        <v>3040</v>
      </c>
      <c r="P29" s="73" t="s">
        <v>3041</v>
      </c>
      <c r="Q29" s="73" t="s">
        <v>3051</v>
      </c>
      <c r="R29" s="77">
        <f>IFERROR(__xludf.DUMMYFUNCTION("IFERROR(QUERY(Presidente!$A$3:$AD112, ""SELECT AD WHERE A = '"" &amp; $B29 &amp; ""'""),"""")"),626.0)</f>
        <v>626</v>
      </c>
    </row>
    <row r="30">
      <c r="A30" s="72">
        <v>44379.37163297454</v>
      </c>
      <c r="B30" s="73" t="s">
        <v>315</v>
      </c>
      <c r="C30" s="73">
        <v>105.45</v>
      </c>
      <c r="D30" s="73">
        <v>1.8</v>
      </c>
      <c r="E30" s="73">
        <v>106.0</v>
      </c>
      <c r="F30" s="73">
        <v>118.0</v>
      </c>
      <c r="G30" s="73">
        <v>72.0</v>
      </c>
      <c r="H30" s="73" t="s">
        <v>73</v>
      </c>
      <c r="I30" s="73" t="s">
        <v>73</v>
      </c>
      <c r="J30" s="73" t="s">
        <v>73</v>
      </c>
      <c r="K30" s="73" t="s">
        <v>73</v>
      </c>
      <c r="L30" s="73" t="s">
        <v>73</v>
      </c>
      <c r="M30" s="73" t="s">
        <v>73</v>
      </c>
      <c r="N30" s="73" t="s">
        <v>73</v>
      </c>
      <c r="O30" s="73" t="s">
        <v>3040</v>
      </c>
      <c r="P30" s="73" t="s">
        <v>3041</v>
      </c>
      <c r="Q30" s="73" t="s">
        <v>3052</v>
      </c>
      <c r="R30" s="77">
        <f>IFERROR(__xludf.DUMMYFUNCTION("IFERROR(QUERY(Presidente!$A$3:$AD112, ""SELECT AD WHERE A = '"" &amp; $B30 &amp; ""'""),"""")"),627.0)</f>
        <v>627</v>
      </c>
    </row>
    <row r="31">
      <c r="A31" s="72">
        <v>44384.45266855324</v>
      </c>
      <c r="B31" s="73" t="s">
        <v>326</v>
      </c>
      <c r="C31" s="73">
        <v>53.85</v>
      </c>
      <c r="D31" s="73">
        <v>1.73</v>
      </c>
      <c r="E31" s="73">
        <v>78.0</v>
      </c>
      <c r="F31" s="73">
        <v>118.0</v>
      </c>
      <c r="G31" s="73">
        <v>72.0</v>
      </c>
      <c r="H31" s="73" t="s">
        <v>73</v>
      </c>
      <c r="I31" s="73" t="s">
        <v>73</v>
      </c>
      <c r="J31" s="73" t="s">
        <v>73</v>
      </c>
      <c r="K31" s="73" t="s">
        <v>73</v>
      </c>
      <c r="L31" s="73" t="s">
        <v>73</v>
      </c>
      <c r="M31" s="73" t="s">
        <v>73</v>
      </c>
      <c r="N31" s="73" t="s">
        <v>73</v>
      </c>
      <c r="O31" s="73" t="s">
        <v>3040</v>
      </c>
      <c r="P31" s="73" t="s">
        <v>3041</v>
      </c>
      <c r="Q31" s="73" t="s">
        <v>3052</v>
      </c>
      <c r="R31" s="77">
        <f>IFERROR(__xludf.DUMMYFUNCTION("IFERROR(QUERY(Presidente!$A$3:$AD112, ""SELECT AD WHERE A = '"" &amp; $B31 &amp; ""'""),"""")"),628.0)</f>
        <v>628</v>
      </c>
    </row>
    <row r="32">
      <c r="A32" s="72">
        <v>44378.62157891203</v>
      </c>
      <c r="B32" s="73" t="s">
        <v>336</v>
      </c>
      <c r="C32" s="73">
        <v>79.9</v>
      </c>
      <c r="D32" s="73">
        <v>1.74</v>
      </c>
      <c r="E32" s="73">
        <v>84.0</v>
      </c>
      <c r="F32" s="73">
        <v>120.0</v>
      </c>
      <c r="G32" s="73">
        <v>80.0</v>
      </c>
      <c r="H32" s="73" t="s">
        <v>73</v>
      </c>
      <c r="I32" s="73" t="s">
        <v>73</v>
      </c>
      <c r="J32" s="73" t="s">
        <v>73</v>
      </c>
      <c r="K32" s="73" t="s">
        <v>73</v>
      </c>
      <c r="L32" s="73" t="s">
        <v>3080</v>
      </c>
      <c r="M32" s="73" t="s">
        <v>3081</v>
      </c>
      <c r="N32" s="73" t="s">
        <v>3082</v>
      </c>
      <c r="O32" s="73" t="s">
        <v>3040</v>
      </c>
      <c r="P32" s="73" t="s">
        <v>3041</v>
      </c>
      <c r="Q32" s="73" t="s">
        <v>3051</v>
      </c>
      <c r="R32" s="77">
        <f>IFERROR(__xludf.DUMMYFUNCTION("IFERROR(QUERY(Presidente!$A$3:$AD112, ""SELECT AD WHERE A = '"" &amp; $B32 &amp; ""'""),"""")"),629.0)</f>
        <v>629</v>
      </c>
    </row>
    <row r="33">
      <c r="A33" s="72">
        <v>44389.59950315973</v>
      </c>
      <c r="B33" s="73" t="s">
        <v>346</v>
      </c>
      <c r="C33" s="73">
        <v>63.35</v>
      </c>
      <c r="D33" s="73">
        <v>1.78</v>
      </c>
      <c r="E33" s="73">
        <v>80.0</v>
      </c>
      <c r="F33" s="73">
        <v>112.0</v>
      </c>
      <c r="G33" s="73">
        <v>78.0</v>
      </c>
      <c r="H33" s="73" t="s">
        <v>73</v>
      </c>
      <c r="I33" s="73" t="s">
        <v>73</v>
      </c>
      <c r="J33" s="73" t="s">
        <v>73</v>
      </c>
      <c r="K33" s="73" t="s">
        <v>73</v>
      </c>
      <c r="L33" s="73" t="s">
        <v>73</v>
      </c>
      <c r="M33" s="73" t="s">
        <v>73</v>
      </c>
      <c r="N33" s="73" t="s">
        <v>73</v>
      </c>
      <c r="O33" s="73" t="s">
        <v>3040</v>
      </c>
      <c r="P33" s="73" t="s">
        <v>3041</v>
      </c>
      <c r="Q33" s="73" t="s">
        <v>3052</v>
      </c>
      <c r="R33" s="77">
        <f>IFERROR(__xludf.DUMMYFUNCTION("IFERROR(QUERY(Presidente!$A$3:$AD112, ""SELECT AD WHERE A = '"" &amp; $B33 &amp; ""'""),"""")"),630.0)</f>
        <v>630</v>
      </c>
    </row>
    <row r="34">
      <c r="A34" s="72">
        <v>44377.62979841435</v>
      </c>
      <c r="B34" s="73" t="s">
        <v>356</v>
      </c>
      <c r="C34" s="73">
        <v>78.1</v>
      </c>
      <c r="D34" s="73">
        <v>1.75</v>
      </c>
      <c r="E34" s="73">
        <v>87.0</v>
      </c>
      <c r="F34" s="73">
        <v>120.0</v>
      </c>
      <c r="G34" s="73">
        <v>80.0</v>
      </c>
      <c r="H34" s="73" t="s">
        <v>73</v>
      </c>
      <c r="I34" s="73" t="s">
        <v>73</v>
      </c>
      <c r="J34" s="73" t="s">
        <v>73</v>
      </c>
      <c r="K34" s="73" t="s">
        <v>73</v>
      </c>
      <c r="L34" s="73" t="s">
        <v>73</v>
      </c>
      <c r="M34" s="73" t="s">
        <v>73</v>
      </c>
      <c r="N34" s="73" t="s">
        <v>73</v>
      </c>
      <c r="O34" s="73" t="s">
        <v>3040</v>
      </c>
      <c r="P34" s="73" t="s">
        <v>3041</v>
      </c>
      <c r="Q34" s="73" t="s">
        <v>3046</v>
      </c>
      <c r="R34" s="77">
        <f>IFERROR(__xludf.DUMMYFUNCTION("IFERROR(QUERY(Presidente!$A$3:$AD112, ""SELECT AD WHERE A = '"" &amp; $B34 &amp; ""'""),"""")"),631.0)</f>
        <v>631</v>
      </c>
    </row>
    <row r="35">
      <c r="A35" s="72">
        <v>44382.602406631944</v>
      </c>
      <c r="B35" s="73" t="s">
        <v>366</v>
      </c>
      <c r="C35" s="73">
        <v>70.4</v>
      </c>
      <c r="D35" s="73">
        <v>1.74</v>
      </c>
      <c r="E35" s="73">
        <v>75.0</v>
      </c>
      <c r="F35" s="73">
        <v>116.0</v>
      </c>
      <c r="G35" s="73">
        <v>72.0</v>
      </c>
      <c r="H35" s="73" t="s">
        <v>73</v>
      </c>
      <c r="I35" s="73" t="s">
        <v>73</v>
      </c>
      <c r="J35" s="73" t="s">
        <v>73</v>
      </c>
      <c r="K35" s="73" t="s">
        <v>73</v>
      </c>
      <c r="L35" s="73" t="s">
        <v>73</v>
      </c>
      <c r="M35" s="73" t="s">
        <v>73</v>
      </c>
      <c r="N35" s="73" t="s">
        <v>73</v>
      </c>
      <c r="O35" s="73" t="s">
        <v>3083</v>
      </c>
      <c r="P35" s="73" t="s">
        <v>3041</v>
      </c>
      <c r="Q35" s="73" t="s">
        <v>3052</v>
      </c>
      <c r="R35" s="77">
        <f>IFERROR(__xludf.DUMMYFUNCTION("IFERROR(QUERY(Presidente!$A$3:$AD112, ""SELECT AD WHERE A = '"" &amp; $B35 &amp; ""'""),"""")"),632.0)</f>
        <v>632</v>
      </c>
    </row>
    <row r="36">
      <c r="A36" s="72">
        <v>44383.57747363426</v>
      </c>
      <c r="B36" s="73" t="s">
        <v>376</v>
      </c>
      <c r="C36" s="73">
        <v>58.5</v>
      </c>
      <c r="D36" s="73">
        <v>1.73</v>
      </c>
      <c r="E36" s="73">
        <v>75.0</v>
      </c>
      <c r="F36" s="73">
        <v>120.0</v>
      </c>
      <c r="G36" s="73">
        <v>80.0</v>
      </c>
      <c r="H36" s="73" t="s">
        <v>73</v>
      </c>
      <c r="I36" s="73" t="s">
        <v>73</v>
      </c>
      <c r="J36" s="73" t="s">
        <v>73</v>
      </c>
      <c r="K36" s="73" t="s">
        <v>73</v>
      </c>
      <c r="L36" s="73" t="s">
        <v>73</v>
      </c>
      <c r="M36" s="73" t="s">
        <v>73</v>
      </c>
      <c r="N36" s="73" t="s">
        <v>73</v>
      </c>
      <c r="O36" s="73" t="s">
        <v>3040</v>
      </c>
      <c r="P36" s="73" t="s">
        <v>3041</v>
      </c>
      <c r="Q36" s="73" t="s">
        <v>3051</v>
      </c>
      <c r="R36" s="77">
        <f>IFERROR(__xludf.DUMMYFUNCTION("IFERROR(QUERY(Presidente!$A$3:$AD112, ""SELECT AD WHERE A = '"" &amp; $B36 &amp; ""'""),"""")"),633.0)</f>
        <v>633</v>
      </c>
    </row>
    <row r="37">
      <c r="A37" s="72">
        <v>44378.62355438658</v>
      </c>
      <c r="B37" s="73" t="s">
        <v>386</v>
      </c>
      <c r="C37" s="73">
        <v>81.0</v>
      </c>
      <c r="D37" s="73">
        <v>1.77</v>
      </c>
      <c r="E37" s="73">
        <v>80.0</v>
      </c>
      <c r="F37" s="73">
        <v>120.0</v>
      </c>
      <c r="G37" s="73">
        <v>80.0</v>
      </c>
      <c r="H37" s="73" t="s">
        <v>73</v>
      </c>
      <c r="I37" s="73" t="s">
        <v>73</v>
      </c>
      <c r="J37" s="73" t="s">
        <v>73</v>
      </c>
      <c r="K37" s="73" t="s">
        <v>73</v>
      </c>
      <c r="L37" s="73" t="s">
        <v>73</v>
      </c>
      <c r="M37" s="73" t="s">
        <v>73</v>
      </c>
      <c r="N37" s="73" t="s">
        <v>73</v>
      </c>
      <c r="O37" s="73" t="s">
        <v>3040</v>
      </c>
      <c r="P37" s="73" t="s">
        <v>3041</v>
      </c>
      <c r="Q37" s="73" t="s">
        <v>3051</v>
      </c>
      <c r="R37" s="77">
        <f>IFERROR(__xludf.DUMMYFUNCTION("IFERROR(QUERY(Presidente!$A$3:$AD112, ""SELECT AD WHERE A = '"" &amp; $B37 &amp; ""'""),"""")"),634.0)</f>
        <v>634</v>
      </c>
    </row>
    <row r="38">
      <c r="A38" s="72">
        <v>44382.582042256945</v>
      </c>
      <c r="B38" s="73" t="s">
        <v>396</v>
      </c>
      <c r="C38" s="73">
        <v>80.2</v>
      </c>
      <c r="D38" s="73">
        <v>1.75</v>
      </c>
      <c r="E38" s="73">
        <v>90.0</v>
      </c>
      <c r="F38" s="73">
        <v>110.0</v>
      </c>
      <c r="G38" s="73">
        <v>72.0</v>
      </c>
      <c r="H38" s="73" t="s">
        <v>73</v>
      </c>
      <c r="I38" s="73" t="s">
        <v>73</v>
      </c>
      <c r="J38" s="73" t="s">
        <v>73</v>
      </c>
      <c r="K38" s="73" t="s">
        <v>3084</v>
      </c>
      <c r="L38" s="73" t="s">
        <v>73</v>
      </c>
      <c r="M38" s="73" t="s">
        <v>73</v>
      </c>
      <c r="N38" s="73" t="s">
        <v>73</v>
      </c>
      <c r="O38" s="73" t="s">
        <v>3085</v>
      </c>
      <c r="P38" s="73" t="s">
        <v>3041</v>
      </c>
      <c r="Q38" s="73" t="s">
        <v>3052</v>
      </c>
      <c r="R38" s="77">
        <f>IFERROR(__xludf.DUMMYFUNCTION("IFERROR(QUERY(Presidente!$A$3:$AD112, ""SELECT AD WHERE A = '"" &amp; $B38 &amp; ""'""),"""")"),635.0)</f>
        <v>635</v>
      </c>
    </row>
    <row r="39">
      <c r="A39" s="72">
        <v>44391.59264375</v>
      </c>
      <c r="B39" s="73" t="s">
        <v>406</v>
      </c>
      <c r="C39" s="73">
        <v>68.85</v>
      </c>
      <c r="D39" s="73">
        <v>1.66</v>
      </c>
      <c r="E39" s="73">
        <v>76.0</v>
      </c>
      <c r="F39" s="73">
        <v>120.0</v>
      </c>
      <c r="G39" s="73">
        <v>80.0</v>
      </c>
      <c r="H39" s="73" t="s">
        <v>73</v>
      </c>
      <c r="I39" s="73" t="s">
        <v>73</v>
      </c>
      <c r="J39" s="73" t="s">
        <v>73</v>
      </c>
      <c r="K39" s="73" t="s">
        <v>73</v>
      </c>
      <c r="L39" s="73" t="s">
        <v>73</v>
      </c>
      <c r="M39" s="73" t="s">
        <v>73</v>
      </c>
      <c r="N39" s="73" t="s">
        <v>73</v>
      </c>
      <c r="O39" s="73" t="s">
        <v>3050</v>
      </c>
      <c r="P39" s="73" t="s">
        <v>3041</v>
      </c>
      <c r="Q39" s="73" t="s">
        <v>3048</v>
      </c>
      <c r="R39" s="77">
        <f>IFERROR(__xludf.DUMMYFUNCTION("IFERROR(QUERY(Presidente!$A$3:$AD112, ""SELECT AD WHERE A = '"" &amp; $B39 &amp; ""'""),"""")"),636.0)</f>
        <v>636</v>
      </c>
    </row>
    <row r="40">
      <c r="A40" s="72">
        <v>44378.43887537037</v>
      </c>
      <c r="B40" s="73" t="s">
        <v>416</v>
      </c>
      <c r="C40" s="73">
        <v>93.4</v>
      </c>
      <c r="D40" s="73">
        <v>1.83</v>
      </c>
      <c r="E40" s="73">
        <v>98.0</v>
      </c>
      <c r="F40" s="73">
        <v>120.0</v>
      </c>
      <c r="G40" s="73">
        <v>80.0</v>
      </c>
      <c r="H40" s="73" t="s">
        <v>73</v>
      </c>
      <c r="I40" s="73" t="s">
        <v>73</v>
      </c>
      <c r="J40" s="73" t="s">
        <v>73</v>
      </c>
      <c r="K40" s="73" t="s">
        <v>73</v>
      </c>
      <c r="L40" s="73" t="s">
        <v>73</v>
      </c>
      <c r="M40" s="73" t="s">
        <v>73</v>
      </c>
      <c r="N40" s="73" t="s">
        <v>73</v>
      </c>
      <c r="O40" s="73" t="s">
        <v>3040</v>
      </c>
      <c r="P40" s="73" t="s">
        <v>3041</v>
      </c>
      <c r="Q40" s="73" t="s">
        <v>3051</v>
      </c>
      <c r="R40" s="77">
        <f>IFERROR(__xludf.DUMMYFUNCTION("IFERROR(QUERY(Presidente!$A$3:$AD112, ""SELECT AD WHERE A = '"" &amp; $B40 &amp; ""'""),"""")"),637.0)</f>
        <v>637</v>
      </c>
    </row>
    <row r="41">
      <c r="A41" s="72">
        <v>44382.44388125</v>
      </c>
      <c r="B41" s="73" t="s">
        <v>426</v>
      </c>
      <c r="C41" s="73">
        <v>60.3</v>
      </c>
      <c r="D41" s="73">
        <v>1.73</v>
      </c>
      <c r="E41" s="73">
        <v>68.0</v>
      </c>
      <c r="F41" s="73">
        <v>118.0</v>
      </c>
      <c r="G41" s="73">
        <v>72.0</v>
      </c>
      <c r="H41" s="73" t="s">
        <v>73</v>
      </c>
      <c r="I41" s="73" t="s">
        <v>73</v>
      </c>
      <c r="J41" s="73" t="s">
        <v>73</v>
      </c>
      <c r="K41" s="73" t="s">
        <v>73</v>
      </c>
      <c r="L41" s="73" t="s">
        <v>73</v>
      </c>
      <c r="M41" s="73" t="s">
        <v>73</v>
      </c>
      <c r="N41" s="73" t="s">
        <v>73</v>
      </c>
      <c r="O41" s="73" t="s">
        <v>3040</v>
      </c>
      <c r="P41" s="73" t="s">
        <v>3041</v>
      </c>
      <c r="Q41" s="73" t="s">
        <v>3052</v>
      </c>
      <c r="R41" s="77">
        <f>IFERROR(__xludf.DUMMYFUNCTION("IFERROR(QUERY(Presidente!$A$3:$AD112, ""SELECT AD WHERE A = '"" &amp; $B41 &amp; ""'""),"""")"),638.0)</f>
        <v>638</v>
      </c>
    </row>
    <row r="42">
      <c r="A42" s="72">
        <v>44391.57150777778</v>
      </c>
      <c r="B42" s="73" t="s">
        <v>436</v>
      </c>
      <c r="C42" s="73">
        <v>68.0</v>
      </c>
      <c r="D42" s="73">
        <v>1.89</v>
      </c>
      <c r="E42" s="73">
        <v>78.0</v>
      </c>
      <c r="F42" s="73">
        <v>120.0</v>
      </c>
      <c r="G42" s="73">
        <v>80.0</v>
      </c>
      <c r="H42" s="73" t="s">
        <v>73</v>
      </c>
      <c r="I42" s="73" t="s">
        <v>73</v>
      </c>
      <c r="J42" s="73" t="s">
        <v>73</v>
      </c>
      <c r="K42" s="73" t="s">
        <v>73</v>
      </c>
      <c r="L42" s="73" t="s">
        <v>73</v>
      </c>
      <c r="M42" s="73" t="s">
        <v>73</v>
      </c>
      <c r="N42" s="73" t="s">
        <v>73</v>
      </c>
      <c r="O42" s="73" t="s">
        <v>3040</v>
      </c>
      <c r="P42" s="73" t="s">
        <v>3041</v>
      </c>
      <c r="Q42" s="73" t="s">
        <v>3051</v>
      </c>
      <c r="R42" s="77">
        <f>IFERROR(__xludf.DUMMYFUNCTION("IFERROR(QUERY(Presidente!$A$3:$AD112, ""SELECT AD WHERE A = '"" &amp; $B42 &amp; ""'""),"""")"),639.0)</f>
        <v>639</v>
      </c>
    </row>
    <row r="43">
      <c r="A43" s="72">
        <v>44391.43897157407</v>
      </c>
      <c r="B43" s="73" t="s">
        <v>446</v>
      </c>
      <c r="C43" s="73">
        <v>66.75</v>
      </c>
      <c r="D43" s="73">
        <v>1.9</v>
      </c>
      <c r="E43" s="73">
        <v>68.0</v>
      </c>
      <c r="F43" s="73">
        <v>120.0</v>
      </c>
      <c r="G43" s="73">
        <v>80.0</v>
      </c>
      <c r="H43" s="73" t="s">
        <v>73</v>
      </c>
      <c r="I43" s="73" t="s">
        <v>73</v>
      </c>
      <c r="J43" s="73" t="s">
        <v>73</v>
      </c>
      <c r="K43" s="73" t="s">
        <v>73</v>
      </c>
      <c r="L43" s="73" t="s">
        <v>73</v>
      </c>
      <c r="M43" s="73" t="s">
        <v>73</v>
      </c>
      <c r="N43" s="73" t="s">
        <v>73</v>
      </c>
      <c r="O43" s="73" t="s">
        <v>3040</v>
      </c>
      <c r="P43" s="73" t="s">
        <v>3041</v>
      </c>
      <c r="Q43" s="73" t="s">
        <v>3042</v>
      </c>
      <c r="R43" s="77">
        <f>IFERROR(__xludf.DUMMYFUNCTION("IFERROR(QUERY(Presidente!$A$3:$AD112, ""SELECT AD WHERE A = '"" &amp; $B43 &amp; ""'""),"""")"),640.0)</f>
        <v>640</v>
      </c>
    </row>
    <row r="44">
      <c r="A44" s="72">
        <v>44392.605936875</v>
      </c>
      <c r="B44" s="73" t="s">
        <v>456</v>
      </c>
      <c r="C44" s="73">
        <v>67.5</v>
      </c>
      <c r="D44" s="73">
        <v>1.69</v>
      </c>
      <c r="E44" s="73">
        <v>84.0</v>
      </c>
      <c r="F44" s="73">
        <v>110.0</v>
      </c>
      <c r="G44" s="73">
        <v>60.0</v>
      </c>
      <c r="H44" s="73" t="s">
        <v>73</v>
      </c>
      <c r="I44" s="73" t="s">
        <v>73</v>
      </c>
      <c r="J44" s="73" t="s">
        <v>73</v>
      </c>
      <c r="K44" s="73" t="s">
        <v>73</v>
      </c>
      <c r="L44" s="73" t="s">
        <v>73</v>
      </c>
      <c r="M44" s="73" t="s">
        <v>73</v>
      </c>
      <c r="N44" s="73" t="s">
        <v>73</v>
      </c>
      <c r="O44" s="73" t="s">
        <v>3040</v>
      </c>
      <c r="P44" s="73" t="s">
        <v>3057</v>
      </c>
      <c r="Q44" s="73" t="s">
        <v>3042</v>
      </c>
      <c r="R44" s="77">
        <f>IFERROR(__xludf.DUMMYFUNCTION("IFERROR(QUERY(Presidente!$A$3:$AD112, ""SELECT AD WHERE A = '"" &amp; $B44 &amp; ""'""),"""")"),641.0)</f>
        <v>641</v>
      </c>
    </row>
    <row r="45">
      <c r="A45" s="72">
        <v>44378.60313520834</v>
      </c>
      <c r="B45" s="73" t="s">
        <v>466</v>
      </c>
      <c r="C45" s="73">
        <v>88.75</v>
      </c>
      <c r="D45" s="73">
        <v>1.78</v>
      </c>
      <c r="E45" s="73">
        <v>91.0</v>
      </c>
      <c r="F45" s="73">
        <v>120.0</v>
      </c>
      <c r="G45" s="73">
        <v>80.0</v>
      </c>
      <c r="H45" s="73" t="s">
        <v>3086</v>
      </c>
      <c r="I45" s="73" t="s">
        <v>73</v>
      </c>
      <c r="J45" s="73" t="s">
        <v>73</v>
      </c>
      <c r="K45" s="73" t="s">
        <v>73</v>
      </c>
      <c r="L45" s="73" t="s">
        <v>73</v>
      </c>
      <c r="M45" s="73" t="s">
        <v>73</v>
      </c>
      <c r="N45" s="73" t="s">
        <v>73</v>
      </c>
      <c r="O45" s="73" t="s">
        <v>3040</v>
      </c>
      <c r="P45" s="73" t="s">
        <v>3041</v>
      </c>
      <c r="Q45" s="73" t="s">
        <v>3051</v>
      </c>
      <c r="R45" s="77">
        <f>IFERROR(__xludf.DUMMYFUNCTION("IFERROR(QUERY(Presidente!$A$3:$AD112, ""SELECT AD WHERE A = '"" &amp; $B45 &amp; ""'""),"""")"),642.0)</f>
        <v>642</v>
      </c>
    </row>
    <row r="46">
      <c r="A46" s="72">
        <v>44383.588030162035</v>
      </c>
      <c r="B46" s="73" t="s">
        <v>476</v>
      </c>
      <c r="C46" s="73">
        <v>76.7</v>
      </c>
      <c r="D46" s="73">
        <v>1.79</v>
      </c>
      <c r="E46" s="73">
        <v>80.0</v>
      </c>
      <c r="F46" s="73">
        <v>120.0</v>
      </c>
      <c r="G46" s="73">
        <v>80.0</v>
      </c>
      <c r="H46" s="73" t="s">
        <v>73</v>
      </c>
      <c r="I46" s="73" t="s">
        <v>73</v>
      </c>
      <c r="J46" s="73" t="s">
        <v>73</v>
      </c>
      <c r="K46" s="73" t="s">
        <v>73</v>
      </c>
      <c r="L46" s="73" t="s">
        <v>3056</v>
      </c>
      <c r="M46" s="73" t="s">
        <v>73</v>
      </c>
      <c r="N46" s="73" t="s">
        <v>73</v>
      </c>
      <c r="O46" s="73" t="s">
        <v>3040</v>
      </c>
      <c r="P46" s="73" t="s">
        <v>3057</v>
      </c>
      <c r="Q46" s="73" t="s">
        <v>3051</v>
      </c>
      <c r="R46" s="77">
        <f>IFERROR(__xludf.DUMMYFUNCTION("IFERROR(QUERY(Presidente!$A$3:$AD112, ""SELECT AD WHERE A = '"" &amp; $B46 &amp; ""'""),"""")"),643.0)</f>
        <v>643</v>
      </c>
    </row>
    <row r="47">
      <c r="A47" s="72">
        <v>44389.62744532408</v>
      </c>
      <c r="B47" s="73" t="s">
        <v>486</v>
      </c>
      <c r="C47" s="73">
        <v>100.0</v>
      </c>
      <c r="D47" s="73">
        <v>1.8</v>
      </c>
      <c r="E47" s="73">
        <v>85.0</v>
      </c>
      <c r="F47" s="73">
        <v>112.0</v>
      </c>
      <c r="G47" s="73">
        <v>80.0</v>
      </c>
      <c r="H47" s="73" t="s">
        <v>73</v>
      </c>
      <c r="I47" s="73" t="s">
        <v>73</v>
      </c>
      <c r="J47" s="73" t="s">
        <v>73</v>
      </c>
      <c r="K47" s="73" t="s">
        <v>3072</v>
      </c>
      <c r="L47" s="73" t="s">
        <v>73</v>
      </c>
      <c r="M47" s="73" t="s">
        <v>73</v>
      </c>
      <c r="N47" s="73" t="s">
        <v>3087</v>
      </c>
      <c r="O47" s="73" t="s">
        <v>3040</v>
      </c>
      <c r="P47" s="73" t="s">
        <v>3041</v>
      </c>
      <c r="Q47" s="73" t="s">
        <v>3052</v>
      </c>
      <c r="R47" s="77">
        <f>IFERROR(__xludf.DUMMYFUNCTION("IFERROR(QUERY(Presidente!$A$3:$AD112, ""SELECT AD WHERE A = '"" &amp; $B47 &amp; ""'""),"""")"),644.0)</f>
        <v>644</v>
      </c>
    </row>
    <row r="48">
      <c r="A48" s="72">
        <v>44389.62577292824</v>
      </c>
      <c r="B48" s="73" t="s">
        <v>497</v>
      </c>
      <c r="C48" s="73">
        <v>87.0</v>
      </c>
      <c r="D48" s="73">
        <v>1.89</v>
      </c>
      <c r="E48" s="73">
        <v>83.0</v>
      </c>
      <c r="F48" s="73">
        <v>112.0</v>
      </c>
      <c r="G48" s="73">
        <v>80.0</v>
      </c>
      <c r="H48" s="73" t="s">
        <v>73</v>
      </c>
      <c r="I48" s="73" t="s">
        <v>73</v>
      </c>
      <c r="J48" s="73" t="s">
        <v>73</v>
      </c>
      <c r="K48" s="73" t="s">
        <v>73</v>
      </c>
      <c r="L48" s="73" t="s">
        <v>73</v>
      </c>
      <c r="M48" s="73" t="s">
        <v>73</v>
      </c>
      <c r="N48" s="73" t="s">
        <v>73</v>
      </c>
      <c r="O48" s="73" t="s">
        <v>3040</v>
      </c>
      <c r="P48" s="73" t="s">
        <v>3041</v>
      </c>
      <c r="Q48" s="73" t="s">
        <v>3052</v>
      </c>
      <c r="R48" s="77">
        <f>IFERROR(__xludf.DUMMYFUNCTION("IFERROR(QUERY(Presidente!$A$3:$AD112, ""SELECT AD WHERE A = '"" &amp; $B48 &amp; ""'""),"""")"),645.0)</f>
        <v>645</v>
      </c>
    </row>
    <row r="49">
      <c r="A49" s="72">
        <v>44384.62544916666</v>
      </c>
      <c r="B49" s="73" t="s">
        <v>508</v>
      </c>
      <c r="C49" s="73">
        <v>65.0</v>
      </c>
      <c r="D49" s="73">
        <v>1.73</v>
      </c>
      <c r="E49" s="73">
        <v>77.0</v>
      </c>
      <c r="F49" s="73">
        <v>120.0</v>
      </c>
      <c r="G49" s="73">
        <v>80.0</v>
      </c>
      <c r="H49" s="73" t="s">
        <v>73</v>
      </c>
      <c r="I49" s="73" t="s">
        <v>73</v>
      </c>
      <c r="J49" s="73" t="s">
        <v>73</v>
      </c>
      <c r="K49" s="73" t="s">
        <v>73</v>
      </c>
      <c r="L49" s="73" t="s">
        <v>3088</v>
      </c>
      <c r="M49" s="73" t="s">
        <v>73</v>
      </c>
      <c r="N49" s="73" t="s">
        <v>73</v>
      </c>
      <c r="O49" s="73" t="s">
        <v>3089</v>
      </c>
      <c r="P49" s="73" t="s">
        <v>3041</v>
      </c>
      <c r="Q49" s="73" t="s">
        <v>3046</v>
      </c>
      <c r="R49" s="77">
        <f>IFERROR(__xludf.DUMMYFUNCTION("IFERROR(QUERY(Presidente!$A$3:$AD112, ""SELECT AD WHERE A = '"" &amp; $B49 &amp; ""'""),"""")"),646.0)</f>
        <v>646</v>
      </c>
    </row>
    <row r="50">
      <c r="A50" s="72">
        <v>44385.59810474537</v>
      </c>
      <c r="B50" s="73" t="s">
        <v>518</v>
      </c>
      <c r="C50" s="73">
        <v>57.6</v>
      </c>
      <c r="D50" s="73">
        <v>1.83</v>
      </c>
      <c r="E50" s="73">
        <v>68.0</v>
      </c>
      <c r="F50" s="73">
        <v>112.0</v>
      </c>
      <c r="G50" s="73">
        <v>70.0</v>
      </c>
      <c r="H50" s="73" t="s">
        <v>73</v>
      </c>
      <c r="I50" s="73" t="s">
        <v>73</v>
      </c>
      <c r="J50" s="73" t="s">
        <v>73</v>
      </c>
      <c r="K50" s="73" t="s">
        <v>73</v>
      </c>
      <c r="L50" s="73" t="s">
        <v>73</v>
      </c>
      <c r="M50" s="73" t="s">
        <v>73</v>
      </c>
      <c r="N50" s="73" t="s">
        <v>73</v>
      </c>
      <c r="O50" s="73" t="s">
        <v>3040</v>
      </c>
      <c r="P50" s="73" t="s">
        <v>3041</v>
      </c>
      <c r="Q50" s="73" t="s">
        <v>3052</v>
      </c>
      <c r="R50" s="77">
        <f>IFERROR(__xludf.DUMMYFUNCTION("IFERROR(QUERY(Presidente!$A$3:$AD112, ""SELECT AD WHERE A = '"" &amp; $B50 &amp; ""'""),"""")"),647.0)</f>
        <v>647</v>
      </c>
    </row>
    <row r="51">
      <c r="A51" s="72">
        <v>44385.61649494213</v>
      </c>
      <c r="B51" s="73" t="s">
        <v>528</v>
      </c>
      <c r="C51" s="73">
        <v>75.75</v>
      </c>
      <c r="D51" s="73">
        <v>1.88</v>
      </c>
      <c r="E51" s="73">
        <v>84.0</v>
      </c>
      <c r="F51" s="73">
        <v>112.0</v>
      </c>
      <c r="G51" s="73">
        <v>70.0</v>
      </c>
      <c r="H51" s="73" t="s">
        <v>73</v>
      </c>
      <c r="I51" s="73" t="s">
        <v>73</v>
      </c>
      <c r="J51" s="73" t="s">
        <v>73</v>
      </c>
      <c r="K51" s="73" t="s">
        <v>73</v>
      </c>
      <c r="L51" s="73" t="s">
        <v>73</v>
      </c>
      <c r="M51" s="73" t="s">
        <v>73</v>
      </c>
      <c r="N51" s="73" t="s">
        <v>73</v>
      </c>
      <c r="O51" s="73" t="s">
        <v>3040</v>
      </c>
      <c r="P51" s="73" t="s">
        <v>3041</v>
      </c>
      <c r="Q51" s="73" t="s">
        <v>3052</v>
      </c>
      <c r="R51" s="77">
        <f>IFERROR(__xludf.DUMMYFUNCTION("IFERROR(QUERY(Presidente!$A$3:$AD112, ""SELECT AD WHERE A = '"" &amp; $B51 &amp; ""'""),"""")"),648.0)</f>
        <v>648</v>
      </c>
    </row>
    <row r="52">
      <c r="A52" s="72">
        <v>44392.57224336806</v>
      </c>
      <c r="B52" s="73" t="s">
        <v>538</v>
      </c>
      <c r="C52" s="73">
        <v>94.0</v>
      </c>
      <c r="D52" s="73">
        <v>1.96</v>
      </c>
      <c r="E52" s="73">
        <v>80.0</v>
      </c>
      <c r="F52" s="73">
        <v>120.0</v>
      </c>
      <c r="G52" s="73">
        <v>70.0</v>
      </c>
      <c r="H52" s="73" t="s">
        <v>73</v>
      </c>
      <c r="I52" s="73" t="s">
        <v>73</v>
      </c>
      <c r="J52" s="73" t="s">
        <v>73</v>
      </c>
      <c r="K52" s="73" t="s">
        <v>73</v>
      </c>
      <c r="L52" s="73" t="s">
        <v>73</v>
      </c>
      <c r="M52" s="73" t="s">
        <v>73</v>
      </c>
      <c r="N52" s="73" t="s">
        <v>73</v>
      </c>
      <c r="O52" s="73" t="s">
        <v>3040</v>
      </c>
      <c r="P52" s="73" t="s">
        <v>3041</v>
      </c>
      <c r="Q52" s="73" t="s">
        <v>3042</v>
      </c>
      <c r="R52" s="77">
        <f>IFERROR(__xludf.DUMMYFUNCTION("IFERROR(QUERY(Presidente!$A$3:$AD112, ""SELECT AD WHERE A = '"" &amp; $B52 &amp; ""'""),"""")"),649.0)</f>
        <v>649</v>
      </c>
    </row>
    <row r="53">
      <c r="A53" s="72">
        <v>44392.42999159722</v>
      </c>
      <c r="B53" s="73" t="s">
        <v>548</v>
      </c>
      <c r="C53" s="73">
        <v>86.3</v>
      </c>
      <c r="D53" s="73">
        <v>1.75</v>
      </c>
      <c r="E53" s="73">
        <v>92.0</v>
      </c>
      <c r="F53" s="73">
        <v>120.0</v>
      </c>
      <c r="G53" s="73">
        <v>80.0</v>
      </c>
      <c r="H53" s="73" t="s">
        <v>3090</v>
      </c>
      <c r="I53" s="73" t="s">
        <v>73</v>
      </c>
      <c r="J53" s="73" t="s">
        <v>73</v>
      </c>
      <c r="K53" s="73" t="s">
        <v>73</v>
      </c>
      <c r="L53" s="73" t="s">
        <v>73</v>
      </c>
      <c r="M53" s="73" t="s">
        <v>73</v>
      </c>
      <c r="N53" s="73" t="s">
        <v>73</v>
      </c>
      <c r="O53" s="73" t="s">
        <v>3040</v>
      </c>
      <c r="P53" s="73" t="s">
        <v>3057</v>
      </c>
      <c r="Q53" s="73" t="s">
        <v>3051</v>
      </c>
      <c r="R53" s="77">
        <f>IFERROR(__xludf.DUMMYFUNCTION("IFERROR(QUERY(Presidente!$A$3:$AD112, ""SELECT AD WHERE A = '"" &amp; $B53 &amp; ""'""),"""")"),650.0)</f>
        <v>650</v>
      </c>
    </row>
    <row r="54">
      <c r="A54" s="72">
        <v>44383.57513295139</v>
      </c>
      <c r="B54" s="73" t="s">
        <v>558</v>
      </c>
      <c r="C54" s="73">
        <v>83.3</v>
      </c>
      <c r="D54" s="73">
        <v>1.84</v>
      </c>
      <c r="E54" s="73">
        <v>80.0</v>
      </c>
      <c r="F54" s="73">
        <v>120.0</v>
      </c>
      <c r="G54" s="73">
        <v>80.0</v>
      </c>
      <c r="H54" s="73" t="s">
        <v>73</v>
      </c>
      <c r="I54" s="73" t="s">
        <v>3091</v>
      </c>
      <c r="J54" s="73" t="s">
        <v>73</v>
      </c>
      <c r="K54" s="73" t="s">
        <v>73</v>
      </c>
      <c r="L54" s="73" t="s">
        <v>73</v>
      </c>
      <c r="M54" s="73" t="s">
        <v>73</v>
      </c>
      <c r="N54" s="73" t="s">
        <v>73</v>
      </c>
      <c r="O54" s="73" t="s">
        <v>3040</v>
      </c>
      <c r="P54" s="73" t="s">
        <v>3041</v>
      </c>
      <c r="Q54" s="73" t="s">
        <v>3051</v>
      </c>
      <c r="R54" s="77">
        <f>IFERROR(__xludf.DUMMYFUNCTION("IFERROR(QUERY(Presidente!$A$3:$AD112, ""SELECT AD WHERE A = '"" &amp; $B54 &amp; ""'""),"""")"),651.0)</f>
        <v>651</v>
      </c>
    </row>
    <row r="55">
      <c r="A55" s="72">
        <v>44382.593331550925</v>
      </c>
      <c r="B55" s="73" t="s">
        <v>568</v>
      </c>
      <c r="C55" s="73">
        <v>82.15</v>
      </c>
      <c r="D55" s="73">
        <v>1.69</v>
      </c>
      <c r="E55" s="73">
        <v>88.0</v>
      </c>
      <c r="F55" s="73">
        <v>116.0</v>
      </c>
      <c r="G55" s="73">
        <v>72.0</v>
      </c>
      <c r="H55" s="73" t="s">
        <v>73</v>
      </c>
      <c r="I55" s="73" t="s">
        <v>73</v>
      </c>
      <c r="J55" s="73" t="s">
        <v>73</v>
      </c>
      <c r="K55" s="73" t="s">
        <v>73</v>
      </c>
      <c r="L55" s="73" t="s">
        <v>73</v>
      </c>
      <c r="M55" s="73" t="s">
        <v>73</v>
      </c>
      <c r="N55" s="73" t="s">
        <v>73</v>
      </c>
      <c r="O55" s="73" t="s">
        <v>3040</v>
      </c>
      <c r="P55" s="73" t="s">
        <v>3041</v>
      </c>
      <c r="Q55" s="73" t="s">
        <v>3052</v>
      </c>
      <c r="R55" s="77">
        <f>IFERROR(__xludf.DUMMYFUNCTION("IFERROR(QUERY(Presidente!$A$3:$AD112, ""SELECT AD WHERE A = '"" &amp; $B55 &amp; ""'""),"""")"),652.0)</f>
        <v>652</v>
      </c>
    </row>
    <row r="56">
      <c r="A56" s="83">
        <v>44385.457060092594</v>
      </c>
      <c r="B56" s="84" t="s">
        <v>578</v>
      </c>
      <c r="C56" s="85">
        <v>76.8</v>
      </c>
      <c r="D56" s="85">
        <v>1.87</v>
      </c>
      <c r="E56" s="85">
        <v>84.0</v>
      </c>
      <c r="F56" s="85">
        <v>120.0</v>
      </c>
      <c r="G56" s="85">
        <v>80.0</v>
      </c>
      <c r="H56" s="84" t="s">
        <v>73</v>
      </c>
      <c r="I56" s="84" t="s">
        <v>73</v>
      </c>
      <c r="J56" s="84" t="s">
        <v>73</v>
      </c>
      <c r="K56" s="84" t="s">
        <v>73</v>
      </c>
      <c r="L56" s="84" t="s">
        <v>3056</v>
      </c>
      <c r="M56" s="84" t="s">
        <v>73</v>
      </c>
      <c r="N56" s="84" t="s">
        <v>73</v>
      </c>
      <c r="O56" s="84" t="s">
        <v>3040</v>
      </c>
      <c r="P56" s="84" t="s">
        <v>3041</v>
      </c>
      <c r="Q56" s="84" t="s">
        <v>3051</v>
      </c>
      <c r="R56" s="89">
        <f>IFERROR(__xludf.DUMMYFUNCTION("IFERROR(QUERY(Presidente!$A$3:$AD112, ""SELECT AD WHERE A = '"" &amp; $B56 &amp; ""'""),"""")"),653.0)</f>
        <v>653</v>
      </c>
    </row>
    <row r="57">
      <c r="A57" s="72">
        <v>44391.60029847222</v>
      </c>
      <c r="B57" s="73" t="s">
        <v>588</v>
      </c>
      <c r="C57" s="73">
        <v>71.5</v>
      </c>
      <c r="D57" s="73">
        <v>1.68</v>
      </c>
      <c r="E57" s="73">
        <v>76.0</v>
      </c>
      <c r="F57" s="73">
        <v>120.0</v>
      </c>
      <c r="G57" s="73">
        <v>80.0</v>
      </c>
      <c r="H57" s="73" t="s">
        <v>73</v>
      </c>
      <c r="I57" s="73" t="s">
        <v>3092</v>
      </c>
      <c r="J57" s="73" t="s">
        <v>73</v>
      </c>
      <c r="K57" s="73" t="s">
        <v>73</v>
      </c>
      <c r="L57" s="73" t="s">
        <v>73</v>
      </c>
      <c r="M57" s="73" t="s">
        <v>73</v>
      </c>
      <c r="N57" s="73" t="s">
        <v>3093</v>
      </c>
      <c r="O57" s="73" t="s">
        <v>3040</v>
      </c>
      <c r="P57" s="73" t="s">
        <v>3041</v>
      </c>
      <c r="Q57" s="73" t="s">
        <v>3051</v>
      </c>
      <c r="R57" s="77">
        <f>IFERROR(__xludf.DUMMYFUNCTION("IFERROR(QUERY(Presidente!$A$3:$AD112, ""SELECT AD WHERE A = '"" &amp; $B57 &amp; ""'""),"""")"),654.0)</f>
        <v>654</v>
      </c>
    </row>
    <row r="58">
      <c r="A58" s="72">
        <v>44382.427793993054</v>
      </c>
      <c r="B58" s="73" t="s">
        <v>599</v>
      </c>
      <c r="C58" s="73">
        <v>99.3</v>
      </c>
      <c r="D58" s="73">
        <v>1.81</v>
      </c>
      <c r="E58" s="73">
        <v>101.0</v>
      </c>
      <c r="F58" s="73">
        <v>120.0</v>
      </c>
      <c r="G58" s="73">
        <v>80.0</v>
      </c>
      <c r="H58" s="73" t="s">
        <v>73</v>
      </c>
      <c r="I58" s="73" t="s">
        <v>73</v>
      </c>
      <c r="J58" s="73" t="s">
        <v>73</v>
      </c>
      <c r="K58" s="73" t="s">
        <v>73</v>
      </c>
      <c r="L58" s="73" t="s">
        <v>73</v>
      </c>
      <c r="M58" s="73" t="s">
        <v>73</v>
      </c>
      <c r="N58" s="73" t="s">
        <v>73</v>
      </c>
      <c r="O58" s="73" t="s">
        <v>3094</v>
      </c>
      <c r="P58" s="73" t="s">
        <v>3041</v>
      </c>
      <c r="Q58" s="73" t="s">
        <v>3046</v>
      </c>
      <c r="R58" s="77">
        <f>IFERROR(__xludf.DUMMYFUNCTION("IFERROR(QUERY(Presidente!$A$3:$AD112, ""SELECT AD WHERE A = '"" &amp; $B58 &amp; ""'""),"""")"),655.0)</f>
        <v>655</v>
      </c>
    </row>
    <row r="59">
      <c r="A59" s="72">
        <v>44390.6104399537</v>
      </c>
      <c r="B59" s="73" t="s">
        <v>610</v>
      </c>
      <c r="C59" s="73">
        <v>98.8</v>
      </c>
      <c r="D59" s="73">
        <v>1.83</v>
      </c>
      <c r="E59" s="73">
        <v>87.0</v>
      </c>
      <c r="F59" s="73">
        <v>120.0</v>
      </c>
      <c r="G59" s="73">
        <v>80.0</v>
      </c>
      <c r="H59" s="73" t="s">
        <v>73</v>
      </c>
      <c r="I59" s="73" t="s">
        <v>3095</v>
      </c>
      <c r="J59" s="73" t="s">
        <v>73</v>
      </c>
      <c r="K59" s="73" t="s">
        <v>3096</v>
      </c>
      <c r="L59" s="73" t="s">
        <v>73</v>
      </c>
      <c r="M59" s="73" t="s">
        <v>3097</v>
      </c>
      <c r="N59" s="73" t="s">
        <v>73</v>
      </c>
      <c r="O59" s="73" t="s">
        <v>3047</v>
      </c>
      <c r="P59" s="73" t="s">
        <v>3041</v>
      </c>
      <c r="Q59" s="73" t="s">
        <v>3048</v>
      </c>
      <c r="R59" s="77">
        <f>IFERROR(__xludf.DUMMYFUNCTION("IFERROR(QUERY(Presidente!$A$3:$AD112, ""SELECT AD WHERE A = '"" &amp; $B59 &amp; ""'""),"""")"),656.0)</f>
        <v>656</v>
      </c>
    </row>
    <row r="60">
      <c r="A60" s="72">
        <v>44390.439178877314</v>
      </c>
      <c r="B60" s="73" t="s">
        <v>620</v>
      </c>
      <c r="C60" s="73">
        <v>62.5</v>
      </c>
      <c r="D60" s="73">
        <v>1.79</v>
      </c>
      <c r="E60" s="73">
        <v>76.0</v>
      </c>
      <c r="F60" s="73">
        <v>110.0</v>
      </c>
      <c r="G60" s="73">
        <v>70.0</v>
      </c>
      <c r="H60" s="73" t="s">
        <v>73</v>
      </c>
      <c r="I60" s="73" t="s">
        <v>73</v>
      </c>
      <c r="J60" s="73" t="s">
        <v>73</v>
      </c>
      <c r="K60" s="73" t="s">
        <v>3098</v>
      </c>
      <c r="L60" s="73" t="s">
        <v>73</v>
      </c>
      <c r="M60" s="73" t="s">
        <v>73</v>
      </c>
      <c r="N60" s="73" t="s">
        <v>73</v>
      </c>
      <c r="O60" s="73" t="s">
        <v>3099</v>
      </c>
      <c r="P60" s="73" t="s">
        <v>3041</v>
      </c>
      <c r="Q60" s="73" t="s">
        <v>3052</v>
      </c>
      <c r="R60" s="77">
        <f>IFERROR(__xludf.DUMMYFUNCTION("IFERROR(QUERY(Presidente!$A$3:$AD112, ""SELECT AD WHERE A = '"" &amp; $B60 &amp; ""'""),"""")"),657.0)</f>
        <v>657</v>
      </c>
    </row>
    <row r="61">
      <c r="A61" s="72">
        <v>44377.438171539354</v>
      </c>
      <c r="B61" s="73" t="s">
        <v>630</v>
      </c>
      <c r="C61" s="73">
        <v>63.85</v>
      </c>
      <c r="D61" s="73">
        <v>1.82</v>
      </c>
      <c r="E61" s="73">
        <v>76.0</v>
      </c>
      <c r="F61" s="73">
        <v>120.0</v>
      </c>
      <c r="G61" s="73">
        <v>80.0</v>
      </c>
      <c r="H61" s="73" t="s">
        <v>73</v>
      </c>
      <c r="I61" s="73" t="s">
        <v>73</v>
      </c>
      <c r="J61" s="73" t="s">
        <v>73</v>
      </c>
      <c r="K61" s="73" t="s">
        <v>3100</v>
      </c>
      <c r="L61" s="73" t="s">
        <v>73</v>
      </c>
      <c r="M61" s="73" t="s">
        <v>73</v>
      </c>
      <c r="N61" s="73" t="s">
        <v>3101</v>
      </c>
      <c r="O61" s="73" t="s">
        <v>3040</v>
      </c>
      <c r="P61" s="73" t="s">
        <v>3041</v>
      </c>
      <c r="Q61" s="73" t="s">
        <v>3046</v>
      </c>
      <c r="R61" s="77">
        <f>IFERROR(__xludf.DUMMYFUNCTION("IFERROR(QUERY(Presidente!$A$3:$AD112, ""SELECT AD WHERE A = '"" &amp; $B61 &amp; ""'""),"""")"),658.0)</f>
        <v>658</v>
      </c>
    </row>
    <row r="62">
      <c r="A62" s="72">
        <v>44391.58195574074</v>
      </c>
      <c r="B62" s="73" t="s">
        <v>640</v>
      </c>
      <c r="C62" s="73">
        <v>72.85</v>
      </c>
      <c r="D62" s="73">
        <v>1.81</v>
      </c>
      <c r="E62" s="73">
        <v>75.0</v>
      </c>
      <c r="F62" s="73">
        <v>120.0</v>
      </c>
      <c r="G62" s="73">
        <v>80.0</v>
      </c>
      <c r="H62" s="73" t="s">
        <v>73</v>
      </c>
      <c r="I62" s="73" t="s">
        <v>73</v>
      </c>
      <c r="J62" s="73" t="s">
        <v>73</v>
      </c>
      <c r="K62" s="73" t="s">
        <v>73</v>
      </c>
      <c r="L62" s="73" t="s">
        <v>73</v>
      </c>
      <c r="M62" s="73" t="s">
        <v>73</v>
      </c>
      <c r="N62" s="73" t="s">
        <v>73</v>
      </c>
      <c r="O62" s="73" t="s">
        <v>3050</v>
      </c>
      <c r="P62" s="73" t="s">
        <v>3041</v>
      </c>
      <c r="Q62" s="73" t="s">
        <v>3048</v>
      </c>
      <c r="R62" s="77">
        <f>IFERROR(__xludf.DUMMYFUNCTION("IFERROR(QUERY(Presidente!$A$3:$AD112, ""SELECT AD WHERE A = '"" &amp; $B62 &amp; ""'""),"""")"),659.0)</f>
        <v>659</v>
      </c>
    </row>
    <row r="63">
      <c r="A63" s="72">
        <v>44390.57414134259</v>
      </c>
      <c r="B63" s="73" t="s">
        <v>650</v>
      </c>
      <c r="C63" s="73">
        <v>58.6</v>
      </c>
      <c r="D63" s="73">
        <v>1.78</v>
      </c>
      <c r="E63" s="73">
        <v>72.0</v>
      </c>
      <c r="F63" s="73">
        <v>120.0</v>
      </c>
      <c r="G63" s="73">
        <v>80.0</v>
      </c>
      <c r="H63" s="73" t="s">
        <v>73</v>
      </c>
      <c r="I63" s="73" t="s">
        <v>73</v>
      </c>
      <c r="J63" s="73" t="s">
        <v>73</v>
      </c>
      <c r="K63" s="73" t="s">
        <v>73</v>
      </c>
      <c r="L63" s="73" t="s">
        <v>73</v>
      </c>
      <c r="M63" s="73" t="s">
        <v>73</v>
      </c>
      <c r="N63" s="73" t="s">
        <v>73</v>
      </c>
      <c r="O63" s="73" t="s">
        <v>3047</v>
      </c>
      <c r="P63" s="73" t="s">
        <v>3041</v>
      </c>
      <c r="Q63" s="73" t="s">
        <v>3048</v>
      </c>
      <c r="R63" s="77">
        <f>IFERROR(__xludf.DUMMYFUNCTION("IFERROR(QUERY(Presidente!$A$3:$AD112, ""SELECT AD WHERE A = '"" &amp; $B63 &amp; ""'""),"""")"),660.0)</f>
        <v>660</v>
      </c>
    </row>
    <row r="64">
      <c r="A64" s="72">
        <v>44383.440121782405</v>
      </c>
      <c r="B64" s="73" t="s">
        <v>660</v>
      </c>
      <c r="C64" s="73">
        <v>67.1</v>
      </c>
      <c r="D64" s="73">
        <v>1.71</v>
      </c>
      <c r="E64" s="73">
        <v>76.0</v>
      </c>
      <c r="F64" s="73">
        <v>120.0</v>
      </c>
      <c r="G64" s="73">
        <v>80.0</v>
      </c>
      <c r="H64" s="73" t="s">
        <v>73</v>
      </c>
      <c r="I64" s="73" t="s">
        <v>73</v>
      </c>
      <c r="J64" s="73" t="s">
        <v>73</v>
      </c>
      <c r="K64" s="73" t="s">
        <v>3102</v>
      </c>
      <c r="L64" s="73" t="s">
        <v>3103</v>
      </c>
      <c r="M64" s="73" t="s">
        <v>73</v>
      </c>
      <c r="N64" s="73" t="s">
        <v>3104</v>
      </c>
      <c r="O64" s="73" t="s">
        <v>3059</v>
      </c>
      <c r="P64" s="73" t="s">
        <v>3041</v>
      </c>
      <c r="Q64" s="73" t="s">
        <v>3048</v>
      </c>
      <c r="R64" s="77">
        <f>IFERROR(__xludf.DUMMYFUNCTION("IFERROR(QUERY(Presidente!$A$3:$AD112, ""SELECT AD WHERE A = '"" &amp; $B64 &amp; ""'""),"""")"),661.0)</f>
        <v>661</v>
      </c>
    </row>
    <row r="65">
      <c r="A65" s="72">
        <v>44379.400890578705</v>
      </c>
      <c r="B65" s="73" t="s">
        <v>670</v>
      </c>
      <c r="C65" s="73">
        <v>53.0</v>
      </c>
      <c r="D65" s="73">
        <v>1.69</v>
      </c>
      <c r="E65" s="73">
        <v>69.0</v>
      </c>
      <c r="F65" s="73">
        <v>118.0</v>
      </c>
      <c r="G65" s="73">
        <v>70.0</v>
      </c>
      <c r="H65" s="73" t="s">
        <v>73</v>
      </c>
      <c r="I65" s="73" t="s">
        <v>3064</v>
      </c>
      <c r="J65" s="73" t="s">
        <v>73</v>
      </c>
      <c r="K65" s="73" t="s">
        <v>73</v>
      </c>
      <c r="L65" s="73" t="s">
        <v>73</v>
      </c>
      <c r="M65" s="73" t="s">
        <v>73</v>
      </c>
      <c r="N65" s="73" t="s">
        <v>73</v>
      </c>
      <c r="O65" s="73" t="s">
        <v>3040</v>
      </c>
      <c r="P65" s="73" t="s">
        <v>3041</v>
      </c>
      <c r="Q65" s="73" t="s">
        <v>3052</v>
      </c>
      <c r="R65" s="77">
        <f>IFERROR(__xludf.DUMMYFUNCTION("IFERROR(QUERY(Presidente!$A$3:$AD112, ""SELECT AD WHERE A = '"" &amp; $B65 &amp; ""'""),"""")"),662.0)</f>
        <v>662</v>
      </c>
    </row>
    <row r="66">
      <c r="A66" s="72">
        <v>44378.600786932875</v>
      </c>
      <c r="B66" s="73" t="s">
        <v>681</v>
      </c>
      <c r="C66" s="73">
        <v>77.25</v>
      </c>
      <c r="D66" s="73">
        <v>1.73</v>
      </c>
      <c r="E66" s="73">
        <v>87.0</v>
      </c>
      <c r="F66" s="73">
        <v>120.0</v>
      </c>
      <c r="G66" s="73">
        <v>80.0</v>
      </c>
      <c r="H66" s="73" t="s">
        <v>73</v>
      </c>
      <c r="I66" s="73" t="s">
        <v>73</v>
      </c>
      <c r="J66" s="73" t="s">
        <v>73</v>
      </c>
      <c r="K66" s="73" t="s">
        <v>73</v>
      </c>
      <c r="L66" s="73" t="s">
        <v>73</v>
      </c>
      <c r="M66" s="73" t="s">
        <v>73</v>
      </c>
      <c r="N66" s="73" t="s">
        <v>73</v>
      </c>
      <c r="O66" s="73" t="s">
        <v>3040</v>
      </c>
      <c r="P66" s="73" t="s">
        <v>3041</v>
      </c>
      <c r="Q66" s="73" t="s">
        <v>3051</v>
      </c>
      <c r="R66" s="77">
        <f>IFERROR(__xludf.DUMMYFUNCTION("IFERROR(QUERY(Presidente!$A$3:$AD112, ""SELECT AD WHERE A = '"" &amp; $B66 &amp; ""'""),"""")"),663.0)</f>
        <v>663</v>
      </c>
    </row>
    <row r="67">
      <c r="A67" s="72">
        <v>44382.628761053245</v>
      </c>
      <c r="B67" s="73" t="s">
        <v>690</v>
      </c>
      <c r="C67" s="73">
        <v>77.3</v>
      </c>
      <c r="D67" s="73">
        <v>1.77</v>
      </c>
      <c r="E67" s="73">
        <v>85.0</v>
      </c>
      <c r="F67" s="73">
        <v>112.0</v>
      </c>
      <c r="G67" s="73">
        <v>78.0</v>
      </c>
      <c r="H67" s="73" t="s">
        <v>3105</v>
      </c>
      <c r="I67" s="73" t="s">
        <v>73</v>
      </c>
      <c r="J67" s="73" t="s">
        <v>3074</v>
      </c>
      <c r="K67" s="73" t="s">
        <v>73</v>
      </c>
      <c r="L67" s="73" t="s">
        <v>73</v>
      </c>
      <c r="M67" s="73" t="s">
        <v>73</v>
      </c>
      <c r="N67" s="73" t="s">
        <v>73</v>
      </c>
      <c r="O67" s="73" t="s">
        <v>3040</v>
      </c>
      <c r="P67" s="73" t="s">
        <v>3041</v>
      </c>
      <c r="Q67" s="73" t="s">
        <v>3052</v>
      </c>
      <c r="R67" s="77">
        <f>IFERROR(__xludf.DUMMYFUNCTION("IFERROR(QUERY(Presidente!$A$3:$AD112, ""SELECT AD WHERE A = '"" &amp; $B67 &amp; ""'""),"""")"),664.0)</f>
        <v>664</v>
      </c>
    </row>
    <row r="68">
      <c r="A68" s="72">
        <v>44377.43353226852</v>
      </c>
      <c r="B68" s="73" t="s">
        <v>700</v>
      </c>
      <c r="C68" s="73">
        <v>90.0</v>
      </c>
      <c r="D68" s="73">
        <v>1.74</v>
      </c>
      <c r="E68" s="73">
        <v>96.0</v>
      </c>
      <c r="F68" s="73">
        <v>120.0</v>
      </c>
      <c r="G68" s="73">
        <v>80.0</v>
      </c>
      <c r="H68" s="73" t="s">
        <v>73</v>
      </c>
      <c r="I68" s="73" t="s">
        <v>73</v>
      </c>
      <c r="J68" s="73" t="s">
        <v>73</v>
      </c>
      <c r="K68" s="73" t="s">
        <v>73</v>
      </c>
      <c r="L68" s="73" t="s">
        <v>73</v>
      </c>
      <c r="M68" s="73" t="s">
        <v>73</v>
      </c>
      <c r="N68" s="73" t="s">
        <v>73</v>
      </c>
      <c r="O68" s="73" t="s">
        <v>3040</v>
      </c>
      <c r="P68" s="73" t="s">
        <v>3041</v>
      </c>
      <c r="Q68" s="73" t="s">
        <v>3046</v>
      </c>
      <c r="R68" s="77">
        <f>IFERROR(__xludf.DUMMYFUNCTION("IFERROR(QUERY(Presidente!$A$3:$AD112, ""SELECT AD WHERE A = '"" &amp; $B68 &amp; ""'""),"""")"),665.0)</f>
        <v>665</v>
      </c>
    </row>
    <row r="69">
      <c r="A69" s="72">
        <v>44393.369339895835</v>
      </c>
      <c r="B69" s="73" t="s">
        <v>710</v>
      </c>
      <c r="C69" s="73">
        <v>93.4</v>
      </c>
      <c r="D69" s="73">
        <v>1.83</v>
      </c>
      <c r="E69" s="73">
        <v>89.0</v>
      </c>
      <c r="F69" s="73">
        <v>110.0</v>
      </c>
      <c r="G69" s="73">
        <v>80.0</v>
      </c>
      <c r="H69" s="73" t="s">
        <v>73</v>
      </c>
      <c r="I69" s="73" t="s">
        <v>73</v>
      </c>
      <c r="J69" s="73" t="s">
        <v>73</v>
      </c>
      <c r="K69" s="73" t="s">
        <v>73</v>
      </c>
      <c r="L69" s="73" t="s">
        <v>73</v>
      </c>
      <c r="M69" s="73" t="s">
        <v>73</v>
      </c>
      <c r="N69" s="73" t="s">
        <v>73</v>
      </c>
      <c r="O69" s="73" t="s">
        <v>3040</v>
      </c>
      <c r="P69" s="73" t="s">
        <v>3041</v>
      </c>
      <c r="Q69" s="73" t="s">
        <v>3052</v>
      </c>
      <c r="R69" s="77">
        <f>IFERROR(__xludf.DUMMYFUNCTION("IFERROR(QUERY(Presidente!$A$3:$AD112, ""SELECT AD WHERE A = '"" &amp; $B69 &amp; ""'""),"""")"),666.0)</f>
        <v>666</v>
      </c>
    </row>
    <row r="70">
      <c r="A70" s="72">
        <v>44379.36770494213</v>
      </c>
      <c r="B70" s="73" t="s">
        <v>721</v>
      </c>
      <c r="C70" s="73">
        <v>78.5</v>
      </c>
      <c r="D70" s="73">
        <v>1.7</v>
      </c>
      <c r="E70" s="73">
        <v>84.0</v>
      </c>
      <c r="F70" s="73">
        <v>116.0</v>
      </c>
      <c r="G70" s="73">
        <v>72.0</v>
      </c>
      <c r="H70" s="73" t="s">
        <v>73</v>
      </c>
      <c r="I70" s="73" t="s">
        <v>73</v>
      </c>
      <c r="J70" s="73" t="s">
        <v>73</v>
      </c>
      <c r="K70" s="73" t="s">
        <v>73</v>
      </c>
      <c r="L70" s="73" t="s">
        <v>73</v>
      </c>
      <c r="M70" s="73" t="s">
        <v>3106</v>
      </c>
      <c r="N70" s="73" t="s">
        <v>73</v>
      </c>
      <c r="O70" s="73" t="s">
        <v>3040</v>
      </c>
      <c r="P70" s="73" t="s">
        <v>3041</v>
      </c>
      <c r="Q70" s="73" t="s">
        <v>3052</v>
      </c>
      <c r="R70" s="77">
        <f>IFERROR(__xludf.DUMMYFUNCTION("IFERROR(QUERY(Presidente!$A$3:$AD112, ""SELECT AD WHERE A = '"" &amp; $B70 &amp; ""'""),"""")"),667.0)</f>
        <v>667</v>
      </c>
    </row>
    <row r="71">
      <c r="A71" s="72">
        <v>44385.63201398148</v>
      </c>
      <c r="B71" s="73" t="s">
        <v>731</v>
      </c>
      <c r="C71" s="73">
        <v>95.2</v>
      </c>
      <c r="D71" s="73">
        <v>1.82</v>
      </c>
      <c r="E71" s="73">
        <v>106.0</v>
      </c>
      <c r="F71" s="73">
        <v>118.0</v>
      </c>
      <c r="G71" s="73">
        <v>72.0</v>
      </c>
      <c r="H71" s="73" t="s">
        <v>73</v>
      </c>
      <c r="I71" s="73" t="s">
        <v>73</v>
      </c>
      <c r="J71" s="73" t="s">
        <v>73</v>
      </c>
      <c r="K71" s="73" t="s">
        <v>3107</v>
      </c>
      <c r="L71" s="73" t="s">
        <v>73</v>
      </c>
      <c r="M71" s="73" t="s">
        <v>73</v>
      </c>
      <c r="N71" s="73" t="s">
        <v>73</v>
      </c>
      <c r="O71" s="73" t="s">
        <v>3040</v>
      </c>
      <c r="P71" s="73" t="s">
        <v>3041</v>
      </c>
      <c r="Q71" s="73" t="s">
        <v>3052</v>
      </c>
      <c r="R71" s="77">
        <f>IFERROR(__xludf.DUMMYFUNCTION("IFERROR(QUERY(Presidente!$A$3:$AD112, ""SELECT AD WHERE A = '"" &amp; $B71 &amp; ""'""),"""")"),668.0)</f>
        <v>668</v>
      </c>
    </row>
    <row r="72">
      <c r="A72" s="72">
        <v>44382.434786134254</v>
      </c>
      <c r="B72" s="73" t="s">
        <v>742</v>
      </c>
      <c r="C72" s="73">
        <v>76.9</v>
      </c>
      <c r="D72" s="73">
        <v>1.82</v>
      </c>
      <c r="E72" s="73">
        <v>79.0</v>
      </c>
      <c r="F72" s="73">
        <v>120.0</v>
      </c>
      <c r="G72" s="73">
        <v>80.0</v>
      </c>
      <c r="H72" s="73" t="s">
        <v>73</v>
      </c>
      <c r="I72" s="73" t="s">
        <v>73</v>
      </c>
      <c r="J72" s="73" t="s">
        <v>73</v>
      </c>
      <c r="K72" s="73" t="s">
        <v>73</v>
      </c>
      <c r="L72" s="73" t="s">
        <v>73</v>
      </c>
      <c r="M72" s="73" t="s">
        <v>3108</v>
      </c>
      <c r="N72" s="73" t="s">
        <v>73</v>
      </c>
      <c r="O72" s="73" t="s">
        <v>3109</v>
      </c>
      <c r="P72" s="73" t="s">
        <v>3041</v>
      </c>
      <c r="Q72" s="73" t="s">
        <v>3046</v>
      </c>
      <c r="R72" s="77">
        <f>IFERROR(__xludf.DUMMYFUNCTION("IFERROR(QUERY(Presidente!$A$3:$AD112, ""SELECT AD WHERE A = '"" &amp; $B72 &amp; ""'""),"""")"),669.0)</f>
        <v>669</v>
      </c>
    </row>
    <row r="73">
      <c r="A73" s="72">
        <v>44389.58834150463</v>
      </c>
      <c r="B73" s="73" t="s">
        <v>752</v>
      </c>
      <c r="C73" s="73">
        <v>63.05</v>
      </c>
      <c r="D73" s="73">
        <v>1.72</v>
      </c>
      <c r="E73" s="73">
        <v>74.0</v>
      </c>
      <c r="F73" s="73">
        <v>112.0</v>
      </c>
      <c r="G73" s="73">
        <v>80.0</v>
      </c>
      <c r="H73" s="73" t="s">
        <v>73</v>
      </c>
      <c r="I73" s="73" t="s">
        <v>73</v>
      </c>
      <c r="J73" s="73" t="s">
        <v>73</v>
      </c>
      <c r="K73" s="73" t="s">
        <v>3110</v>
      </c>
      <c r="L73" s="73" t="s">
        <v>73</v>
      </c>
      <c r="M73" s="73" t="s">
        <v>73</v>
      </c>
      <c r="N73" s="73" t="s">
        <v>73</v>
      </c>
      <c r="O73" s="73" t="s">
        <v>3040</v>
      </c>
      <c r="P73" s="73" t="s">
        <v>3041</v>
      </c>
      <c r="Q73" s="73" t="s">
        <v>3052</v>
      </c>
      <c r="R73" s="77">
        <f>IFERROR(__xludf.DUMMYFUNCTION("IFERROR(QUERY(Presidente!$A$3:$AD112, ""SELECT AD WHERE A = '"" &amp; $B73 &amp; ""'""),"""")"),670.0)</f>
        <v>670</v>
      </c>
    </row>
    <row r="74">
      <c r="A74" s="72">
        <v>44390.44990365741</v>
      </c>
      <c r="B74" s="73" t="s">
        <v>762</v>
      </c>
      <c r="C74" s="73">
        <v>78.1</v>
      </c>
      <c r="D74" s="73">
        <v>1.82</v>
      </c>
      <c r="E74" s="73">
        <v>83.0</v>
      </c>
      <c r="F74" s="73">
        <v>110.0</v>
      </c>
      <c r="G74" s="73">
        <v>80.0</v>
      </c>
      <c r="H74" s="73" t="s">
        <v>73</v>
      </c>
      <c r="I74" s="73" t="s">
        <v>73</v>
      </c>
      <c r="J74" s="73" t="s">
        <v>73</v>
      </c>
      <c r="K74" s="73" t="s">
        <v>73</v>
      </c>
      <c r="L74" s="73" t="s">
        <v>73</v>
      </c>
      <c r="M74" s="73" t="s">
        <v>73</v>
      </c>
      <c r="N74" s="73" t="s">
        <v>73</v>
      </c>
      <c r="O74" s="73" t="s">
        <v>3040</v>
      </c>
      <c r="P74" s="73" t="s">
        <v>3041</v>
      </c>
      <c r="Q74" s="73" t="s">
        <v>3052</v>
      </c>
      <c r="R74" s="77">
        <f>IFERROR(__xludf.DUMMYFUNCTION("IFERROR(QUERY(Presidente!$A$3:$AD112, ""SELECT AD WHERE A = '"" &amp; $B74 &amp; ""'""),"""")"),671.0)</f>
        <v>671</v>
      </c>
    </row>
    <row r="75">
      <c r="A75" s="72">
        <v>44389.45623283565</v>
      </c>
      <c r="B75" s="73" t="s">
        <v>772</v>
      </c>
      <c r="C75" s="73">
        <v>77.8</v>
      </c>
      <c r="D75" s="73">
        <v>1.75</v>
      </c>
      <c r="E75" s="73">
        <v>90.0</v>
      </c>
      <c r="F75" s="73">
        <v>112.0</v>
      </c>
      <c r="G75" s="73">
        <v>70.0</v>
      </c>
      <c r="H75" s="73" t="s">
        <v>73</v>
      </c>
      <c r="I75" s="73" t="s">
        <v>73</v>
      </c>
      <c r="J75" s="73" t="s">
        <v>73</v>
      </c>
      <c r="K75" s="73" t="s">
        <v>3111</v>
      </c>
      <c r="L75" s="73" t="s">
        <v>73</v>
      </c>
      <c r="M75" s="73" t="s">
        <v>73</v>
      </c>
      <c r="N75" s="73" t="s">
        <v>73</v>
      </c>
      <c r="O75" s="73" t="s">
        <v>3040</v>
      </c>
      <c r="P75" s="73" t="s">
        <v>3041</v>
      </c>
      <c r="Q75" s="73" t="s">
        <v>3052</v>
      </c>
      <c r="R75" s="77">
        <f>IFERROR(__xludf.DUMMYFUNCTION("IFERROR(QUERY(Presidente!$A$3:$AD112, ""SELECT AD WHERE A = '"" &amp; $B75 &amp; ""'""),"""")"),672.0)</f>
        <v>672</v>
      </c>
    </row>
    <row r="76">
      <c r="A76" s="72">
        <v>44393.42131243055</v>
      </c>
      <c r="B76" s="73" t="s">
        <v>782</v>
      </c>
      <c r="C76" s="73">
        <v>81.2</v>
      </c>
      <c r="D76" s="73">
        <v>1.84</v>
      </c>
      <c r="E76" s="73">
        <v>88.0</v>
      </c>
      <c r="F76" s="73">
        <v>120.0</v>
      </c>
      <c r="G76" s="73">
        <v>80.0</v>
      </c>
      <c r="H76" s="73" t="s">
        <v>73</v>
      </c>
      <c r="I76" s="73" t="s">
        <v>73</v>
      </c>
      <c r="J76" s="73" t="s">
        <v>73</v>
      </c>
      <c r="K76" s="73" t="s">
        <v>73</v>
      </c>
      <c r="L76" s="73" t="s">
        <v>73</v>
      </c>
      <c r="M76" s="73" t="s">
        <v>73</v>
      </c>
      <c r="N76" s="73" t="s">
        <v>3112</v>
      </c>
      <c r="O76" s="73" t="s">
        <v>3113</v>
      </c>
      <c r="P76" s="73" t="s">
        <v>3041</v>
      </c>
      <c r="Q76" s="73" t="s">
        <v>3048</v>
      </c>
      <c r="R76" s="77">
        <f>IFERROR(__xludf.DUMMYFUNCTION("IFERROR(QUERY(Presidente!$A$3:$AD112, ""SELECT AD WHERE A = '"" &amp; $B76 &amp; ""'""),"""")"),673.0)</f>
        <v>673</v>
      </c>
    </row>
    <row r="77">
      <c r="A77" s="72">
        <v>44390.590830138884</v>
      </c>
      <c r="B77" s="73" t="s">
        <v>792</v>
      </c>
      <c r="C77" s="73">
        <v>72.65</v>
      </c>
      <c r="D77" s="73">
        <v>1.78</v>
      </c>
      <c r="E77" s="73">
        <v>83.0</v>
      </c>
      <c r="F77" s="73">
        <v>120.0</v>
      </c>
      <c r="G77" s="73">
        <v>80.0</v>
      </c>
      <c r="H77" s="73" t="s">
        <v>73</v>
      </c>
      <c r="I77" s="73" t="s">
        <v>73</v>
      </c>
      <c r="J77" s="73" t="s">
        <v>73</v>
      </c>
      <c r="K77" s="73" t="s">
        <v>73</v>
      </c>
      <c r="L77" s="73" t="s">
        <v>73</v>
      </c>
      <c r="M77" s="73" t="s">
        <v>73</v>
      </c>
      <c r="N77" s="73" t="s">
        <v>3114</v>
      </c>
      <c r="O77" s="73" t="s">
        <v>3115</v>
      </c>
      <c r="P77" s="73" t="s">
        <v>3041</v>
      </c>
      <c r="Q77" s="73" t="s">
        <v>3046</v>
      </c>
      <c r="R77" s="77">
        <f>IFERROR(__xludf.DUMMYFUNCTION("IFERROR(QUERY(Presidente!$A$3:$AD112, ""SELECT AD WHERE A = '"" &amp; $B77 &amp; ""'""),"""")"),674.0)</f>
        <v>674</v>
      </c>
    </row>
    <row r="78">
      <c r="A78" s="72">
        <v>44391.43736166667</v>
      </c>
      <c r="B78" s="73" t="s">
        <v>802</v>
      </c>
      <c r="C78" s="73">
        <v>93.0</v>
      </c>
      <c r="D78" s="73">
        <v>1.8</v>
      </c>
      <c r="E78" s="73">
        <v>90.0</v>
      </c>
      <c r="F78" s="73">
        <v>120.0</v>
      </c>
      <c r="G78" s="73">
        <v>84.0</v>
      </c>
      <c r="H78" s="73" t="s">
        <v>73</v>
      </c>
      <c r="I78" s="73" t="s">
        <v>73</v>
      </c>
      <c r="J78" s="73" t="s">
        <v>73</v>
      </c>
      <c r="K78" s="73" t="s">
        <v>73</v>
      </c>
      <c r="L78" s="73" t="s">
        <v>73</v>
      </c>
      <c r="M78" s="73" t="s">
        <v>73</v>
      </c>
      <c r="N78" s="73" t="s">
        <v>73</v>
      </c>
      <c r="O78" s="73" t="s">
        <v>3040</v>
      </c>
      <c r="P78" s="73" t="s">
        <v>3041</v>
      </c>
      <c r="Q78" s="73" t="s">
        <v>3042</v>
      </c>
      <c r="R78" s="77">
        <f>IFERROR(__xludf.DUMMYFUNCTION("IFERROR(QUERY(Presidente!$A$3:$AD112, ""SELECT AD WHERE A = '"" &amp; $B78 &amp; ""'""),"""")"),675.0)</f>
        <v>675</v>
      </c>
    </row>
    <row r="79">
      <c r="A79" s="72">
        <v>44384.580950069445</v>
      </c>
      <c r="B79" s="73" t="s">
        <v>812</v>
      </c>
      <c r="C79" s="73">
        <v>99.4</v>
      </c>
      <c r="D79" s="73">
        <v>1.79</v>
      </c>
      <c r="E79" s="73">
        <v>105.0</v>
      </c>
      <c r="F79" s="73">
        <v>120.0</v>
      </c>
      <c r="G79" s="73">
        <v>80.0</v>
      </c>
      <c r="H79" s="73" t="s">
        <v>73</v>
      </c>
      <c r="I79" s="73" t="s">
        <v>73</v>
      </c>
      <c r="J79" s="73" t="s">
        <v>73</v>
      </c>
      <c r="K79" s="73" t="s">
        <v>73</v>
      </c>
      <c r="L79" s="73" t="s">
        <v>73</v>
      </c>
      <c r="M79" s="73" t="s">
        <v>73</v>
      </c>
      <c r="N79" s="73" t="s">
        <v>73</v>
      </c>
      <c r="O79" s="73" t="s">
        <v>3094</v>
      </c>
      <c r="P79" s="73" t="s">
        <v>3041</v>
      </c>
      <c r="Q79" s="73" t="s">
        <v>3046</v>
      </c>
      <c r="R79" s="77">
        <f>IFERROR(__xludf.DUMMYFUNCTION("IFERROR(QUERY(Presidente!$A$3:$AD112, ""SELECT AD WHERE A = '"" &amp; $B79 &amp; ""'""),"""")"),676.0)</f>
        <v>676</v>
      </c>
    </row>
    <row r="80">
      <c r="A80" s="72">
        <v>44377.58547232639</v>
      </c>
      <c r="B80" s="73" t="s">
        <v>822</v>
      </c>
      <c r="C80" s="73">
        <v>76.35</v>
      </c>
      <c r="D80" s="73">
        <v>1.7</v>
      </c>
      <c r="E80" s="73">
        <v>82.0</v>
      </c>
      <c r="F80" s="73">
        <v>120.0</v>
      </c>
      <c r="G80" s="73">
        <v>80.0</v>
      </c>
      <c r="H80" s="73" t="s">
        <v>73</v>
      </c>
      <c r="I80" s="73" t="s">
        <v>73</v>
      </c>
      <c r="J80" s="73" t="s">
        <v>73</v>
      </c>
      <c r="K80" s="73" t="s">
        <v>73</v>
      </c>
      <c r="L80" s="73" t="s">
        <v>73</v>
      </c>
      <c r="M80" s="73" t="s">
        <v>73</v>
      </c>
      <c r="N80" s="73" t="s">
        <v>73</v>
      </c>
      <c r="O80" s="73" t="s">
        <v>3040</v>
      </c>
      <c r="P80" s="73" t="s">
        <v>3041</v>
      </c>
      <c r="Q80" s="73" t="s">
        <v>3046</v>
      </c>
      <c r="R80" s="77">
        <f>IFERROR(__xludf.DUMMYFUNCTION("IFERROR(QUERY(Presidente!$A$3:$AD112, ""SELECT AD WHERE A = '"" &amp; $B80 &amp; ""'""),"""")"),677.0)</f>
        <v>677</v>
      </c>
    </row>
    <row r="81">
      <c r="A81" s="72">
        <v>44384.61356886574</v>
      </c>
      <c r="B81" s="73" t="s">
        <v>832</v>
      </c>
      <c r="C81" s="73">
        <v>61.2</v>
      </c>
      <c r="D81" s="73">
        <v>1.73</v>
      </c>
      <c r="E81" s="73">
        <v>77.0</v>
      </c>
      <c r="F81" s="73">
        <v>120.0</v>
      </c>
      <c r="G81" s="73">
        <v>80.0</v>
      </c>
      <c r="H81" s="73" t="s">
        <v>73</v>
      </c>
      <c r="I81" s="73" t="s">
        <v>73</v>
      </c>
      <c r="J81" s="73" t="s">
        <v>73</v>
      </c>
      <c r="K81" s="73" t="s">
        <v>3116</v>
      </c>
      <c r="L81" s="73" t="s">
        <v>73</v>
      </c>
      <c r="M81" s="73" t="s">
        <v>73</v>
      </c>
      <c r="N81" s="73" t="s">
        <v>73</v>
      </c>
      <c r="O81" s="73" t="s">
        <v>3117</v>
      </c>
      <c r="P81" s="73" t="s">
        <v>3041</v>
      </c>
      <c r="Q81" s="73" t="s">
        <v>3046</v>
      </c>
      <c r="R81" s="77">
        <f>IFERROR(__xludf.DUMMYFUNCTION("IFERROR(QUERY(Presidente!$A$3:$AD112, ""SELECT AD WHERE A = '"" &amp; $B81 &amp; ""'""),"""")"),678.0)</f>
        <v>678</v>
      </c>
    </row>
    <row r="82">
      <c r="A82" s="72">
        <v>44392.60937090278</v>
      </c>
      <c r="B82" s="73" t="s">
        <v>842</v>
      </c>
      <c r="C82" s="73">
        <v>92.5</v>
      </c>
      <c r="D82" s="73">
        <v>1.72</v>
      </c>
      <c r="E82" s="73">
        <v>101.0</v>
      </c>
      <c r="F82" s="73">
        <v>110.0</v>
      </c>
      <c r="G82" s="73">
        <v>60.0</v>
      </c>
      <c r="H82" s="73" t="s">
        <v>73</v>
      </c>
      <c r="I82" s="73" t="s">
        <v>73</v>
      </c>
      <c r="J82" s="73" t="s">
        <v>73</v>
      </c>
      <c r="K82" s="73" t="s">
        <v>73</v>
      </c>
      <c r="L82" s="73" t="s">
        <v>73</v>
      </c>
      <c r="M82" s="73" t="s">
        <v>73</v>
      </c>
      <c r="N82" s="73" t="s">
        <v>73</v>
      </c>
      <c r="O82" s="73" t="s">
        <v>3040</v>
      </c>
      <c r="P82" s="73" t="s">
        <v>3041</v>
      </c>
      <c r="Q82" s="73" t="s">
        <v>3042</v>
      </c>
      <c r="R82" s="77">
        <f>IFERROR(__xludf.DUMMYFUNCTION("IFERROR(QUERY(Presidente!$A$3:$AD112, ""SELECT AD WHERE A = '"" &amp; $B82 &amp; ""'""),"""")"),679.0)</f>
        <v>679</v>
      </c>
    </row>
    <row r="83">
      <c r="A83" s="72">
        <v>44392.590145532406</v>
      </c>
      <c r="B83" s="73" t="s">
        <v>853</v>
      </c>
      <c r="C83" s="73">
        <v>80.5</v>
      </c>
      <c r="D83" s="73">
        <v>1.77</v>
      </c>
      <c r="E83" s="73">
        <v>86.0</v>
      </c>
      <c r="F83" s="73">
        <v>110.0</v>
      </c>
      <c r="G83" s="73">
        <v>60.0</v>
      </c>
      <c r="H83" s="73" t="s">
        <v>73</v>
      </c>
      <c r="I83" s="73" t="s">
        <v>73</v>
      </c>
      <c r="J83" s="73" t="s">
        <v>73</v>
      </c>
      <c r="K83" s="73" t="s">
        <v>73</v>
      </c>
      <c r="L83" s="73" t="s">
        <v>73</v>
      </c>
      <c r="M83" s="73" t="s">
        <v>73</v>
      </c>
      <c r="N83" s="73" t="s">
        <v>73</v>
      </c>
      <c r="O83" s="73" t="s">
        <v>3040</v>
      </c>
      <c r="P83" s="73" t="s">
        <v>3041</v>
      </c>
      <c r="Q83" s="73" t="s">
        <v>3042</v>
      </c>
      <c r="R83" s="77">
        <f>IFERROR(__xludf.DUMMYFUNCTION("IFERROR(QUERY(Presidente!$A$3:$AD112, ""SELECT AD WHERE A = '"" &amp; $B83 &amp; ""'""),"""")"),680.0)</f>
        <v>680</v>
      </c>
    </row>
    <row r="84">
      <c r="A84" s="72">
        <v>44393.37230440972</v>
      </c>
      <c r="B84" s="73" t="s">
        <v>863</v>
      </c>
      <c r="C84" s="73">
        <v>65.1</v>
      </c>
      <c r="D84" s="73">
        <v>1.77</v>
      </c>
      <c r="E84" s="73">
        <v>77.0</v>
      </c>
      <c r="F84" s="73">
        <v>112.0</v>
      </c>
      <c r="G84" s="73">
        <v>80.0</v>
      </c>
      <c r="H84" s="73" t="s">
        <v>73</v>
      </c>
      <c r="I84" s="73" t="s">
        <v>73</v>
      </c>
      <c r="J84" s="73" t="s">
        <v>73</v>
      </c>
      <c r="K84" s="73" t="s">
        <v>73</v>
      </c>
      <c r="L84" s="73" t="s">
        <v>73</v>
      </c>
      <c r="M84" s="73" t="s">
        <v>73</v>
      </c>
      <c r="N84" s="73" t="s">
        <v>73</v>
      </c>
      <c r="O84" s="73" t="s">
        <v>3118</v>
      </c>
      <c r="P84" s="73" t="s">
        <v>3041</v>
      </c>
      <c r="Q84" s="73" t="s">
        <v>3052</v>
      </c>
      <c r="R84" s="77">
        <f>IFERROR(__xludf.DUMMYFUNCTION("IFERROR(QUERY(Presidente!$A$3:$AD112, ""SELECT AD WHERE A = '"" &amp; $B84 &amp; ""'""),"""")"),681.0)</f>
        <v>681</v>
      </c>
    </row>
    <row r="85">
      <c r="A85" s="72">
        <v>44382.649663425924</v>
      </c>
      <c r="B85" s="73" t="s">
        <v>873</v>
      </c>
      <c r="C85" s="73">
        <v>65.9</v>
      </c>
      <c r="D85" s="73">
        <v>1.88</v>
      </c>
      <c r="E85" s="73">
        <v>73.0</v>
      </c>
      <c r="F85" s="73">
        <v>110.0</v>
      </c>
      <c r="G85" s="73">
        <v>70.0</v>
      </c>
      <c r="H85" s="73" t="s">
        <v>73</v>
      </c>
      <c r="I85" s="73" t="s">
        <v>73</v>
      </c>
      <c r="J85" s="73" t="s">
        <v>73</v>
      </c>
      <c r="K85" s="73" t="s">
        <v>73</v>
      </c>
      <c r="L85" s="73" t="s">
        <v>73</v>
      </c>
      <c r="M85" s="73" t="s">
        <v>73</v>
      </c>
      <c r="N85" s="73" t="s">
        <v>3119</v>
      </c>
      <c r="O85" s="73" t="s">
        <v>3040</v>
      </c>
      <c r="P85" s="73" t="s">
        <v>3041</v>
      </c>
      <c r="Q85" s="73" t="s">
        <v>3052</v>
      </c>
      <c r="R85" s="77">
        <f>IFERROR(__xludf.DUMMYFUNCTION("IFERROR(QUERY(Presidente!$A$3:$AD112, ""SELECT AD WHERE A = '"" &amp; $B85 &amp; ""'""),"""")"),682.0)</f>
        <v>682</v>
      </c>
    </row>
    <row r="86">
      <c r="A86" s="72">
        <v>44391.57932996527</v>
      </c>
      <c r="B86" s="73" t="s">
        <v>883</v>
      </c>
      <c r="C86" s="73">
        <v>69.2</v>
      </c>
      <c r="D86" s="73">
        <v>1.77</v>
      </c>
      <c r="E86" s="73">
        <v>79.0</v>
      </c>
      <c r="F86" s="73">
        <v>120.0</v>
      </c>
      <c r="G86" s="73">
        <v>80.0</v>
      </c>
      <c r="H86" s="73" t="s">
        <v>73</v>
      </c>
      <c r="I86" s="73" t="s">
        <v>73</v>
      </c>
      <c r="J86" s="73" t="s">
        <v>73</v>
      </c>
      <c r="K86" s="73" t="s">
        <v>73</v>
      </c>
      <c r="L86" s="73" t="s">
        <v>73</v>
      </c>
      <c r="M86" s="73" t="s">
        <v>73</v>
      </c>
      <c r="N86" s="73" t="s">
        <v>73</v>
      </c>
      <c r="O86" s="73" t="s">
        <v>3050</v>
      </c>
      <c r="P86" s="73" t="s">
        <v>3041</v>
      </c>
      <c r="Q86" s="73" t="s">
        <v>3048</v>
      </c>
      <c r="R86" s="77">
        <f>IFERROR(__xludf.DUMMYFUNCTION("IFERROR(QUERY(Presidente!$A$3:$AD112, ""SELECT AD WHERE A = '"" &amp; $B86 &amp; ""'""),"""")"),683.0)</f>
        <v>683</v>
      </c>
    </row>
    <row r="87">
      <c r="A87" s="72">
        <v>44391.59552696759</v>
      </c>
      <c r="B87" s="73" t="s">
        <v>893</v>
      </c>
      <c r="C87" s="73">
        <v>101.3</v>
      </c>
      <c r="D87" s="73">
        <v>1.76</v>
      </c>
      <c r="E87" s="73">
        <v>108.0</v>
      </c>
      <c r="F87" s="73">
        <v>120.0</v>
      </c>
      <c r="G87" s="73">
        <v>80.0</v>
      </c>
      <c r="H87" s="73" t="s">
        <v>73</v>
      </c>
      <c r="I87" s="73" t="s">
        <v>73</v>
      </c>
      <c r="J87" s="73" t="s">
        <v>73</v>
      </c>
      <c r="K87" s="73" t="s">
        <v>73</v>
      </c>
      <c r="L87" s="73" t="s">
        <v>73</v>
      </c>
      <c r="M87" s="73" t="s">
        <v>3120</v>
      </c>
      <c r="N87" s="73" t="s">
        <v>3120</v>
      </c>
      <c r="O87" s="73" t="s">
        <v>3050</v>
      </c>
      <c r="P87" s="73" t="s">
        <v>3041</v>
      </c>
      <c r="Q87" s="73" t="s">
        <v>3048</v>
      </c>
      <c r="R87" s="77">
        <f>IFERROR(__xludf.DUMMYFUNCTION("IFERROR(QUERY(Presidente!$A$3:$AD112, ""SELECT AD WHERE A = '"" &amp; $B87 &amp; ""'""),"""")"),684.0)</f>
        <v>684</v>
      </c>
    </row>
    <row r="88">
      <c r="A88" s="72">
        <v>44390.5695672338</v>
      </c>
      <c r="B88" s="73" t="s">
        <v>902</v>
      </c>
      <c r="C88" s="73">
        <v>76.5</v>
      </c>
      <c r="D88" s="73">
        <v>1.83</v>
      </c>
      <c r="E88" s="73">
        <v>83.0</v>
      </c>
      <c r="F88" s="73">
        <v>120.0</v>
      </c>
      <c r="G88" s="73">
        <v>80.0</v>
      </c>
      <c r="H88" s="73" t="s">
        <v>73</v>
      </c>
      <c r="I88" s="73" t="s">
        <v>73</v>
      </c>
      <c r="J88" s="73" t="s">
        <v>73</v>
      </c>
      <c r="K88" s="73" t="s">
        <v>73</v>
      </c>
      <c r="L88" s="73" t="s">
        <v>73</v>
      </c>
      <c r="M88" s="73" t="s">
        <v>73</v>
      </c>
      <c r="N88" s="73" t="s">
        <v>73</v>
      </c>
      <c r="O88" s="73" t="s">
        <v>3115</v>
      </c>
      <c r="P88" s="73" t="s">
        <v>3041</v>
      </c>
      <c r="Q88" s="73" t="s">
        <v>3046</v>
      </c>
      <c r="R88" s="77">
        <f>IFERROR(__xludf.DUMMYFUNCTION("IFERROR(QUERY(Presidente!$A$3:$AD112, ""SELECT AD WHERE A = '"" &amp; $B88 &amp; ""'""),"""")"),685.0)</f>
        <v>685</v>
      </c>
    </row>
    <row r="89">
      <c r="A89" s="72">
        <v>44378.451349386574</v>
      </c>
      <c r="B89" s="73" t="s">
        <v>912</v>
      </c>
      <c r="C89" s="73">
        <v>90.35</v>
      </c>
      <c r="D89" s="73">
        <v>1.81</v>
      </c>
      <c r="E89" s="73">
        <v>88.0</v>
      </c>
      <c r="F89" s="73">
        <v>120.0</v>
      </c>
      <c r="G89" s="73">
        <v>80.0</v>
      </c>
      <c r="H89" s="73" t="s">
        <v>73</v>
      </c>
      <c r="I89" s="73" t="s">
        <v>73</v>
      </c>
      <c r="J89" s="73" t="s">
        <v>73</v>
      </c>
      <c r="K89" s="73" t="s">
        <v>73</v>
      </c>
      <c r="L89" s="73" t="s">
        <v>73</v>
      </c>
      <c r="M89" s="73" t="s">
        <v>73</v>
      </c>
      <c r="N89" s="73" t="s">
        <v>73</v>
      </c>
      <c r="O89" s="73" t="s">
        <v>3047</v>
      </c>
      <c r="P89" s="73" t="s">
        <v>3041</v>
      </c>
      <c r="Q89" s="73" t="s">
        <v>3048</v>
      </c>
      <c r="R89" s="77">
        <f>IFERROR(__xludf.DUMMYFUNCTION("IFERROR(QUERY(Presidente!$A$3:$AD112, ""SELECT AD WHERE A = '"" &amp; $B89 &amp; ""'""),"""")"),686.0)</f>
        <v>686</v>
      </c>
    </row>
    <row r="90">
      <c r="A90" s="72">
        <v>44377.58860534722</v>
      </c>
      <c r="B90" s="73" t="s">
        <v>921</v>
      </c>
      <c r="C90" s="73">
        <v>83.0</v>
      </c>
      <c r="D90" s="73">
        <v>1.63</v>
      </c>
      <c r="E90" s="73">
        <v>90.0</v>
      </c>
      <c r="F90" s="73">
        <v>120.0</v>
      </c>
      <c r="G90" s="73">
        <v>80.0</v>
      </c>
      <c r="H90" s="73" t="s">
        <v>73</v>
      </c>
      <c r="I90" s="73" t="s">
        <v>73</v>
      </c>
      <c r="J90" s="73" t="s">
        <v>73</v>
      </c>
      <c r="K90" s="73" t="s">
        <v>73</v>
      </c>
      <c r="L90" s="73" t="s">
        <v>3121</v>
      </c>
      <c r="M90" s="73" t="s">
        <v>3122</v>
      </c>
      <c r="N90" s="73" t="s">
        <v>73</v>
      </c>
      <c r="O90" s="73" t="s">
        <v>3040</v>
      </c>
      <c r="P90" s="73" t="s">
        <v>3041</v>
      </c>
      <c r="Q90" s="73" t="s">
        <v>3046</v>
      </c>
      <c r="R90" s="77">
        <f>IFERROR(__xludf.DUMMYFUNCTION("IFERROR(QUERY(Presidente!$A$3:$AD112, ""SELECT AD WHERE A = '"" &amp; $B90 &amp; ""'""),"""")"),687.0)</f>
        <v>687</v>
      </c>
    </row>
    <row r="91">
      <c r="A91" s="72">
        <v>44382.43804868056</v>
      </c>
      <c r="B91" s="73" t="s">
        <v>931</v>
      </c>
      <c r="C91" s="73">
        <v>68.3</v>
      </c>
      <c r="D91" s="73">
        <v>1.79</v>
      </c>
      <c r="E91" s="73">
        <v>83.0</v>
      </c>
      <c r="F91" s="73">
        <v>120.0</v>
      </c>
      <c r="G91" s="73">
        <v>80.0</v>
      </c>
      <c r="H91" s="73" t="s">
        <v>73</v>
      </c>
      <c r="I91" s="73" t="s">
        <v>3123</v>
      </c>
      <c r="J91" s="73" t="s">
        <v>73</v>
      </c>
      <c r="K91" s="73" t="s">
        <v>3124</v>
      </c>
      <c r="L91" s="73" t="s">
        <v>73</v>
      </c>
      <c r="M91" s="73" t="s">
        <v>73</v>
      </c>
      <c r="N91" s="73" t="s">
        <v>73</v>
      </c>
      <c r="O91" s="73" t="s">
        <v>3125</v>
      </c>
      <c r="P91" s="73" t="s">
        <v>3041</v>
      </c>
      <c r="Q91" s="73" t="s">
        <v>3046</v>
      </c>
      <c r="R91" s="77">
        <f>IFERROR(__xludf.DUMMYFUNCTION("IFERROR(QUERY(Presidente!$A$3:$AD112, ""SELECT AD WHERE A = '"" &amp; $B91 &amp; ""'""),"""")"),688.0)</f>
        <v>688</v>
      </c>
    </row>
    <row r="92">
      <c r="A92" s="72">
        <v>44384.60670606482</v>
      </c>
      <c r="B92" s="73" t="s">
        <v>942</v>
      </c>
      <c r="C92" s="73">
        <v>94.5</v>
      </c>
      <c r="D92" s="73">
        <v>1.75</v>
      </c>
      <c r="E92" s="73">
        <v>105.0</v>
      </c>
      <c r="F92" s="73">
        <v>120.0</v>
      </c>
      <c r="G92" s="73">
        <v>80.0</v>
      </c>
      <c r="H92" s="73" t="s">
        <v>73</v>
      </c>
      <c r="I92" s="73" t="s">
        <v>73</v>
      </c>
      <c r="J92" s="73" t="s">
        <v>73</v>
      </c>
      <c r="K92" s="73" t="s">
        <v>73</v>
      </c>
      <c r="L92" s="73" t="s">
        <v>3126</v>
      </c>
      <c r="M92" s="73" t="s">
        <v>73</v>
      </c>
      <c r="N92" s="73" t="s">
        <v>3127</v>
      </c>
      <c r="O92" s="73" t="s">
        <v>3128</v>
      </c>
      <c r="P92" s="73" t="s">
        <v>3041</v>
      </c>
      <c r="Q92" s="73" t="s">
        <v>3046</v>
      </c>
      <c r="R92" s="77">
        <f>IFERROR(__xludf.DUMMYFUNCTION("IFERROR(QUERY(Presidente!$A$3:$AD112, ""SELECT AD WHERE A = '"" &amp; $B92 &amp; ""'""),"""")"),689.0)</f>
        <v>689</v>
      </c>
    </row>
    <row r="93">
      <c r="A93" s="72">
        <v>44377.60818278935</v>
      </c>
      <c r="B93" s="73" t="s">
        <v>954</v>
      </c>
      <c r="C93" s="73">
        <v>72.75</v>
      </c>
      <c r="D93" s="73">
        <v>1.76</v>
      </c>
      <c r="E93" s="73">
        <v>79.0</v>
      </c>
      <c r="F93" s="73">
        <v>120.0</v>
      </c>
      <c r="G93" s="73">
        <v>80.0</v>
      </c>
      <c r="H93" s="73" t="s">
        <v>73</v>
      </c>
      <c r="I93" s="73" t="s">
        <v>73</v>
      </c>
      <c r="J93" s="73" t="s">
        <v>73</v>
      </c>
      <c r="K93" s="73" t="s">
        <v>73</v>
      </c>
      <c r="L93" s="73" t="s">
        <v>73</v>
      </c>
      <c r="M93" s="73" t="s">
        <v>73</v>
      </c>
      <c r="N93" s="73" t="s">
        <v>73</v>
      </c>
      <c r="O93" s="73" t="s">
        <v>3129</v>
      </c>
      <c r="P93" s="73" t="s">
        <v>3041</v>
      </c>
      <c r="Q93" s="73" t="s">
        <v>3046</v>
      </c>
      <c r="R93" s="77">
        <f>IFERROR(__xludf.DUMMYFUNCTION("IFERROR(QUERY(Presidente!$A$3:$AD112, ""SELECT AD WHERE A = '"" &amp; $B93 &amp; ""'""),"""")"),690.0)</f>
        <v>690</v>
      </c>
    </row>
    <row r="94">
      <c r="A94" s="72">
        <v>44382.64564855324</v>
      </c>
      <c r="B94" s="73" t="s">
        <v>964</v>
      </c>
      <c r="C94" s="73">
        <v>67.8</v>
      </c>
      <c r="D94" s="73">
        <v>1.69</v>
      </c>
      <c r="E94" s="73">
        <v>77.0</v>
      </c>
      <c r="F94" s="73">
        <v>112.0</v>
      </c>
      <c r="G94" s="73">
        <v>70.0</v>
      </c>
      <c r="H94" s="73" t="s">
        <v>3105</v>
      </c>
      <c r="I94" s="73" t="s">
        <v>73</v>
      </c>
      <c r="J94" s="73" t="s">
        <v>73</v>
      </c>
      <c r="K94" s="73" t="s">
        <v>73</v>
      </c>
      <c r="L94" s="73" t="s">
        <v>73</v>
      </c>
      <c r="M94" s="73" t="s">
        <v>73</v>
      </c>
      <c r="N94" s="73" t="s">
        <v>73</v>
      </c>
      <c r="O94" s="73" t="s">
        <v>3040</v>
      </c>
      <c r="P94" s="73" t="s">
        <v>3041</v>
      </c>
      <c r="Q94" s="73" t="s">
        <v>3052</v>
      </c>
      <c r="R94" s="77">
        <f>IFERROR(__xludf.DUMMYFUNCTION("IFERROR(QUERY(Presidente!$A$3:$AD112, ""SELECT AD WHERE A = '"" &amp; $B94 &amp; ""'""),"""")"),691.0)</f>
        <v>691</v>
      </c>
    </row>
    <row r="95">
      <c r="A95" s="72">
        <v>44389.585085405095</v>
      </c>
      <c r="B95" s="73" t="s">
        <v>974</v>
      </c>
      <c r="C95" s="73">
        <v>77.45</v>
      </c>
      <c r="D95" s="73">
        <v>1.85</v>
      </c>
      <c r="E95" s="73">
        <v>80.0</v>
      </c>
      <c r="F95" s="73">
        <v>112.0</v>
      </c>
      <c r="G95" s="73">
        <v>70.0</v>
      </c>
      <c r="H95" s="73" t="s">
        <v>73</v>
      </c>
      <c r="I95" s="73" t="s">
        <v>73</v>
      </c>
      <c r="J95" s="73" t="s">
        <v>73</v>
      </c>
      <c r="K95" s="73" t="s">
        <v>73</v>
      </c>
      <c r="L95" s="73" t="s">
        <v>73</v>
      </c>
      <c r="M95" s="73" t="s">
        <v>73</v>
      </c>
      <c r="N95" s="73" t="s">
        <v>73</v>
      </c>
      <c r="O95" s="73" t="s">
        <v>3040</v>
      </c>
      <c r="P95" s="73" t="s">
        <v>3041</v>
      </c>
      <c r="Q95" s="73" t="s">
        <v>3052</v>
      </c>
      <c r="R95" s="77">
        <f>IFERROR(__xludf.DUMMYFUNCTION("IFERROR(QUERY(Presidente!$A$3:$AD112, ""SELECT AD WHERE A = '"" &amp; $B95 &amp; ""'""),"""")"),692.0)</f>
        <v>692</v>
      </c>
    </row>
    <row r="96">
      <c r="A96" s="72">
        <v>44389.58646774305</v>
      </c>
      <c r="B96" s="73" t="s">
        <v>984</v>
      </c>
      <c r="C96" s="73">
        <v>72.35</v>
      </c>
      <c r="D96" s="73">
        <v>1.85</v>
      </c>
      <c r="E96" s="73">
        <v>80.0</v>
      </c>
      <c r="F96" s="73">
        <v>110.0</v>
      </c>
      <c r="G96" s="73">
        <v>70.0</v>
      </c>
      <c r="H96" s="73" t="s">
        <v>73</v>
      </c>
      <c r="I96" s="73" t="s">
        <v>73</v>
      </c>
      <c r="J96" s="73" t="s">
        <v>73</v>
      </c>
      <c r="K96" s="73" t="s">
        <v>3107</v>
      </c>
      <c r="L96" s="73" t="s">
        <v>73</v>
      </c>
      <c r="M96" s="73" t="s">
        <v>73</v>
      </c>
      <c r="N96" s="73" t="s">
        <v>73</v>
      </c>
      <c r="O96" s="73" t="s">
        <v>3040</v>
      </c>
      <c r="P96" s="73" t="s">
        <v>3041</v>
      </c>
      <c r="Q96" s="73" t="s">
        <v>3052</v>
      </c>
      <c r="R96" s="77">
        <f>IFERROR(__xludf.DUMMYFUNCTION("IFERROR(QUERY(Presidente!$A$3:$AD112, ""SELECT AD WHERE A = '"" &amp; $B96 &amp; ""'""),"""")"),693.0)</f>
        <v>693</v>
      </c>
    </row>
    <row r="97">
      <c r="A97" s="72">
        <v>44391.44702689815</v>
      </c>
      <c r="B97" s="73" t="s">
        <v>994</v>
      </c>
      <c r="C97" s="73">
        <v>92.9</v>
      </c>
      <c r="D97" s="73">
        <v>1.8</v>
      </c>
      <c r="E97" s="73">
        <v>96.0</v>
      </c>
      <c r="F97" s="73">
        <v>110.0</v>
      </c>
      <c r="G97" s="73">
        <v>70.0</v>
      </c>
      <c r="H97" s="73" t="s">
        <v>73</v>
      </c>
      <c r="I97" s="73" t="s">
        <v>73</v>
      </c>
      <c r="J97" s="73" t="s">
        <v>73</v>
      </c>
      <c r="K97" s="73" t="s">
        <v>3102</v>
      </c>
      <c r="L97" s="73" t="s">
        <v>73</v>
      </c>
      <c r="M97" s="73" t="s">
        <v>73</v>
      </c>
      <c r="N97" s="73" t="s">
        <v>73</v>
      </c>
      <c r="O97" s="73" t="s">
        <v>3040</v>
      </c>
      <c r="P97" s="73" t="s">
        <v>3041</v>
      </c>
      <c r="Q97" s="73" t="s">
        <v>3042</v>
      </c>
      <c r="R97" s="77">
        <f>IFERROR(__xludf.DUMMYFUNCTION("IFERROR(QUERY(Presidente!$A$3:$AD112, ""SELECT AD WHERE A = '"" &amp; $B97 &amp; ""'""),"""")"),694.0)</f>
        <v>694</v>
      </c>
    </row>
    <row r="98">
      <c r="A98" s="72">
        <v>44377.435217997685</v>
      </c>
      <c r="B98" s="73" t="s">
        <v>1005</v>
      </c>
      <c r="C98" s="73">
        <v>90.6</v>
      </c>
      <c r="D98" s="73">
        <v>1.78</v>
      </c>
      <c r="E98" s="73">
        <v>93.0</v>
      </c>
      <c r="F98" s="73">
        <v>118.0</v>
      </c>
      <c r="G98" s="73">
        <v>72.0</v>
      </c>
      <c r="H98" s="73" t="s">
        <v>73</v>
      </c>
      <c r="I98" s="73" t="s">
        <v>73</v>
      </c>
      <c r="J98" s="73" t="s">
        <v>73</v>
      </c>
      <c r="K98" s="73" t="s">
        <v>73</v>
      </c>
      <c r="L98" s="73" t="s">
        <v>73</v>
      </c>
      <c r="M98" s="73" t="s">
        <v>73</v>
      </c>
      <c r="N98" s="73" t="s">
        <v>3130</v>
      </c>
      <c r="O98" s="73" t="s">
        <v>3040</v>
      </c>
      <c r="P98" s="73" t="s">
        <v>3041</v>
      </c>
      <c r="Q98" s="73" t="s">
        <v>3052</v>
      </c>
      <c r="R98" s="77">
        <f>IFERROR(__xludf.DUMMYFUNCTION("IFERROR(QUERY(Presidente!$A$3:$AD112, ""SELECT AD WHERE A = '"" &amp; $B98 &amp; ""'""),"""")"),695.0)</f>
        <v>695</v>
      </c>
    </row>
    <row r="99">
      <c r="A99" s="72">
        <v>44390.56347760417</v>
      </c>
      <c r="B99" s="73" t="s">
        <v>1015</v>
      </c>
      <c r="C99" s="73">
        <v>64.55</v>
      </c>
      <c r="D99" s="73">
        <v>1.77</v>
      </c>
      <c r="E99" s="73">
        <v>77.0</v>
      </c>
      <c r="F99" s="73">
        <v>120.0</v>
      </c>
      <c r="G99" s="73">
        <v>80.0</v>
      </c>
      <c r="H99" s="73" t="s">
        <v>73</v>
      </c>
      <c r="I99" s="73" t="s">
        <v>73</v>
      </c>
      <c r="J99" s="73" t="s">
        <v>73</v>
      </c>
      <c r="K99" s="73" t="s">
        <v>73</v>
      </c>
      <c r="L99" s="73" t="s">
        <v>73</v>
      </c>
      <c r="M99" s="73" t="s">
        <v>3131</v>
      </c>
      <c r="N99" s="73" t="s">
        <v>73</v>
      </c>
      <c r="O99" s="73" t="s">
        <v>3115</v>
      </c>
      <c r="P99" s="73" t="s">
        <v>3041</v>
      </c>
      <c r="Q99" s="73" t="s">
        <v>3046</v>
      </c>
      <c r="R99" s="77">
        <f>IFERROR(__xludf.DUMMYFUNCTION("IFERROR(QUERY(Presidente!$A$3:$AD112, ""SELECT AD WHERE A = '"" &amp; $B99 &amp; ""'""),"""")"),696.0)</f>
        <v>696</v>
      </c>
    </row>
    <row r="100">
      <c r="A100" s="72">
        <v>44383.42248979167</v>
      </c>
      <c r="B100" s="73" t="s">
        <v>1026</v>
      </c>
      <c r="C100" s="73">
        <v>58.75</v>
      </c>
      <c r="D100" s="73">
        <v>1.77</v>
      </c>
      <c r="E100" s="73">
        <v>73.0</v>
      </c>
      <c r="F100" s="73">
        <v>120.0</v>
      </c>
      <c r="G100" s="73">
        <v>80.0</v>
      </c>
      <c r="H100" s="73" t="s">
        <v>73</v>
      </c>
      <c r="I100" s="73" t="s">
        <v>73</v>
      </c>
      <c r="J100" s="73" t="s">
        <v>73</v>
      </c>
      <c r="K100" s="73" t="s">
        <v>73</v>
      </c>
      <c r="L100" s="73" t="s">
        <v>73</v>
      </c>
      <c r="M100" s="73" t="s">
        <v>73</v>
      </c>
      <c r="N100" s="73" t="s">
        <v>73</v>
      </c>
      <c r="O100" s="73" t="s">
        <v>3132</v>
      </c>
      <c r="P100" s="73" t="s">
        <v>3041</v>
      </c>
      <c r="Q100" s="73" t="s">
        <v>3048</v>
      </c>
      <c r="R100" s="77">
        <f>IFERROR(__xludf.DUMMYFUNCTION("IFERROR(QUERY(Presidente!$A$3:$AD112, ""SELECT AD WHERE A = '"" &amp; $B100 &amp; ""'""),"""")"),697.0)</f>
        <v>697</v>
      </c>
    </row>
    <row r="101">
      <c r="A101" s="72">
        <v>44377.62752693287</v>
      </c>
      <c r="B101" s="73" t="s">
        <v>1035</v>
      </c>
      <c r="C101" s="73">
        <v>70.3</v>
      </c>
      <c r="D101" s="73">
        <v>1.7</v>
      </c>
      <c r="E101" s="73">
        <v>83.0</v>
      </c>
      <c r="F101" s="73">
        <v>120.0</v>
      </c>
      <c r="G101" s="73">
        <v>80.0</v>
      </c>
      <c r="H101" s="73" t="s">
        <v>73</v>
      </c>
      <c r="I101" s="73" t="s">
        <v>73</v>
      </c>
      <c r="J101" s="73" t="s">
        <v>73</v>
      </c>
      <c r="K101" s="73" t="s">
        <v>73</v>
      </c>
      <c r="L101" s="73" t="s">
        <v>73</v>
      </c>
      <c r="M101" s="73" t="s">
        <v>3133</v>
      </c>
      <c r="N101" s="73" t="s">
        <v>3134</v>
      </c>
      <c r="O101" s="73" t="s">
        <v>3040</v>
      </c>
      <c r="P101" s="73" t="s">
        <v>3041</v>
      </c>
      <c r="Q101" s="73" t="s">
        <v>3046</v>
      </c>
      <c r="R101" s="77">
        <f>IFERROR(__xludf.DUMMYFUNCTION("IFERROR(QUERY(Presidente!$A$3:$AD112, ""SELECT AD WHERE A = '"" &amp; $B101 &amp; ""'""),"""")"),698.0)</f>
        <v>698</v>
      </c>
    </row>
    <row r="102">
      <c r="A102" s="72">
        <v>44384.61569643518</v>
      </c>
      <c r="B102" s="73" t="s">
        <v>1045</v>
      </c>
      <c r="C102" s="73">
        <v>75.75</v>
      </c>
      <c r="D102" s="73">
        <v>1.88</v>
      </c>
      <c r="E102" s="73">
        <v>89.0</v>
      </c>
      <c r="F102" s="73">
        <v>120.0</v>
      </c>
      <c r="G102" s="73">
        <v>80.0</v>
      </c>
      <c r="H102" s="73" t="s">
        <v>73</v>
      </c>
      <c r="I102" s="73" t="s">
        <v>3135</v>
      </c>
      <c r="J102" s="73" t="s">
        <v>73</v>
      </c>
      <c r="K102" s="73" t="s">
        <v>73</v>
      </c>
      <c r="L102" s="73" t="s">
        <v>73</v>
      </c>
      <c r="M102" s="73" t="s">
        <v>73</v>
      </c>
      <c r="N102" s="73" t="s">
        <v>73</v>
      </c>
      <c r="O102" s="73" t="s">
        <v>3089</v>
      </c>
      <c r="P102" s="73" t="s">
        <v>3041</v>
      </c>
      <c r="Q102" s="73" t="s">
        <v>3046</v>
      </c>
      <c r="R102" s="77">
        <f>IFERROR(__xludf.DUMMYFUNCTION("IFERROR(QUERY(Presidente!$A$3:$AD112, ""SELECT AD WHERE A = '"" &amp; $B102 &amp; ""'""),"""")"),699.0)</f>
        <v>699</v>
      </c>
    </row>
    <row r="103">
      <c r="A103" s="72">
        <v>44382.58945804398</v>
      </c>
      <c r="B103" s="73" t="s">
        <v>1055</v>
      </c>
      <c r="C103" s="73">
        <v>66.8</v>
      </c>
      <c r="D103" s="73">
        <v>1.82</v>
      </c>
      <c r="E103" s="73">
        <v>70.0</v>
      </c>
      <c r="F103" s="73">
        <v>116.0</v>
      </c>
      <c r="G103" s="73">
        <v>72.0</v>
      </c>
      <c r="H103" s="73" t="s">
        <v>73</v>
      </c>
      <c r="I103" s="73" t="s">
        <v>73</v>
      </c>
      <c r="J103" s="73" t="s">
        <v>73</v>
      </c>
      <c r="K103" s="73" t="s">
        <v>73</v>
      </c>
      <c r="L103" s="73" t="s">
        <v>73</v>
      </c>
      <c r="M103" s="73" t="s">
        <v>73</v>
      </c>
      <c r="N103" s="73" t="s">
        <v>73</v>
      </c>
      <c r="O103" s="73" t="s">
        <v>3118</v>
      </c>
      <c r="P103" s="73" t="s">
        <v>3041</v>
      </c>
      <c r="Q103" s="73" t="s">
        <v>3052</v>
      </c>
      <c r="R103" s="77">
        <f>IFERROR(__xludf.DUMMYFUNCTION("IFERROR(QUERY(Presidente!$A$3:$AD112, ""SELECT AD WHERE A = '"" &amp; $B103 &amp; ""'""),"""")"),700.0)</f>
        <v>700</v>
      </c>
    </row>
    <row r="104">
      <c r="A104" s="72">
        <v>44391.58944681713</v>
      </c>
      <c r="B104" s="73" t="s">
        <v>1065</v>
      </c>
      <c r="C104" s="73">
        <v>104.0</v>
      </c>
      <c r="D104" s="73">
        <v>1.79</v>
      </c>
      <c r="E104" s="73">
        <v>102.0</v>
      </c>
      <c r="F104" s="73">
        <v>120.0</v>
      </c>
      <c r="G104" s="73">
        <v>80.0</v>
      </c>
      <c r="H104" s="73" t="s">
        <v>73</v>
      </c>
      <c r="I104" s="73" t="s">
        <v>73</v>
      </c>
      <c r="J104" s="73" t="s">
        <v>73</v>
      </c>
      <c r="K104" s="73" t="s">
        <v>3107</v>
      </c>
      <c r="L104" s="73" t="s">
        <v>73</v>
      </c>
      <c r="M104" s="73" t="s">
        <v>73</v>
      </c>
      <c r="N104" s="73" t="s">
        <v>73</v>
      </c>
      <c r="O104" s="73" t="s">
        <v>3136</v>
      </c>
      <c r="P104" s="73" t="s">
        <v>3041</v>
      </c>
      <c r="Q104" s="73" t="s">
        <v>3048</v>
      </c>
      <c r="R104" s="77">
        <f>IFERROR(__xludf.DUMMYFUNCTION("IFERROR(QUERY(Presidente!$A$3:$AD112, ""SELECT AD WHERE A = '"" &amp; $B104 &amp; ""'""),"""")"),701.0)</f>
        <v>701</v>
      </c>
    </row>
    <row r="105">
      <c r="A105" s="72">
        <v>44392.42502663194</v>
      </c>
      <c r="B105" s="73" t="s">
        <v>1075</v>
      </c>
      <c r="C105" s="73">
        <v>63.5</v>
      </c>
      <c r="D105" s="73">
        <v>1.77</v>
      </c>
      <c r="E105" s="73">
        <v>72.0</v>
      </c>
      <c r="F105" s="73">
        <v>120.0</v>
      </c>
      <c r="G105" s="73">
        <v>80.0</v>
      </c>
      <c r="H105" s="73" t="s">
        <v>73</v>
      </c>
      <c r="I105" s="73" t="s">
        <v>73</v>
      </c>
      <c r="J105" s="73" t="s">
        <v>73</v>
      </c>
      <c r="K105" s="73" t="s">
        <v>73</v>
      </c>
      <c r="L105" s="73" t="s">
        <v>73</v>
      </c>
      <c r="M105" s="73" t="s">
        <v>73</v>
      </c>
      <c r="N105" s="73" t="s">
        <v>73</v>
      </c>
      <c r="O105" s="73" t="s">
        <v>3040</v>
      </c>
      <c r="P105" s="73" t="s">
        <v>3041</v>
      </c>
      <c r="Q105" s="73" t="s">
        <v>3051</v>
      </c>
      <c r="R105" s="77">
        <f>IFERROR(__xludf.DUMMYFUNCTION("IFERROR(QUERY(Presidente!$A$3:$AD112, ""SELECT AD WHERE A = '"" &amp; $B105 &amp; ""'""),"""")"),702.0)</f>
        <v>702</v>
      </c>
    </row>
    <row r="106">
      <c r="A106" s="72">
        <v>44383.57391013889</v>
      </c>
      <c r="B106" s="73" t="s">
        <v>1085</v>
      </c>
      <c r="C106" s="73">
        <v>77.15</v>
      </c>
      <c r="D106" s="73">
        <v>1.82</v>
      </c>
      <c r="E106" s="73">
        <v>74.0</v>
      </c>
      <c r="F106" s="73">
        <v>120.0</v>
      </c>
      <c r="G106" s="73">
        <v>80.0</v>
      </c>
      <c r="H106" s="73" t="s">
        <v>73</v>
      </c>
      <c r="I106" s="73" t="s">
        <v>73</v>
      </c>
      <c r="J106" s="73" t="s">
        <v>73</v>
      </c>
      <c r="K106" s="73" t="s">
        <v>73</v>
      </c>
      <c r="L106" s="73" t="s">
        <v>73</v>
      </c>
      <c r="M106" s="73" t="s">
        <v>3137</v>
      </c>
      <c r="N106" s="73" t="s">
        <v>73</v>
      </c>
      <c r="O106" s="73" t="s">
        <v>3138</v>
      </c>
      <c r="P106" s="73" t="s">
        <v>3057</v>
      </c>
      <c r="Q106" s="73" t="s">
        <v>3048</v>
      </c>
      <c r="R106" s="77">
        <f>IFERROR(__xludf.DUMMYFUNCTION("IFERROR(QUERY(Presidente!$A$3:$AD112, ""SELECT AD WHERE A = '"" &amp; $B106 &amp; ""'""),"""")"),703.0)</f>
        <v>703</v>
      </c>
    </row>
    <row r="107">
      <c r="A107" s="72">
        <v>44385.442092847225</v>
      </c>
      <c r="B107" s="73" t="s">
        <v>1095</v>
      </c>
      <c r="C107" s="73">
        <v>80.75</v>
      </c>
      <c r="D107" s="73">
        <v>1.75</v>
      </c>
      <c r="E107" s="73">
        <v>94.0</v>
      </c>
      <c r="F107" s="73">
        <v>120.0</v>
      </c>
      <c r="G107" s="73">
        <v>80.0</v>
      </c>
      <c r="H107" s="73" t="s">
        <v>73</v>
      </c>
      <c r="I107" s="73" t="s">
        <v>3095</v>
      </c>
      <c r="J107" s="73" t="s">
        <v>73</v>
      </c>
      <c r="K107" s="73" t="s">
        <v>73</v>
      </c>
      <c r="L107" s="73" t="s">
        <v>3139</v>
      </c>
      <c r="M107" s="73" t="s">
        <v>73</v>
      </c>
      <c r="N107" s="73" t="s">
        <v>73</v>
      </c>
      <c r="O107" s="73" t="s">
        <v>3040</v>
      </c>
      <c r="P107" s="73" t="s">
        <v>3041</v>
      </c>
      <c r="Q107" s="73" t="s">
        <v>3051</v>
      </c>
      <c r="R107" s="77">
        <f>IFERROR(__xludf.DUMMYFUNCTION("IFERROR(QUERY(Presidente!$A$3:$AD112, ""SELECT AD WHERE A = '"" &amp; $B107 &amp; ""'""),"""")"),704.0)</f>
        <v>704</v>
      </c>
    </row>
    <row r="108">
      <c r="A108" s="72">
        <v>44390.56335729167</v>
      </c>
      <c r="B108" s="73" t="s">
        <v>1105</v>
      </c>
      <c r="C108" s="73">
        <v>86.5</v>
      </c>
      <c r="D108" s="73">
        <v>1.71</v>
      </c>
      <c r="E108" s="73">
        <v>93.0</v>
      </c>
      <c r="F108" s="73">
        <v>120.0</v>
      </c>
      <c r="G108" s="73">
        <v>80.0</v>
      </c>
      <c r="H108" s="73" t="s">
        <v>73</v>
      </c>
      <c r="I108" s="73" t="s">
        <v>73</v>
      </c>
      <c r="J108" s="73" t="s">
        <v>73</v>
      </c>
      <c r="K108" s="73" t="s">
        <v>73</v>
      </c>
      <c r="L108" s="73" t="s">
        <v>73</v>
      </c>
      <c r="M108" s="73" t="s">
        <v>73</v>
      </c>
      <c r="N108" s="73" t="s">
        <v>73</v>
      </c>
      <c r="O108" s="73" t="s">
        <v>3047</v>
      </c>
      <c r="P108" s="73" t="s">
        <v>3041</v>
      </c>
      <c r="Q108" s="73" t="s">
        <v>3048</v>
      </c>
      <c r="R108" s="77">
        <f>IFERROR(__xludf.DUMMYFUNCTION("IFERROR(QUERY(Presidente!$A$3:$AD112, ""SELECT AD WHERE A = '"" &amp; $B108 &amp; ""'""),"""")"),705.0)</f>
        <v>705</v>
      </c>
    </row>
    <row r="109">
      <c r="A109" s="72">
        <v>44392.59217979167</v>
      </c>
      <c r="B109" s="73" t="s">
        <v>1115</v>
      </c>
      <c r="C109" s="73">
        <v>71.5</v>
      </c>
      <c r="D109" s="73">
        <v>1.86</v>
      </c>
      <c r="E109" s="73">
        <v>77.0</v>
      </c>
      <c r="F109" s="73">
        <v>110.0</v>
      </c>
      <c r="G109" s="73">
        <v>60.0</v>
      </c>
      <c r="H109" s="73" t="s">
        <v>73</v>
      </c>
      <c r="I109" s="73" t="s">
        <v>3140</v>
      </c>
      <c r="J109" s="73" t="s">
        <v>73</v>
      </c>
      <c r="K109" s="73" t="s">
        <v>73</v>
      </c>
      <c r="L109" s="73" t="s">
        <v>73</v>
      </c>
      <c r="M109" s="73" t="s">
        <v>73</v>
      </c>
      <c r="N109" s="73" t="s">
        <v>73</v>
      </c>
      <c r="O109" s="73" t="s">
        <v>3040</v>
      </c>
      <c r="P109" s="73" t="s">
        <v>3041</v>
      </c>
      <c r="Q109" s="73" t="s">
        <v>3042</v>
      </c>
      <c r="R109" s="77">
        <f>IFERROR(__xludf.DUMMYFUNCTION("IFERROR(QUERY(Presidente!$A$3:$AD112, ""SELECT AD WHERE A = '"" &amp; $B109 &amp; ""'""),"""")"),706.0)</f>
        <v>706</v>
      </c>
    </row>
    <row r="110">
      <c r="A110" s="72">
        <v>44392.59421787037</v>
      </c>
      <c r="B110" s="73" t="s">
        <v>1125</v>
      </c>
      <c r="C110" s="73">
        <v>91.4</v>
      </c>
      <c r="D110" s="73">
        <v>1.89</v>
      </c>
      <c r="E110" s="73">
        <v>86.0</v>
      </c>
      <c r="F110" s="73">
        <v>110.0</v>
      </c>
      <c r="G110" s="73">
        <v>60.0</v>
      </c>
      <c r="H110" s="73" t="s">
        <v>73</v>
      </c>
      <c r="I110" s="73" t="s">
        <v>73</v>
      </c>
      <c r="J110" s="73" t="s">
        <v>73</v>
      </c>
      <c r="K110" s="73" t="s">
        <v>73</v>
      </c>
      <c r="L110" s="73" t="s">
        <v>73</v>
      </c>
      <c r="M110" s="73" t="s">
        <v>73</v>
      </c>
      <c r="N110" s="73" t="s">
        <v>73</v>
      </c>
      <c r="O110" s="73" t="s">
        <v>3040</v>
      </c>
      <c r="P110" s="73" t="s">
        <v>3041</v>
      </c>
      <c r="Q110" s="73" t="s">
        <v>3042</v>
      </c>
      <c r="R110" s="77">
        <f>IFERROR(__xludf.DUMMYFUNCTION("IFERROR(QUERY(Presidente!$A$3:$AD112, ""SELECT AD WHERE A = '"" &amp; $B110 &amp; ""'""),"""")"),707.0)</f>
        <v>707</v>
      </c>
    </row>
    <row r="111">
      <c r="A111" s="72">
        <v>44378.61800869213</v>
      </c>
      <c r="B111" s="73" t="s">
        <v>1135</v>
      </c>
      <c r="C111" s="73">
        <v>101.0</v>
      </c>
      <c r="D111" s="73">
        <v>1.85</v>
      </c>
      <c r="E111" s="73">
        <v>90.0</v>
      </c>
      <c r="F111" s="73">
        <v>120.0</v>
      </c>
      <c r="G111" s="73">
        <v>80.0</v>
      </c>
      <c r="H111" s="73" t="s">
        <v>73</v>
      </c>
      <c r="I111" s="73" t="s">
        <v>73</v>
      </c>
      <c r="J111" s="73" t="s">
        <v>73</v>
      </c>
      <c r="K111" s="73" t="s">
        <v>73</v>
      </c>
      <c r="L111" s="73" t="s">
        <v>3141</v>
      </c>
      <c r="M111" s="73" t="s">
        <v>73</v>
      </c>
      <c r="N111" s="73" t="s">
        <v>73</v>
      </c>
      <c r="O111" s="73" t="s">
        <v>3040</v>
      </c>
      <c r="P111" s="73" t="s">
        <v>3041</v>
      </c>
      <c r="Q111" s="73" t="s">
        <v>3051</v>
      </c>
      <c r="R111" s="77">
        <f>IFERROR(__xludf.DUMMYFUNCTION("IFERROR(QUERY(Presidente!$A$3:$AD112, ""SELECT AD WHERE A = '"" &amp; $B111 &amp; ""'""),"""")"),708.0)</f>
        <v>708</v>
      </c>
    </row>
    <row r="112">
      <c r="A112" s="72">
        <v>44378.6163906713</v>
      </c>
      <c r="B112" s="73" t="s">
        <v>1145</v>
      </c>
      <c r="C112" s="73">
        <v>95.35</v>
      </c>
      <c r="D112" s="73">
        <v>1.83</v>
      </c>
      <c r="E112" s="73">
        <v>91.0</v>
      </c>
      <c r="F112" s="73">
        <v>120.0</v>
      </c>
      <c r="G112" s="73">
        <v>80.0</v>
      </c>
      <c r="H112" s="73" t="s">
        <v>73</v>
      </c>
      <c r="I112" s="73" t="s">
        <v>73</v>
      </c>
      <c r="J112" s="73" t="s">
        <v>73</v>
      </c>
      <c r="K112" s="73" t="s">
        <v>73</v>
      </c>
      <c r="L112" s="73" t="s">
        <v>73</v>
      </c>
      <c r="M112" s="73" t="s">
        <v>3142</v>
      </c>
      <c r="N112" s="73" t="s">
        <v>3134</v>
      </c>
      <c r="O112" s="73" t="s">
        <v>3040</v>
      </c>
      <c r="P112" s="73" t="s">
        <v>3041</v>
      </c>
      <c r="Q112" s="73" t="s">
        <v>3051</v>
      </c>
      <c r="R112" s="77">
        <f>IFERROR(__xludf.DUMMYFUNCTION("IFERROR(QUERY(Presidente!$A$3:$AD112, ""SELECT AD WHERE A = '"" &amp; $B112 &amp; ""'""),"""")"),709.0)</f>
        <v>709</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1" width="21.57"/>
    <col customWidth="1" min="12" max="12" width="10.0"/>
  </cols>
  <sheetData>
    <row r="1" hidden="1">
      <c r="A1" s="66"/>
      <c r="B1" s="66"/>
      <c r="C1" s="66"/>
      <c r="D1" s="66"/>
      <c r="E1" s="66"/>
      <c r="F1" s="66"/>
      <c r="G1" s="66"/>
      <c r="H1" s="66"/>
      <c r="I1" s="67"/>
      <c r="J1" s="66"/>
      <c r="K1" s="66"/>
      <c r="L1" s="70"/>
    </row>
    <row r="2">
      <c r="A2" s="66" t="s">
        <v>1155</v>
      </c>
      <c r="B2" s="66" t="s">
        <v>1539</v>
      </c>
      <c r="C2" s="66" t="s">
        <v>3143</v>
      </c>
      <c r="D2" s="66" t="s">
        <v>3144</v>
      </c>
      <c r="E2" s="66" t="s">
        <v>3145</v>
      </c>
      <c r="F2" s="66" t="s">
        <v>3146</v>
      </c>
      <c r="G2" s="66" t="s">
        <v>3147</v>
      </c>
      <c r="H2" s="66" t="s">
        <v>3148</v>
      </c>
      <c r="I2" s="67" t="s">
        <v>3149</v>
      </c>
      <c r="J2" s="66" t="s">
        <v>3037</v>
      </c>
      <c r="K2" s="66" t="s">
        <v>3038</v>
      </c>
      <c r="L2" s="70" t="s">
        <v>3039</v>
      </c>
    </row>
    <row r="3">
      <c r="A3" s="72">
        <v>44391.429628136575</v>
      </c>
      <c r="B3" s="73" t="s">
        <v>34</v>
      </c>
      <c r="C3" s="73" t="s">
        <v>3040</v>
      </c>
      <c r="D3" s="73" t="s">
        <v>3040</v>
      </c>
      <c r="E3" s="73" t="s">
        <v>3150</v>
      </c>
      <c r="F3" s="73" t="s">
        <v>73</v>
      </c>
      <c r="G3" s="73" t="s">
        <v>73</v>
      </c>
      <c r="H3" s="73" t="s">
        <v>73</v>
      </c>
      <c r="I3" s="73" t="s">
        <v>3040</v>
      </c>
      <c r="J3" s="73" t="s">
        <v>3041</v>
      </c>
      <c r="K3" s="73" t="s">
        <v>3151</v>
      </c>
      <c r="L3" s="77">
        <f>IFERROR(__xludf.DUMMYFUNCTION("IFERROR(QUERY(Presidente!$A$3:$AD112, ""SELECT AD WHERE A = '"" &amp; $B3 &amp; ""'""),"""")"),600.0)</f>
        <v>600</v>
      </c>
    </row>
    <row r="4">
      <c r="A4" s="72">
        <v>44390.559250046295</v>
      </c>
      <c r="B4" s="73" t="s">
        <v>50</v>
      </c>
      <c r="C4" s="73" t="s">
        <v>3040</v>
      </c>
      <c r="D4" s="73" t="s">
        <v>3040</v>
      </c>
      <c r="E4" s="73" t="s">
        <v>3150</v>
      </c>
      <c r="F4" s="73" t="s">
        <v>73</v>
      </c>
      <c r="G4" s="73" t="s">
        <v>73</v>
      </c>
      <c r="H4" s="73" t="s">
        <v>73</v>
      </c>
      <c r="I4" s="73" t="s">
        <v>3040</v>
      </c>
      <c r="J4" s="73" t="s">
        <v>3041</v>
      </c>
      <c r="K4" s="73" t="s">
        <v>3152</v>
      </c>
      <c r="L4" s="77">
        <f>IFERROR(__xludf.DUMMYFUNCTION("IFERROR(QUERY(Presidente!$A$3:$AD112, ""SELECT AD WHERE A = '"" &amp; $B4 &amp; ""'""),"""")"),601.0)</f>
        <v>601</v>
      </c>
    </row>
    <row r="5">
      <c r="A5" s="72">
        <v>44383.57252729167</v>
      </c>
      <c r="B5" s="73" t="s">
        <v>60</v>
      </c>
      <c r="C5" s="73" t="s">
        <v>3040</v>
      </c>
      <c r="D5" s="73" t="s">
        <v>3040</v>
      </c>
      <c r="E5" s="73" t="s">
        <v>3150</v>
      </c>
      <c r="F5" s="73" t="s">
        <v>73</v>
      </c>
      <c r="G5" s="73" t="s">
        <v>73</v>
      </c>
      <c r="H5" s="73" t="s">
        <v>73</v>
      </c>
      <c r="I5" s="73" t="s">
        <v>3040</v>
      </c>
      <c r="J5" s="73" t="s">
        <v>3041</v>
      </c>
      <c r="K5" s="73" t="s">
        <v>3153</v>
      </c>
      <c r="L5" s="77">
        <f>IFERROR(__xludf.DUMMYFUNCTION("IFERROR(QUERY(Presidente!$A$3:$AD112, ""SELECT AD WHERE A = '"" &amp; $B5 &amp; ""'""),"""")"),602.0)</f>
        <v>602</v>
      </c>
    </row>
    <row r="6">
      <c r="A6" s="72">
        <v>44390.567403877314</v>
      </c>
      <c r="B6" s="73" t="s">
        <v>72</v>
      </c>
      <c r="C6" s="73" t="s">
        <v>3040</v>
      </c>
      <c r="D6" s="73" t="s">
        <v>3040</v>
      </c>
      <c r="E6" s="73" t="s">
        <v>3150</v>
      </c>
      <c r="F6" s="73" t="s">
        <v>73</v>
      </c>
      <c r="G6" s="73" t="s">
        <v>73</v>
      </c>
      <c r="H6" s="73" t="s">
        <v>73</v>
      </c>
      <c r="I6" s="73" t="s">
        <v>3040</v>
      </c>
      <c r="J6" s="73" t="s">
        <v>3041</v>
      </c>
      <c r="K6" s="73" t="s">
        <v>3152</v>
      </c>
      <c r="L6" s="77">
        <f>IFERROR(__xludf.DUMMYFUNCTION("IFERROR(QUERY(Presidente!$A$3:$AD112, ""SELECT AD WHERE A = '"" &amp; $B6 &amp; ""'""),"""")"),603.0)</f>
        <v>603</v>
      </c>
    </row>
    <row r="7">
      <c r="A7" s="72">
        <v>44392.420781249995</v>
      </c>
      <c r="B7" s="73" t="s">
        <v>83</v>
      </c>
      <c r="C7" s="73" t="s">
        <v>3040</v>
      </c>
      <c r="D7" s="73" t="s">
        <v>3040</v>
      </c>
      <c r="E7" s="73" t="s">
        <v>3150</v>
      </c>
      <c r="F7" s="73" t="s">
        <v>73</v>
      </c>
      <c r="G7" s="73" t="s">
        <v>73</v>
      </c>
      <c r="H7" s="73">
        <v>46.0</v>
      </c>
      <c r="I7" s="73" t="s">
        <v>3154</v>
      </c>
      <c r="J7" s="73" t="s">
        <v>3041</v>
      </c>
      <c r="K7" s="73" t="s">
        <v>3151</v>
      </c>
      <c r="L7" s="77">
        <f>IFERROR(__xludf.DUMMYFUNCTION("IFERROR(QUERY(Presidente!$A$3:$AD112, ""SELECT AD WHERE A = '"" &amp; $B7 &amp; ""'""),"""")"),604.0)</f>
        <v>604</v>
      </c>
    </row>
    <row r="8">
      <c r="A8" s="72">
        <v>44392.428684328705</v>
      </c>
      <c r="B8" s="73" t="s">
        <v>93</v>
      </c>
      <c r="C8" s="73" t="s">
        <v>3040</v>
      </c>
      <c r="D8" s="73" t="s">
        <v>3040</v>
      </c>
      <c r="E8" s="73" t="s">
        <v>3150</v>
      </c>
      <c r="F8" s="73" t="s">
        <v>73</v>
      </c>
      <c r="G8" s="73" t="s">
        <v>73</v>
      </c>
      <c r="H8" s="73" t="s">
        <v>73</v>
      </c>
      <c r="I8" s="73" t="s">
        <v>3040</v>
      </c>
      <c r="J8" s="73" t="s">
        <v>3041</v>
      </c>
      <c r="K8" s="73" t="s">
        <v>3151</v>
      </c>
      <c r="L8" s="77">
        <f>IFERROR(__xludf.DUMMYFUNCTION("IFERROR(QUERY(Presidente!$A$3:$AD112, ""SELECT AD WHERE A = '"" &amp; $B8 &amp; ""'""),"""")"),605.0)</f>
        <v>605</v>
      </c>
    </row>
    <row r="9">
      <c r="A9" s="72">
        <v>44389.43649736111</v>
      </c>
      <c r="B9" s="73" t="s">
        <v>103</v>
      </c>
      <c r="C9" s="73" t="s">
        <v>3040</v>
      </c>
      <c r="D9" s="73" t="s">
        <v>3040</v>
      </c>
      <c r="E9" s="73" t="s">
        <v>3150</v>
      </c>
      <c r="F9" s="73" t="s">
        <v>73</v>
      </c>
      <c r="G9" s="73" t="s">
        <v>73</v>
      </c>
      <c r="H9" s="73" t="s">
        <v>73</v>
      </c>
      <c r="I9" s="73" t="s">
        <v>3040</v>
      </c>
      <c r="J9" s="73" t="s">
        <v>3041</v>
      </c>
      <c r="K9" s="73" t="s">
        <v>3151</v>
      </c>
      <c r="L9" s="77">
        <f>IFERROR(__xludf.DUMMYFUNCTION("IFERROR(QUERY(Presidente!$A$3:$AD112, ""SELECT AD WHERE A = '"" &amp; $B9 &amp; ""'""),"""")"),606.0)</f>
        <v>606</v>
      </c>
    </row>
    <row r="10">
      <c r="A10" s="72">
        <v>44377.58364979167</v>
      </c>
      <c r="B10" s="73" t="s">
        <v>113</v>
      </c>
      <c r="C10" s="73" t="s">
        <v>3040</v>
      </c>
      <c r="D10" s="73" t="s">
        <v>3040</v>
      </c>
      <c r="E10" s="73" t="s">
        <v>3150</v>
      </c>
      <c r="F10" s="73" t="s">
        <v>73</v>
      </c>
      <c r="G10" s="73" t="s">
        <v>73</v>
      </c>
      <c r="H10" s="73" t="s">
        <v>73</v>
      </c>
      <c r="I10" s="73" t="s">
        <v>3040</v>
      </c>
      <c r="J10" s="73" t="s">
        <v>3041</v>
      </c>
      <c r="K10" s="73" t="s">
        <v>3151</v>
      </c>
      <c r="L10" s="77">
        <f>IFERROR(__xludf.DUMMYFUNCTION("IFERROR(QUERY(Presidente!$A$3:$AD112, ""SELECT AD WHERE A = '"" &amp; $B10 &amp; ""'""),"""")"),607.0)</f>
        <v>607</v>
      </c>
    </row>
    <row r="11">
      <c r="A11" s="72">
        <v>44383.564973252316</v>
      </c>
      <c r="B11" s="73" t="s">
        <v>124</v>
      </c>
      <c r="C11" s="73" t="s">
        <v>3040</v>
      </c>
      <c r="D11" s="73" t="s">
        <v>3040</v>
      </c>
      <c r="E11" s="73" t="s">
        <v>3150</v>
      </c>
      <c r="F11" s="73" t="s">
        <v>73</v>
      </c>
      <c r="G11" s="73" t="s">
        <v>73</v>
      </c>
      <c r="H11" s="73" t="s">
        <v>73</v>
      </c>
      <c r="I11" s="73" t="s">
        <v>3040</v>
      </c>
      <c r="J11" s="73" t="s">
        <v>3041</v>
      </c>
      <c r="K11" s="73" t="s">
        <v>3153</v>
      </c>
      <c r="L11" s="77">
        <f>IFERROR(__xludf.DUMMYFUNCTION("IFERROR(QUERY(Presidente!$A$3:$AD112, ""SELECT AD WHERE A = '"" &amp; $B11 &amp; ""'""),"""")"),608.0)</f>
        <v>608</v>
      </c>
    </row>
    <row r="12">
      <c r="A12" s="72">
        <v>44383.42609071759</v>
      </c>
      <c r="B12" s="73" t="s">
        <v>134</v>
      </c>
      <c r="C12" s="73" t="s">
        <v>3040</v>
      </c>
      <c r="D12" s="73" t="s">
        <v>3040</v>
      </c>
      <c r="E12" s="73" t="s">
        <v>3150</v>
      </c>
      <c r="F12" s="73" t="s">
        <v>73</v>
      </c>
      <c r="G12" s="73" t="s">
        <v>73</v>
      </c>
      <c r="H12" s="73" t="s">
        <v>73</v>
      </c>
      <c r="I12" s="73" t="s">
        <v>3040</v>
      </c>
      <c r="J12" s="73" t="s">
        <v>3041</v>
      </c>
      <c r="K12" s="73" t="s">
        <v>3153</v>
      </c>
      <c r="L12" s="77">
        <f>IFERROR(__xludf.DUMMYFUNCTION("IFERROR(QUERY(Presidente!$A$3:$AD112, ""SELECT AD WHERE A = '"" &amp; $B12 &amp; ""'""),"""")"),609.0)</f>
        <v>609</v>
      </c>
    </row>
    <row r="13">
      <c r="A13" s="72">
        <v>44383.426770289356</v>
      </c>
      <c r="B13" s="73" t="s">
        <v>145</v>
      </c>
      <c r="C13" s="73" t="s">
        <v>3040</v>
      </c>
      <c r="D13" s="73" t="s">
        <v>3040</v>
      </c>
      <c r="E13" s="73" t="s">
        <v>3150</v>
      </c>
      <c r="F13" s="73" t="s">
        <v>73</v>
      </c>
      <c r="G13" s="73" t="s">
        <v>73</v>
      </c>
      <c r="H13" s="73" t="s">
        <v>73</v>
      </c>
      <c r="I13" s="73" t="s">
        <v>3040</v>
      </c>
      <c r="J13" s="73" t="s">
        <v>3041</v>
      </c>
      <c r="K13" s="73" t="s">
        <v>3153</v>
      </c>
      <c r="L13" s="77">
        <f>IFERROR(__xludf.DUMMYFUNCTION("IFERROR(QUERY(Presidente!$A$3:$AD112, ""SELECT AD WHERE A = '"" &amp; $B13 &amp; ""'""),"""")"),610.0)</f>
        <v>610</v>
      </c>
    </row>
    <row r="14">
      <c r="A14" s="72">
        <v>44382.57449922454</v>
      </c>
      <c r="B14" s="73" t="s">
        <v>153</v>
      </c>
      <c r="C14" s="73" t="s">
        <v>3040</v>
      </c>
      <c r="D14" s="73" t="s">
        <v>3040</v>
      </c>
      <c r="E14" s="73" t="s">
        <v>3150</v>
      </c>
      <c r="F14" s="73" t="s">
        <v>73</v>
      </c>
      <c r="G14" s="73" t="s">
        <v>73</v>
      </c>
      <c r="H14" s="73" t="s">
        <v>73</v>
      </c>
      <c r="I14" s="73" t="s">
        <v>3040</v>
      </c>
      <c r="J14" s="73" t="s">
        <v>3041</v>
      </c>
      <c r="K14" s="73" t="s">
        <v>3151</v>
      </c>
      <c r="L14" s="77">
        <f>IFERROR(__xludf.DUMMYFUNCTION("IFERROR(QUERY(Presidente!$A$3:$AD112, ""SELECT AD WHERE A = '"" &amp; $B14 &amp; ""'""),"""")"),611.0)</f>
        <v>611</v>
      </c>
    </row>
    <row r="15">
      <c r="A15" s="72">
        <v>44383.42556856481</v>
      </c>
      <c r="B15" s="73" t="s">
        <v>163</v>
      </c>
      <c r="C15" s="73" t="s">
        <v>3040</v>
      </c>
      <c r="D15" s="73" t="s">
        <v>3040</v>
      </c>
      <c r="E15" s="73" t="s">
        <v>3150</v>
      </c>
      <c r="F15" s="73" t="s">
        <v>73</v>
      </c>
      <c r="G15" s="73" t="s">
        <v>73</v>
      </c>
      <c r="H15" s="73" t="s">
        <v>73</v>
      </c>
      <c r="I15" s="73" t="s">
        <v>3040</v>
      </c>
      <c r="J15" s="73" t="s">
        <v>3041</v>
      </c>
      <c r="K15" s="73" t="s">
        <v>3153</v>
      </c>
      <c r="L15" s="77">
        <f>IFERROR(__xludf.DUMMYFUNCTION("IFERROR(QUERY(Presidente!$A$3:$AD112, ""SELECT AD WHERE A = '"" &amp; $B15 &amp; ""'""),"""")"),612.0)</f>
        <v>612</v>
      </c>
    </row>
    <row r="16">
      <c r="A16" s="72">
        <v>44389.61166875</v>
      </c>
      <c r="B16" s="73" t="s">
        <v>173</v>
      </c>
      <c r="C16" s="73" t="s">
        <v>3040</v>
      </c>
      <c r="D16" s="73" t="s">
        <v>3040</v>
      </c>
      <c r="E16" s="73" t="s">
        <v>3150</v>
      </c>
      <c r="F16" s="73" t="s">
        <v>73</v>
      </c>
      <c r="G16" s="73" t="s">
        <v>73</v>
      </c>
      <c r="H16" s="73" t="s">
        <v>73</v>
      </c>
      <c r="I16" s="73" t="s">
        <v>3040</v>
      </c>
      <c r="J16" s="73" t="s">
        <v>3041</v>
      </c>
      <c r="K16" s="73" t="s">
        <v>3151</v>
      </c>
      <c r="L16" s="77">
        <f>IFERROR(__xludf.DUMMYFUNCTION("IFERROR(QUERY(Presidente!$A$3:$AD112, ""SELECT AD WHERE A = '"" &amp; $B16 &amp; ""'""),"""")"),613.0)</f>
        <v>613</v>
      </c>
    </row>
    <row r="17">
      <c r="A17" s="72">
        <v>44391.57414997685</v>
      </c>
      <c r="B17" s="73" t="s">
        <v>183</v>
      </c>
      <c r="C17" s="73" t="s">
        <v>3040</v>
      </c>
      <c r="D17" s="73" t="s">
        <v>3040</v>
      </c>
      <c r="E17" s="73" t="s">
        <v>3150</v>
      </c>
      <c r="F17" s="73" t="s">
        <v>73</v>
      </c>
      <c r="G17" s="73" t="s">
        <v>73</v>
      </c>
      <c r="H17" s="73" t="s">
        <v>73</v>
      </c>
      <c r="I17" s="73" t="s">
        <v>3040</v>
      </c>
      <c r="J17" s="73" t="s">
        <v>3041</v>
      </c>
      <c r="K17" s="73" t="s">
        <v>3152</v>
      </c>
      <c r="L17" s="77">
        <f>IFERROR(__xludf.DUMMYFUNCTION("IFERROR(QUERY(Presidente!$A$3:$AD112, ""SELECT AD WHERE A = '"" &amp; $B17 &amp; ""'""),"""")"),614.0)</f>
        <v>614</v>
      </c>
    </row>
    <row r="18">
      <c r="A18" s="72">
        <v>44391.42820239584</v>
      </c>
      <c r="B18" s="73" t="s">
        <v>193</v>
      </c>
      <c r="C18" s="73" t="s">
        <v>3040</v>
      </c>
      <c r="D18" s="73" t="s">
        <v>3040</v>
      </c>
      <c r="E18" s="73" t="s">
        <v>3150</v>
      </c>
      <c r="F18" s="73" t="s">
        <v>73</v>
      </c>
      <c r="G18" s="73" t="s">
        <v>35</v>
      </c>
      <c r="H18" s="73" t="s">
        <v>73</v>
      </c>
      <c r="I18" s="73" t="s">
        <v>3040</v>
      </c>
      <c r="J18" s="73" t="s">
        <v>3041</v>
      </c>
      <c r="K18" s="73" t="s">
        <v>3151</v>
      </c>
      <c r="L18" s="77">
        <f>IFERROR(__xludf.DUMMYFUNCTION("IFERROR(QUERY(Presidente!$A$3:$AD112, ""SELECT AD WHERE A = '"" &amp; $B18 &amp; ""'""),"""")"),615.0)</f>
        <v>615</v>
      </c>
    </row>
    <row r="19">
      <c r="A19" s="72">
        <v>44377.59522365741</v>
      </c>
      <c r="B19" s="73" t="s">
        <v>203</v>
      </c>
      <c r="C19" s="73" t="s">
        <v>3040</v>
      </c>
      <c r="D19" s="73" t="s">
        <v>3040</v>
      </c>
      <c r="E19" s="73" t="s">
        <v>3150</v>
      </c>
      <c r="F19" s="73" t="s">
        <v>73</v>
      </c>
      <c r="G19" s="73" t="s">
        <v>73</v>
      </c>
      <c r="H19" s="73" t="s">
        <v>73</v>
      </c>
      <c r="I19" s="73" t="s">
        <v>3040</v>
      </c>
      <c r="J19" s="73" t="s">
        <v>3041</v>
      </c>
      <c r="K19" s="73" t="s">
        <v>3151</v>
      </c>
      <c r="L19" s="77">
        <f>IFERROR(__xludf.DUMMYFUNCTION("IFERROR(QUERY(Presidente!$A$3:$AD112, ""SELECT AD WHERE A = '"" &amp; $B19 &amp; ""'""),"""")"),616.0)</f>
        <v>616</v>
      </c>
    </row>
    <row r="20">
      <c r="A20" s="72">
        <v>44390.56312921296</v>
      </c>
      <c r="B20" s="73" t="s">
        <v>214</v>
      </c>
      <c r="C20" s="73" t="s">
        <v>3040</v>
      </c>
      <c r="D20" s="73" t="s">
        <v>3040</v>
      </c>
      <c r="E20" s="73" t="s">
        <v>3150</v>
      </c>
      <c r="F20" s="73" t="s">
        <v>73</v>
      </c>
      <c r="G20" s="73" t="s">
        <v>73</v>
      </c>
      <c r="H20" s="73" t="s">
        <v>73</v>
      </c>
      <c r="I20" s="73" t="s">
        <v>3040</v>
      </c>
      <c r="J20" s="73" t="s">
        <v>3041</v>
      </c>
      <c r="K20" s="73" t="s">
        <v>3152</v>
      </c>
      <c r="L20" s="77">
        <f>IFERROR(__xludf.DUMMYFUNCTION("IFERROR(QUERY(Presidente!$A$3:$AD112, ""SELECT AD WHERE A = '"" &amp; $B20 &amp; ""'""),"""")"),617.0)</f>
        <v>617</v>
      </c>
    </row>
    <row r="21">
      <c r="A21" s="72">
        <v>44391.57574760416</v>
      </c>
      <c r="B21" s="73" t="s">
        <v>224</v>
      </c>
      <c r="C21" s="73" t="s">
        <v>3040</v>
      </c>
      <c r="D21" s="73" t="s">
        <v>3040</v>
      </c>
      <c r="E21" s="73" t="s">
        <v>3150</v>
      </c>
      <c r="F21" s="73" t="s">
        <v>73</v>
      </c>
      <c r="G21" s="73" t="s">
        <v>35</v>
      </c>
      <c r="H21" s="73" t="s">
        <v>73</v>
      </c>
      <c r="I21" s="73" t="s">
        <v>3040</v>
      </c>
      <c r="J21" s="73" t="s">
        <v>3041</v>
      </c>
      <c r="K21" s="73" t="s">
        <v>3152</v>
      </c>
      <c r="L21" s="77">
        <f>IFERROR(__xludf.DUMMYFUNCTION("IFERROR(QUERY(Presidente!$A$3:$AD112, ""SELECT AD WHERE A = '"" &amp; $B21 &amp; ""'""),"""")"),618.0)</f>
        <v>618</v>
      </c>
    </row>
    <row r="22">
      <c r="A22" s="72">
        <v>44382.61170591435</v>
      </c>
      <c r="B22" s="73" t="s">
        <v>234</v>
      </c>
      <c r="C22" s="73" t="s">
        <v>3040</v>
      </c>
      <c r="D22" s="73" t="s">
        <v>3040</v>
      </c>
      <c r="E22" s="73" t="s">
        <v>3150</v>
      </c>
      <c r="F22" s="73" t="s">
        <v>73</v>
      </c>
      <c r="G22" s="73" t="s">
        <v>73</v>
      </c>
      <c r="H22" s="73" t="s">
        <v>73</v>
      </c>
      <c r="I22" s="73" t="s">
        <v>3040</v>
      </c>
      <c r="J22" s="73" t="s">
        <v>3041</v>
      </c>
      <c r="K22" s="73" t="s">
        <v>3151</v>
      </c>
      <c r="L22" s="77">
        <f>IFERROR(__xludf.DUMMYFUNCTION("IFERROR(QUERY(Presidente!$A$3:$AD112, ""SELECT AD WHERE A = '"" &amp; $B22 &amp; ""'""),"""")"),619.0)</f>
        <v>619</v>
      </c>
    </row>
    <row r="23">
      <c r="A23" s="72">
        <v>44390.441083275466</v>
      </c>
      <c r="B23" s="73" t="s">
        <v>244</v>
      </c>
      <c r="C23" s="73" t="s">
        <v>3040</v>
      </c>
      <c r="D23" s="73" t="s">
        <v>3040</v>
      </c>
      <c r="E23" s="73" t="s">
        <v>3150</v>
      </c>
      <c r="F23" s="73" t="s">
        <v>73</v>
      </c>
      <c r="G23" s="73" t="s">
        <v>73</v>
      </c>
      <c r="H23" s="73" t="s">
        <v>73</v>
      </c>
      <c r="I23" s="73" t="s">
        <v>3040</v>
      </c>
      <c r="J23" s="73" t="s">
        <v>3041</v>
      </c>
      <c r="K23" s="73" t="s">
        <v>3153</v>
      </c>
      <c r="L23" s="77">
        <f>IFERROR(__xludf.DUMMYFUNCTION("IFERROR(QUERY(Presidente!$A$3:$AD112, ""SELECT AD WHERE A = '"" &amp; $B23 &amp; ""'""),"""")"),620.0)</f>
        <v>620</v>
      </c>
    </row>
    <row r="24">
      <c r="A24" s="72">
        <v>44389.575957002315</v>
      </c>
      <c r="B24" s="73" t="s">
        <v>254</v>
      </c>
      <c r="C24" s="73" t="s">
        <v>3040</v>
      </c>
      <c r="D24" s="73" t="s">
        <v>3040</v>
      </c>
      <c r="E24" s="73" t="s">
        <v>3150</v>
      </c>
      <c r="F24" s="73" t="s">
        <v>73</v>
      </c>
      <c r="G24" s="73" t="s">
        <v>73</v>
      </c>
      <c r="H24" s="73" t="s">
        <v>73</v>
      </c>
      <c r="I24" s="73" t="s">
        <v>3040</v>
      </c>
      <c r="J24" s="73" t="s">
        <v>3041</v>
      </c>
      <c r="K24" s="73" t="s">
        <v>3151</v>
      </c>
      <c r="L24" s="77">
        <f>IFERROR(__xludf.DUMMYFUNCTION("IFERROR(QUERY(Presidente!$A$3:$AD112, ""SELECT AD WHERE A = '"" &amp; $B24 &amp; ""'""),"""")"),621.0)</f>
        <v>621</v>
      </c>
    </row>
    <row r="25">
      <c r="A25" s="72">
        <v>44382.624622152776</v>
      </c>
      <c r="B25" s="73" t="s">
        <v>264</v>
      </c>
      <c r="C25" s="73" t="s">
        <v>3040</v>
      </c>
      <c r="D25" s="73" t="s">
        <v>3040</v>
      </c>
      <c r="E25" s="73" t="s">
        <v>3150</v>
      </c>
      <c r="F25" s="73" t="s">
        <v>73</v>
      </c>
      <c r="G25" s="73" t="s">
        <v>35</v>
      </c>
      <c r="H25" s="73" t="s">
        <v>73</v>
      </c>
      <c r="I25" s="73" t="s">
        <v>3040</v>
      </c>
      <c r="J25" s="73" t="s">
        <v>3041</v>
      </c>
      <c r="K25" s="73" t="s">
        <v>3151</v>
      </c>
      <c r="L25" s="77">
        <f>IFERROR(__xludf.DUMMYFUNCTION("IFERROR(QUERY(Presidente!$A$3:$AD112, ""SELECT AD WHERE A = '"" &amp; $B25 &amp; ""'""),"""")"),622.0)</f>
        <v>622</v>
      </c>
    </row>
    <row r="26">
      <c r="A26" s="72">
        <v>44389.43856445602</v>
      </c>
      <c r="B26" s="73" t="s">
        <v>274</v>
      </c>
      <c r="C26" s="73" t="s">
        <v>3040</v>
      </c>
      <c r="D26" s="73" t="s">
        <v>3040</v>
      </c>
      <c r="E26" s="73" t="s">
        <v>3150</v>
      </c>
      <c r="F26" s="73" t="s">
        <v>73</v>
      </c>
      <c r="G26" s="73" t="s">
        <v>73</v>
      </c>
      <c r="H26" s="73" t="s">
        <v>73</v>
      </c>
      <c r="I26" s="73" t="s">
        <v>3040</v>
      </c>
      <c r="J26" s="73" t="s">
        <v>3041</v>
      </c>
      <c r="K26" s="73" t="s">
        <v>3151</v>
      </c>
      <c r="L26" s="77">
        <f>IFERROR(__xludf.DUMMYFUNCTION("IFERROR(QUERY(Presidente!$A$3:$AD112, ""SELECT AD WHERE A = '"" &amp; $B26 &amp; ""'""),"""")"),623.0)</f>
        <v>623</v>
      </c>
    </row>
    <row r="27">
      <c r="A27" s="72">
        <v>44382.59905045139</v>
      </c>
      <c r="B27" s="73" t="s">
        <v>284</v>
      </c>
      <c r="C27" s="73" t="s">
        <v>3040</v>
      </c>
      <c r="D27" s="73" t="s">
        <v>3040</v>
      </c>
      <c r="E27" s="73" t="s">
        <v>3150</v>
      </c>
      <c r="F27" s="73" t="s">
        <v>73</v>
      </c>
      <c r="G27" s="73" t="s">
        <v>35</v>
      </c>
      <c r="H27" s="73" t="s">
        <v>3155</v>
      </c>
      <c r="I27" s="73" t="s">
        <v>3040</v>
      </c>
      <c r="J27" s="73" t="s">
        <v>3041</v>
      </c>
      <c r="K27" s="73" t="s">
        <v>3151</v>
      </c>
      <c r="L27" s="77">
        <f>IFERROR(__xludf.DUMMYFUNCTION("IFERROR(QUERY(Presidente!$A$3:$AD112, ""SELECT AD WHERE A = '"" &amp; $B27 &amp; ""'""),"""")"),624.0)</f>
        <v>624</v>
      </c>
    </row>
    <row r="28">
      <c r="A28" s="72">
        <v>44389.61303774305</v>
      </c>
      <c r="B28" s="73" t="s">
        <v>294</v>
      </c>
      <c r="C28" s="73" t="s">
        <v>3040</v>
      </c>
      <c r="D28" s="73" t="s">
        <v>3040</v>
      </c>
      <c r="E28" s="73" t="s">
        <v>3150</v>
      </c>
      <c r="F28" s="73" t="s">
        <v>73</v>
      </c>
      <c r="G28" s="73" t="s">
        <v>73</v>
      </c>
      <c r="H28" s="73" t="s">
        <v>73</v>
      </c>
      <c r="I28" s="73" t="s">
        <v>3040</v>
      </c>
      <c r="J28" s="73" t="s">
        <v>3041</v>
      </c>
      <c r="K28" s="73" t="s">
        <v>3151</v>
      </c>
      <c r="L28" s="77">
        <f>IFERROR(__xludf.DUMMYFUNCTION("IFERROR(QUERY(Presidente!$A$3:$AD112, ""SELECT AD WHERE A = '"" &amp; $B28 &amp; ""'""),"""")"),625.0)</f>
        <v>625</v>
      </c>
    </row>
    <row r="29">
      <c r="A29" s="72">
        <v>44378.57909666667</v>
      </c>
      <c r="B29" s="73" t="s">
        <v>304</v>
      </c>
      <c r="C29" s="73" t="s">
        <v>3040</v>
      </c>
      <c r="D29" s="73" t="s">
        <v>3040</v>
      </c>
      <c r="E29" s="73" t="s">
        <v>3156</v>
      </c>
      <c r="F29" s="73" t="s">
        <v>73</v>
      </c>
      <c r="G29" s="73" t="s">
        <v>73</v>
      </c>
      <c r="H29" s="73" t="s">
        <v>73</v>
      </c>
      <c r="I29" s="73" t="s">
        <v>3040</v>
      </c>
      <c r="J29" s="73" t="s">
        <v>3041</v>
      </c>
      <c r="K29" s="73" t="s">
        <v>3152</v>
      </c>
      <c r="L29" s="77">
        <f>IFERROR(__xludf.DUMMYFUNCTION("IFERROR(QUERY(Presidente!$A$3:$AD112, ""SELECT AD WHERE A = '"" &amp; $B29 &amp; ""'""),"""")"),626.0)</f>
        <v>626</v>
      </c>
    </row>
    <row r="30">
      <c r="A30" s="72">
        <v>44379.35426413194</v>
      </c>
      <c r="B30" s="73" t="s">
        <v>315</v>
      </c>
      <c r="C30" s="73" t="s">
        <v>3040</v>
      </c>
      <c r="D30" s="73" t="s">
        <v>3040</v>
      </c>
      <c r="E30" s="73" t="s">
        <v>3150</v>
      </c>
      <c r="F30" s="73" t="s">
        <v>73</v>
      </c>
      <c r="G30" s="73" t="s">
        <v>73</v>
      </c>
      <c r="H30" s="73" t="s">
        <v>73</v>
      </c>
      <c r="I30" s="73" t="s">
        <v>3040</v>
      </c>
      <c r="J30" s="73" t="s">
        <v>3041</v>
      </c>
      <c r="K30" s="73" t="s">
        <v>3153</v>
      </c>
      <c r="L30" s="77">
        <f>IFERROR(__xludf.DUMMYFUNCTION("IFERROR(QUERY(Presidente!$A$3:$AD112, ""SELECT AD WHERE A = '"" &amp; $B30 &amp; ""'""),"""")"),627.0)</f>
        <v>627</v>
      </c>
    </row>
    <row r="31">
      <c r="A31" s="72">
        <v>44384.442429965275</v>
      </c>
      <c r="B31" s="73" t="s">
        <v>326</v>
      </c>
      <c r="C31" s="73" t="s">
        <v>3040</v>
      </c>
      <c r="D31" s="73" t="s">
        <v>3040</v>
      </c>
      <c r="E31" s="73" t="s">
        <v>3150</v>
      </c>
      <c r="F31" s="73" t="s">
        <v>73</v>
      </c>
      <c r="G31" s="73" t="s">
        <v>73</v>
      </c>
      <c r="H31" s="73" t="s">
        <v>73</v>
      </c>
      <c r="I31" s="73" t="s">
        <v>3040</v>
      </c>
      <c r="J31" s="73" t="s">
        <v>3041</v>
      </c>
      <c r="K31" s="73" t="s">
        <v>3152</v>
      </c>
      <c r="L31" s="77">
        <f>IFERROR(__xludf.DUMMYFUNCTION("IFERROR(QUERY(Presidente!$A$3:$AD112, ""SELECT AD WHERE A = '"" &amp; $B31 &amp; ""'""),"""")"),628.0)</f>
        <v>628</v>
      </c>
    </row>
    <row r="32">
      <c r="A32" s="72">
        <v>44378.60197791667</v>
      </c>
      <c r="B32" s="73" t="s">
        <v>336</v>
      </c>
      <c r="C32" s="73" t="s">
        <v>3040</v>
      </c>
      <c r="D32" s="73" t="s">
        <v>3040</v>
      </c>
      <c r="E32" s="73" t="s">
        <v>3150</v>
      </c>
      <c r="F32" s="73" t="s">
        <v>73</v>
      </c>
      <c r="G32" s="73" t="s">
        <v>35</v>
      </c>
      <c r="H32" s="73" t="s">
        <v>73</v>
      </c>
      <c r="I32" s="73" t="s">
        <v>3040</v>
      </c>
      <c r="J32" s="73" t="s">
        <v>3041</v>
      </c>
      <c r="K32" s="73" t="s">
        <v>3152</v>
      </c>
      <c r="L32" s="77">
        <f>IFERROR(__xludf.DUMMYFUNCTION("IFERROR(QUERY(Presidente!$A$3:$AD112, ""SELECT AD WHERE A = '"" &amp; $B32 &amp; ""'""),"""")"),629.0)</f>
        <v>629</v>
      </c>
    </row>
    <row r="33">
      <c r="A33" s="72">
        <v>44389.580672592594</v>
      </c>
      <c r="B33" s="73" t="s">
        <v>346</v>
      </c>
      <c r="C33" s="73" t="s">
        <v>3040</v>
      </c>
      <c r="D33" s="73" t="s">
        <v>3157</v>
      </c>
      <c r="E33" s="73" t="s">
        <v>3150</v>
      </c>
      <c r="F33" s="73" t="s">
        <v>73</v>
      </c>
      <c r="G33" s="73" t="s">
        <v>35</v>
      </c>
      <c r="H33" s="73" t="s">
        <v>73</v>
      </c>
      <c r="I33" s="73" t="s">
        <v>3040</v>
      </c>
      <c r="J33" s="73" t="s">
        <v>3041</v>
      </c>
      <c r="K33" s="73" t="s">
        <v>3151</v>
      </c>
      <c r="L33" s="77">
        <f>IFERROR(__xludf.DUMMYFUNCTION("IFERROR(QUERY(Presidente!$A$3:$AD112, ""SELECT AD WHERE A = '"" &amp; $B33 &amp; ""'""),"""")"),630.0)</f>
        <v>630</v>
      </c>
    </row>
    <row r="34">
      <c r="A34" s="72">
        <v>44377.61585564815</v>
      </c>
      <c r="B34" s="73" t="s">
        <v>356</v>
      </c>
      <c r="C34" s="73" t="s">
        <v>3040</v>
      </c>
      <c r="D34" s="73" t="s">
        <v>3040</v>
      </c>
      <c r="E34" s="73" t="s">
        <v>3150</v>
      </c>
      <c r="F34" s="73" t="s">
        <v>73</v>
      </c>
      <c r="G34" s="73" t="s">
        <v>73</v>
      </c>
      <c r="H34" s="73" t="s">
        <v>73</v>
      </c>
      <c r="I34" s="73" t="s">
        <v>3040</v>
      </c>
      <c r="J34" s="73" t="s">
        <v>3041</v>
      </c>
      <c r="K34" s="73" t="s">
        <v>3151</v>
      </c>
      <c r="L34" s="77">
        <f>IFERROR(__xludf.DUMMYFUNCTION("IFERROR(QUERY(Presidente!$A$3:$AD112, ""SELECT AD WHERE A = '"" &amp; $B34 &amp; ""'""),"""")"),631.0)</f>
        <v>631</v>
      </c>
    </row>
    <row r="35">
      <c r="A35" s="72">
        <v>44382.58136940972</v>
      </c>
      <c r="B35" s="73" t="s">
        <v>366</v>
      </c>
      <c r="C35" s="73" t="s">
        <v>3040</v>
      </c>
      <c r="D35" s="73" t="s">
        <v>3040</v>
      </c>
      <c r="E35" s="73" t="s">
        <v>3150</v>
      </c>
      <c r="F35" s="73" t="s">
        <v>73</v>
      </c>
      <c r="G35" s="73" t="s">
        <v>73</v>
      </c>
      <c r="H35" s="73" t="s">
        <v>3158</v>
      </c>
      <c r="I35" s="73" t="s">
        <v>3040</v>
      </c>
      <c r="J35" s="73" t="s">
        <v>3041</v>
      </c>
      <c r="K35" s="73" t="s">
        <v>3151</v>
      </c>
      <c r="L35" s="77">
        <f>IFERROR(__xludf.DUMMYFUNCTION("IFERROR(QUERY(Presidente!$A$3:$AD112, ""SELECT AD WHERE A = '"" &amp; $B35 &amp; ""'""),"""")"),632.0)</f>
        <v>632</v>
      </c>
    </row>
    <row r="36">
      <c r="A36" s="72">
        <v>44383.573141574074</v>
      </c>
      <c r="B36" s="73" t="s">
        <v>376</v>
      </c>
      <c r="C36" s="73" t="s">
        <v>3040</v>
      </c>
      <c r="D36" s="73" t="s">
        <v>3040</v>
      </c>
      <c r="E36" s="73" t="s">
        <v>3150</v>
      </c>
      <c r="F36" s="73" t="s">
        <v>73</v>
      </c>
      <c r="G36" s="73" t="s">
        <v>73</v>
      </c>
      <c r="H36" s="73" t="s">
        <v>73</v>
      </c>
      <c r="I36" s="73" t="s">
        <v>3040</v>
      </c>
      <c r="J36" s="73" t="s">
        <v>3041</v>
      </c>
      <c r="K36" s="73" t="s">
        <v>3153</v>
      </c>
      <c r="L36" s="77">
        <f>IFERROR(__xludf.DUMMYFUNCTION("IFERROR(QUERY(Presidente!$A$3:$AD112, ""SELECT AD WHERE A = '"" &amp; $B36 &amp; ""'""),"""")"),633.0)</f>
        <v>633</v>
      </c>
    </row>
    <row r="37">
      <c r="A37" s="72">
        <v>44378.60947591435</v>
      </c>
      <c r="B37" s="73" t="s">
        <v>386</v>
      </c>
      <c r="C37" s="73" t="s">
        <v>3040</v>
      </c>
      <c r="D37" s="73" t="s">
        <v>3040</v>
      </c>
      <c r="E37" s="73" t="s">
        <v>3150</v>
      </c>
      <c r="F37" s="73" t="s">
        <v>73</v>
      </c>
      <c r="G37" s="73" t="s">
        <v>73</v>
      </c>
      <c r="H37" s="73" t="s">
        <v>73</v>
      </c>
      <c r="I37" s="73" t="s">
        <v>3040</v>
      </c>
      <c r="J37" s="73" t="s">
        <v>3041</v>
      </c>
      <c r="K37" s="73" t="s">
        <v>3152</v>
      </c>
      <c r="L37" s="77">
        <f>IFERROR(__xludf.DUMMYFUNCTION("IFERROR(QUERY(Presidente!$A$3:$AD112, ""SELECT AD WHERE A = '"" &amp; $B37 &amp; ""'""),"""")"),634.0)</f>
        <v>634</v>
      </c>
    </row>
    <row r="38">
      <c r="A38" s="72">
        <v>44382.573738692125</v>
      </c>
      <c r="B38" s="73" t="s">
        <v>396</v>
      </c>
      <c r="C38" s="73" t="s">
        <v>3040</v>
      </c>
      <c r="D38" s="73" t="s">
        <v>3040</v>
      </c>
      <c r="E38" s="73" t="s">
        <v>3150</v>
      </c>
      <c r="F38" s="73" t="s">
        <v>73</v>
      </c>
      <c r="G38" s="73" t="s">
        <v>73</v>
      </c>
      <c r="H38" s="73" t="s">
        <v>73</v>
      </c>
      <c r="I38" s="73" t="s">
        <v>3040</v>
      </c>
      <c r="J38" s="73" t="s">
        <v>3041</v>
      </c>
      <c r="K38" s="73" t="s">
        <v>3151</v>
      </c>
      <c r="L38" s="77">
        <f>IFERROR(__xludf.DUMMYFUNCTION("IFERROR(QUERY(Presidente!$A$3:$AD112, ""SELECT AD WHERE A = '"" &amp; $B38 &amp; ""'""),"""")"),635.0)</f>
        <v>635</v>
      </c>
    </row>
    <row r="39">
      <c r="A39" s="72">
        <v>44391.58318032407</v>
      </c>
      <c r="B39" s="73" t="s">
        <v>406</v>
      </c>
      <c r="C39" s="73" t="s">
        <v>3040</v>
      </c>
      <c r="D39" s="73" t="s">
        <v>3040</v>
      </c>
      <c r="E39" s="73" t="s">
        <v>3150</v>
      </c>
      <c r="F39" s="73" t="s">
        <v>73</v>
      </c>
      <c r="G39" s="73" t="s">
        <v>35</v>
      </c>
      <c r="H39" s="73" t="s">
        <v>73</v>
      </c>
      <c r="I39" s="73" t="s">
        <v>3040</v>
      </c>
      <c r="J39" s="73" t="s">
        <v>3041</v>
      </c>
      <c r="K39" s="73" t="s">
        <v>3152</v>
      </c>
      <c r="L39" s="77">
        <f>IFERROR(__xludf.DUMMYFUNCTION("IFERROR(QUERY(Presidente!$A$3:$AD112, ""SELECT AD WHERE A = '"" &amp; $B39 &amp; ""'""),"""")"),636.0)</f>
        <v>636</v>
      </c>
    </row>
    <row r="40">
      <c r="A40" s="72">
        <v>44378.42482560185</v>
      </c>
      <c r="B40" s="73" t="s">
        <v>416</v>
      </c>
      <c r="C40" s="73" t="s">
        <v>3040</v>
      </c>
      <c r="D40" s="73" t="s">
        <v>3040</v>
      </c>
      <c r="E40" s="73" t="s">
        <v>3150</v>
      </c>
      <c r="F40" s="73" t="s">
        <v>73</v>
      </c>
      <c r="G40" s="73" t="s">
        <v>73</v>
      </c>
      <c r="H40" s="73" t="s">
        <v>73</v>
      </c>
      <c r="I40" s="73" t="s">
        <v>3040</v>
      </c>
      <c r="J40" s="73" t="s">
        <v>3041</v>
      </c>
      <c r="K40" s="73" t="s">
        <v>3151</v>
      </c>
      <c r="L40" s="77">
        <f>IFERROR(__xludf.DUMMYFUNCTION("IFERROR(QUERY(Presidente!$A$3:$AD112, ""SELECT AD WHERE A = '"" &amp; $B40 &amp; ""'""),"""")"),637.0)</f>
        <v>637</v>
      </c>
    </row>
    <row r="41">
      <c r="A41" s="72">
        <v>44382.432037569444</v>
      </c>
      <c r="B41" s="73" t="s">
        <v>426</v>
      </c>
      <c r="C41" s="73" t="s">
        <v>3040</v>
      </c>
      <c r="D41" s="73" t="s">
        <v>3040</v>
      </c>
      <c r="E41" s="73" t="s">
        <v>3150</v>
      </c>
      <c r="F41" s="73" t="s">
        <v>73</v>
      </c>
      <c r="G41" s="73" t="s">
        <v>73</v>
      </c>
      <c r="H41" s="73" t="s">
        <v>73</v>
      </c>
      <c r="I41" s="73" t="s">
        <v>3040</v>
      </c>
      <c r="J41" s="73" t="s">
        <v>3041</v>
      </c>
      <c r="K41" s="73" t="s">
        <v>3151</v>
      </c>
      <c r="L41" s="77">
        <f>IFERROR(__xludf.DUMMYFUNCTION("IFERROR(QUERY(Presidente!$A$3:$AD112, ""SELECT AD WHERE A = '"" &amp; $B41 &amp; ""'""),"""")"),638.0)</f>
        <v>638</v>
      </c>
    </row>
    <row r="42">
      <c r="A42" s="72">
        <v>44391.55771291666</v>
      </c>
      <c r="B42" s="73" t="s">
        <v>436</v>
      </c>
      <c r="C42" s="73" t="s">
        <v>3040</v>
      </c>
      <c r="D42" s="73" t="s">
        <v>3040</v>
      </c>
      <c r="E42" s="73" t="s">
        <v>3150</v>
      </c>
      <c r="F42" s="73" t="s">
        <v>73</v>
      </c>
      <c r="G42" s="73" t="s">
        <v>73</v>
      </c>
      <c r="H42" s="73" t="s">
        <v>73</v>
      </c>
      <c r="I42" s="73" t="s">
        <v>3040</v>
      </c>
      <c r="J42" s="73" t="s">
        <v>3041</v>
      </c>
      <c r="K42" s="73" t="s">
        <v>3152</v>
      </c>
      <c r="L42" s="77">
        <f>IFERROR(__xludf.DUMMYFUNCTION("IFERROR(QUERY(Presidente!$A$3:$AD112, ""SELECT AD WHERE A = '"" &amp; $B42 &amp; ""'""),"""")"),639.0)</f>
        <v>639</v>
      </c>
    </row>
    <row r="43">
      <c r="A43" s="72">
        <v>44391.42874030092</v>
      </c>
      <c r="B43" s="73" t="s">
        <v>446</v>
      </c>
      <c r="C43" s="73" t="s">
        <v>3040</v>
      </c>
      <c r="D43" s="73" t="s">
        <v>3040</v>
      </c>
      <c r="E43" s="73" t="s">
        <v>3150</v>
      </c>
      <c r="F43" s="73" t="s">
        <v>73</v>
      </c>
      <c r="G43" s="73" t="s">
        <v>73</v>
      </c>
      <c r="H43" s="73" t="s">
        <v>73</v>
      </c>
      <c r="I43" s="73" t="s">
        <v>3040</v>
      </c>
      <c r="J43" s="73" t="s">
        <v>3041</v>
      </c>
      <c r="K43" s="73" t="s">
        <v>3151</v>
      </c>
      <c r="L43" s="77">
        <f>IFERROR(__xludf.DUMMYFUNCTION("IFERROR(QUERY(Presidente!$A$3:$AD112, ""SELECT AD WHERE A = '"" &amp; $B43 &amp; ""'""),"""")"),640.0)</f>
        <v>640</v>
      </c>
    </row>
    <row r="44">
      <c r="A44" s="72">
        <v>44392.59705505787</v>
      </c>
      <c r="B44" s="73" t="s">
        <v>456</v>
      </c>
      <c r="C44" s="73" t="s">
        <v>3040</v>
      </c>
      <c r="D44" s="73" t="s">
        <v>3040</v>
      </c>
      <c r="E44" s="73" t="s">
        <v>3150</v>
      </c>
      <c r="F44" s="73" t="s">
        <v>73</v>
      </c>
      <c r="G44" s="73" t="s">
        <v>73</v>
      </c>
      <c r="H44" s="73" t="s">
        <v>73</v>
      </c>
      <c r="I44" s="73" t="s">
        <v>3159</v>
      </c>
      <c r="J44" s="73" t="s">
        <v>3041</v>
      </c>
      <c r="K44" s="73" t="s">
        <v>3160</v>
      </c>
      <c r="L44" s="77">
        <f>IFERROR(__xludf.DUMMYFUNCTION("IFERROR(QUERY(Presidente!$A$3:$AD112, ""SELECT AD WHERE A = '"" &amp; $B44 &amp; ""'""),"""")"),641.0)</f>
        <v>641</v>
      </c>
    </row>
    <row r="45">
      <c r="A45" s="72">
        <v>44378.589334965276</v>
      </c>
      <c r="B45" s="73" t="s">
        <v>466</v>
      </c>
      <c r="C45" s="73" t="s">
        <v>3040</v>
      </c>
      <c r="D45" s="73" t="s">
        <v>3040</v>
      </c>
      <c r="E45" s="73" t="s">
        <v>3150</v>
      </c>
      <c r="F45" s="73" t="s">
        <v>73</v>
      </c>
      <c r="G45" s="73" t="s">
        <v>73</v>
      </c>
      <c r="H45" s="73" t="s">
        <v>73</v>
      </c>
      <c r="I45" s="73" t="s">
        <v>3040</v>
      </c>
      <c r="J45" s="73" t="s">
        <v>3041</v>
      </c>
      <c r="K45" s="73" t="s">
        <v>3152</v>
      </c>
      <c r="L45" s="77">
        <f>IFERROR(__xludf.DUMMYFUNCTION("IFERROR(QUERY(Presidente!$A$3:$AD112, ""SELECT AD WHERE A = '"" &amp; $B45 &amp; ""'""),"""")"),642.0)</f>
        <v>642</v>
      </c>
    </row>
    <row r="46">
      <c r="A46" s="72">
        <v>44383.58553483796</v>
      </c>
      <c r="B46" s="73" t="s">
        <v>476</v>
      </c>
      <c r="C46" s="73" t="s">
        <v>3040</v>
      </c>
      <c r="D46" s="73" t="s">
        <v>3040</v>
      </c>
      <c r="E46" s="73" t="s">
        <v>3150</v>
      </c>
      <c r="F46" s="73" t="s">
        <v>73</v>
      </c>
      <c r="G46" s="73" t="s">
        <v>73</v>
      </c>
      <c r="H46" s="73" t="s">
        <v>73</v>
      </c>
      <c r="I46" s="73" t="s">
        <v>3040</v>
      </c>
      <c r="J46" s="73" t="s">
        <v>3041</v>
      </c>
      <c r="K46" s="73" t="s">
        <v>3153</v>
      </c>
      <c r="L46" s="77">
        <f>IFERROR(__xludf.DUMMYFUNCTION("IFERROR(QUERY(Presidente!$A$3:$AD112, ""SELECT AD WHERE A = '"" &amp; $B46 &amp; ""'""),"""")"),643.0)</f>
        <v>643</v>
      </c>
    </row>
    <row r="47">
      <c r="A47" s="72">
        <v>44389.60901905093</v>
      </c>
      <c r="B47" s="73" t="s">
        <v>486</v>
      </c>
      <c r="C47" s="73" t="s">
        <v>3040</v>
      </c>
      <c r="D47" s="73" t="s">
        <v>3040</v>
      </c>
      <c r="E47" s="73" t="s">
        <v>3150</v>
      </c>
      <c r="F47" s="73" t="s">
        <v>73</v>
      </c>
      <c r="G47" s="73" t="s">
        <v>35</v>
      </c>
      <c r="H47" s="73" t="s">
        <v>73</v>
      </c>
      <c r="I47" s="73" t="s">
        <v>3040</v>
      </c>
      <c r="J47" s="73" t="s">
        <v>3041</v>
      </c>
      <c r="K47" s="73" t="s">
        <v>3151</v>
      </c>
      <c r="L47" s="77">
        <f>IFERROR(__xludf.DUMMYFUNCTION("IFERROR(QUERY(Presidente!$A$3:$AD112, ""SELECT AD WHERE A = '"" &amp; $B47 &amp; ""'""),"""")"),644.0)</f>
        <v>644</v>
      </c>
    </row>
    <row r="48">
      <c r="A48" s="72">
        <v>44389.608586319446</v>
      </c>
      <c r="B48" s="73" t="s">
        <v>497</v>
      </c>
      <c r="C48" s="73" t="s">
        <v>3040</v>
      </c>
      <c r="D48" s="73" t="s">
        <v>3040</v>
      </c>
      <c r="E48" s="73" t="s">
        <v>3150</v>
      </c>
      <c r="F48" s="73" t="s">
        <v>73</v>
      </c>
      <c r="G48" s="73" t="s">
        <v>73</v>
      </c>
      <c r="H48" s="73" t="s">
        <v>73</v>
      </c>
      <c r="I48" s="73" t="s">
        <v>3040</v>
      </c>
      <c r="J48" s="73" t="s">
        <v>3041</v>
      </c>
      <c r="K48" s="73" t="s">
        <v>3151</v>
      </c>
      <c r="L48" s="77">
        <f>IFERROR(__xludf.DUMMYFUNCTION("IFERROR(QUERY(Presidente!$A$3:$AD112, ""SELECT AD WHERE A = '"" &amp; $B48 &amp; ""'""),"""")"),645.0)</f>
        <v>645</v>
      </c>
    </row>
    <row r="49">
      <c r="A49" s="72">
        <v>44384.60964109954</v>
      </c>
      <c r="B49" s="73" t="s">
        <v>508</v>
      </c>
      <c r="C49" s="73" t="s">
        <v>3040</v>
      </c>
      <c r="D49" s="73" t="s">
        <v>3040</v>
      </c>
      <c r="E49" s="73" t="s">
        <v>3150</v>
      </c>
      <c r="F49" s="73" t="s">
        <v>73</v>
      </c>
      <c r="G49" s="73" t="s">
        <v>73</v>
      </c>
      <c r="H49" s="73" t="s">
        <v>73</v>
      </c>
      <c r="I49" s="73" t="s">
        <v>3040</v>
      </c>
      <c r="J49" s="73" t="s">
        <v>3041</v>
      </c>
      <c r="K49" s="73" t="s">
        <v>3152</v>
      </c>
      <c r="L49" s="77">
        <f>IFERROR(__xludf.DUMMYFUNCTION("IFERROR(QUERY(Presidente!$A$3:$AD112, ""SELECT AD WHERE A = '"" &amp; $B49 &amp; ""'""),"""")"),646.0)</f>
        <v>646</v>
      </c>
    </row>
    <row r="50">
      <c r="A50" s="72">
        <v>44385.57982084491</v>
      </c>
      <c r="B50" s="73" t="s">
        <v>518</v>
      </c>
      <c r="C50" s="73" t="s">
        <v>3040</v>
      </c>
      <c r="D50" s="73" t="s">
        <v>3040</v>
      </c>
      <c r="E50" s="73" t="s">
        <v>3150</v>
      </c>
      <c r="F50" s="73" t="s">
        <v>73</v>
      </c>
      <c r="G50" s="73" t="s">
        <v>35</v>
      </c>
      <c r="H50" s="73" t="s">
        <v>73</v>
      </c>
      <c r="I50" s="73" t="s">
        <v>3040</v>
      </c>
      <c r="J50" s="73" t="s">
        <v>3041</v>
      </c>
      <c r="K50" s="73" t="s">
        <v>3152</v>
      </c>
      <c r="L50" s="77">
        <f>IFERROR(__xludf.DUMMYFUNCTION("IFERROR(QUERY(Presidente!$A$3:$AD112, ""SELECT AD WHERE A = '"" &amp; $B50 &amp; ""'""),"""")"),647.0)</f>
        <v>647</v>
      </c>
    </row>
    <row r="51">
      <c r="A51" s="72">
        <v>44385.59471895834</v>
      </c>
      <c r="B51" s="73" t="s">
        <v>528</v>
      </c>
      <c r="C51" s="73" t="s">
        <v>3040</v>
      </c>
      <c r="D51" s="73" t="s">
        <v>3040</v>
      </c>
      <c r="E51" s="73" t="s">
        <v>3150</v>
      </c>
      <c r="F51" s="73" t="s">
        <v>73</v>
      </c>
      <c r="G51" s="73" t="s">
        <v>73</v>
      </c>
      <c r="H51" s="73" t="s">
        <v>73</v>
      </c>
      <c r="I51" s="73" t="s">
        <v>3040</v>
      </c>
      <c r="J51" s="73" t="s">
        <v>3041</v>
      </c>
      <c r="K51" s="73" t="s">
        <v>3152</v>
      </c>
      <c r="L51" s="77">
        <f>IFERROR(__xludf.DUMMYFUNCTION("IFERROR(QUERY(Presidente!$A$3:$AD112, ""SELECT AD WHERE A = '"" &amp; $B51 &amp; ""'""),"""")"),648.0)</f>
        <v>648</v>
      </c>
    </row>
    <row r="52">
      <c r="A52" s="72">
        <v>44392.569275891205</v>
      </c>
      <c r="B52" s="73" t="s">
        <v>538</v>
      </c>
      <c r="C52" s="73" t="s">
        <v>3040</v>
      </c>
      <c r="D52" s="73" t="s">
        <v>3040</v>
      </c>
      <c r="E52" s="73" t="s">
        <v>3150</v>
      </c>
      <c r="F52" s="73" t="s">
        <v>73</v>
      </c>
      <c r="G52" s="73" t="s">
        <v>73</v>
      </c>
      <c r="H52" s="73" t="s">
        <v>73</v>
      </c>
      <c r="I52" s="73" t="s">
        <v>3161</v>
      </c>
      <c r="J52" s="73" t="s">
        <v>3041</v>
      </c>
      <c r="K52" s="73" t="s">
        <v>3160</v>
      </c>
      <c r="L52" s="77">
        <f>IFERROR(__xludf.DUMMYFUNCTION("IFERROR(QUERY(Presidente!$A$3:$AD112, ""SELECT AD WHERE A = '"" &amp; $B52 &amp; ""'""),"""")"),649.0)</f>
        <v>649</v>
      </c>
    </row>
    <row r="53">
      <c r="A53" s="72">
        <v>44392.42756252315</v>
      </c>
      <c r="B53" s="73" t="s">
        <v>548</v>
      </c>
      <c r="C53" s="73" t="s">
        <v>3040</v>
      </c>
      <c r="D53" s="73" t="s">
        <v>3040</v>
      </c>
      <c r="E53" s="73" t="s">
        <v>3150</v>
      </c>
      <c r="F53" s="73" t="s">
        <v>73</v>
      </c>
      <c r="G53" s="73" t="s">
        <v>73</v>
      </c>
      <c r="H53" s="73" t="s">
        <v>73</v>
      </c>
      <c r="I53" s="73" t="s">
        <v>3040</v>
      </c>
      <c r="J53" s="73" t="s">
        <v>3041</v>
      </c>
      <c r="K53" s="73" t="s">
        <v>3151</v>
      </c>
      <c r="L53" s="77">
        <f>IFERROR(__xludf.DUMMYFUNCTION("IFERROR(QUERY(Presidente!$A$3:$AD112, ""SELECT AD WHERE A = '"" &amp; $B53 &amp; ""'""),"""")"),650.0)</f>
        <v>650</v>
      </c>
    </row>
    <row r="54">
      <c r="A54" s="72">
        <v>44383.56781717592</v>
      </c>
      <c r="B54" s="73" t="s">
        <v>558</v>
      </c>
      <c r="C54" s="73" t="s">
        <v>3040</v>
      </c>
      <c r="D54" s="73" t="s">
        <v>3040</v>
      </c>
      <c r="E54" s="73" t="s">
        <v>3150</v>
      </c>
      <c r="F54" s="73" t="s">
        <v>73</v>
      </c>
      <c r="G54" s="73" t="s">
        <v>73</v>
      </c>
      <c r="H54" s="73" t="s">
        <v>73</v>
      </c>
      <c r="I54" s="73" t="s">
        <v>3040</v>
      </c>
      <c r="J54" s="73" t="s">
        <v>3041</v>
      </c>
      <c r="K54" s="73" t="s">
        <v>3153</v>
      </c>
      <c r="L54" s="77">
        <f>IFERROR(__xludf.DUMMYFUNCTION("IFERROR(QUERY(Presidente!$A$3:$AD112, ""SELECT AD WHERE A = '"" &amp; $B54 &amp; ""'""),"""")"),651.0)</f>
        <v>651</v>
      </c>
    </row>
    <row r="55">
      <c r="A55" s="72">
        <v>44382.57581663194</v>
      </c>
      <c r="B55" s="73" t="s">
        <v>568</v>
      </c>
      <c r="C55" s="73" t="s">
        <v>3040</v>
      </c>
      <c r="D55" s="73" t="s">
        <v>3040</v>
      </c>
      <c r="E55" s="73" t="s">
        <v>3150</v>
      </c>
      <c r="F55" s="73" t="s">
        <v>73</v>
      </c>
      <c r="G55" s="73" t="s">
        <v>73</v>
      </c>
      <c r="H55" s="73" t="s">
        <v>73</v>
      </c>
      <c r="I55" s="73" t="s">
        <v>3040</v>
      </c>
      <c r="J55" s="73" t="s">
        <v>3041</v>
      </c>
      <c r="K55" s="73" t="s">
        <v>3151</v>
      </c>
      <c r="L55" s="77">
        <f>IFERROR(__xludf.DUMMYFUNCTION("IFERROR(QUERY(Presidente!$A$3:$AD112, ""SELECT AD WHERE A = '"" &amp; $B55 &amp; ""'""),"""")"),652.0)</f>
        <v>652</v>
      </c>
    </row>
    <row r="56">
      <c r="A56" s="83">
        <v>44385.44741806713</v>
      </c>
      <c r="B56" s="84" t="s">
        <v>578</v>
      </c>
      <c r="C56" s="84" t="s">
        <v>3040</v>
      </c>
      <c r="D56" s="84" t="s">
        <v>3040</v>
      </c>
      <c r="E56" s="84" t="s">
        <v>3162</v>
      </c>
      <c r="F56" s="84" t="s">
        <v>73</v>
      </c>
      <c r="G56" s="84" t="s">
        <v>73</v>
      </c>
      <c r="H56" s="84" t="s">
        <v>73</v>
      </c>
      <c r="I56" s="84" t="s">
        <v>3040</v>
      </c>
      <c r="J56" s="84" t="s">
        <v>3041</v>
      </c>
      <c r="K56" s="84" t="s">
        <v>3153</v>
      </c>
      <c r="L56" s="89">
        <f>IFERROR(__xludf.DUMMYFUNCTION("IFERROR(QUERY(Presidente!$A$3:$AD112, ""SELECT AD WHERE A = '"" &amp; $B56 &amp; ""'""),"""")"),653.0)</f>
        <v>653</v>
      </c>
    </row>
    <row r="57">
      <c r="A57" s="72">
        <v>44391.594251215276</v>
      </c>
      <c r="B57" s="73" t="s">
        <v>588</v>
      </c>
      <c r="C57" s="73" t="s">
        <v>3040</v>
      </c>
      <c r="D57" s="73" t="s">
        <v>3040</v>
      </c>
      <c r="E57" s="73" t="s">
        <v>3150</v>
      </c>
      <c r="F57" s="73" t="s">
        <v>73</v>
      </c>
      <c r="G57" s="73" t="s">
        <v>73</v>
      </c>
      <c r="H57" s="73">
        <v>47.0</v>
      </c>
      <c r="I57" s="73" t="s">
        <v>3040</v>
      </c>
      <c r="J57" s="73" t="s">
        <v>3041</v>
      </c>
      <c r="K57" s="73" t="s">
        <v>3152</v>
      </c>
      <c r="L57" s="77">
        <f>IFERROR(__xludf.DUMMYFUNCTION("IFERROR(QUERY(Presidente!$A$3:$AD112, ""SELECT AD WHERE A = '"" &amp; $B57 &amp; ""'""),"""")"),654.0)</f>
        <v>654</v>
      </c>
    </row>
    <row r="58">
      <c r="A58" s="72">
        <v>44382.42170248843</v>
      </c>
      <c r="B58" s="73" t="s">
        <v>599</v>
      </c>
      <c r="C58" s="73" t="s">
        <v>3040</v>
      </c>
      <c r="D58" s="73" t="s">
        <v>3040</v>
      </c>
      <c r="E58" s="73" t="s">
        <v>3150</v>
      </c>
      <c r="F58" s="73" t="s">
        <v>73</v>
      </c>
      <c r="G58" s="73" t="s">
        <v>73</v>
      </c>
      <c r="H58" s="73" t="s">
        <v>73</v>
      </c>
      <c r="I58" s="73" t="s">
        <v>3040</v>
      </c>
      <c r="J58" s="73" t="s">
        <v>3041</v>
      </c>
      <c r="K58" s="73" t="s">
        <v>3151</v>
      </c>
      <c r="L58" s="77">
        <f>IFERROR(__xludf.DUMMYFUNCTION("IFERROR(QUERY(Presidente!$A$3:$AD112, ""SELECT AD WHERE A = '"" &amp; $B58 &amp; ""'""),"""")"),655.0)</f>
        <v>655</v>
      </c>
    </row>
    <row r="59">
      <c r="A59" s="72">
        <v>44390.604878750004</v>
      </c>
      <c r="B59" s="73" t="s">
        <v>610</v>
      </c>
      <c r="C59" s="73" t="s">
        <v>3040</v>
      </c>
      <c r="D59" s="73" t="s">
        <v>3040</v>
      </c>
      <c r="E59" s="73" t="s">
        <v>3150</v>
      </c>
      <c r="F59" s="73" t="s">
        <v>73</v>
      </c>
      <c r="G59" s="73" t="s">
        <v>73</v>
      </c>
      <c r="H59" s="73" t="s">
        <v>73</v>
      </c>
      <c r="I59" s="73" t="s">
        <v>3040</v>
      </c>
      <c r="J59" s="73" t="s">
        <v>3041</v>
      </c>
      <c r="K59" s="73" t="s">
        <v>3152</v>
      </c>
      <c r="L59" s="77">
        <f>IFERROR(__xludf.DUMMYFUNCTION("IFERROR(QUERY(Presidente!$A$3:$AD112, ""SELECT AD WHERE A = '"" &amp; $B59 &amp; ""'""),"""")"),656.0)</f>
        <v>656</v>
      </c>
    </row>
    <row r="60">
      <c r="A60" s="72">
        <v>44390.42061545139</v>
      </c>
      <c r="B60" s="73" t="s">
        <v>620</v>
      </c>
      <c r="C60" s="73" t="s">
        <v>3040</v>
      </c>
      <c r="D60" s="73" t="s">
        <v>3040</v>
      </c>
      <c r="E60" s="73" t="s">
        <v>3150</v>
      </c>
      <c r="F60" s="73" t="s">
        <v>73</v>
      </c>
      <c r="G60" s="73" t="s">
        <v>73</v>
      </c>
      <c r="H60" s="73" t="s">
        <v>3163</v>
      </c>
      <c r="I60" s="73" t="s">
        <v>3040</v>
      </c>
      <c r="J60" s="73" t="s">
        <v>3041</v>
      </c>
      <c r="K60" s="73" t="s">
        <v>3153</v>
      </c>
      <c r="L60" s="77">
        <f>IFERROR(__xludf.DUMMYFUNCTION("IFERROR(QUERY(Presidente!$A$3:$AD112, ""SELECT AD WHERE A = '"" &amp; $B60 &amp; ""'""),"""")"),657.0)</f>
        <v>657</v>
      </c>
    </row>
    <row r="61">
      <c r="A61" s="72">
        <v>44377.42891077546</v>
      </c>
      <c r="B61" s="73" t="s">
        <v>630</v>
      </c>
      <c r="C61" s="73" t="s">
        <v>3040</v>
      </c>
      <c r="D61" s="73" t="s">
        <v>3040</v>
      </c>
      <c r="E61" s="73" t="s">
        <v>3150</v>
      </c>
      <c r="F61" s="73" t="s">
        <v>73</v>
      </c>
      <c r="G61" s="73" t="s">
        <v>73</v>
      </c>
      <c r="H61" s="73" t="s">
        <v>73</v>
      </c>
      <c r="I61" s="73" t="s">
        <v>3040</v>
      </c>
      <c r="J61" s="73" t="s">
        <v>3041</v>
      </c>
      <c r="K61" s="73" t="s">
        <v>3151</v>
      </c>
      <c r="L61" s="77">
        <f>IFERROR(__xludf.DUMMYFUNCTION("IFERROR(QUERY(Presidente!$A$3:$AD112, ""SELECT AD WHERE A = '"" &amp; $B61 &amp; ""'""),"""")"),658.0)</f>
        <v>658</v>
      </c>
    </row>
    <row r="62">
      <c r="A62" s="72">
        <v>44391.57271331019</v>
      </c>
      <c r="B62" s="73" t="s">
        <v>640</v>
      </c>
      <c r="C62" s="73" t="s">
        <v>3040</v>
      </c>
      <c r="D62" s="73" t="s">
        <v>3040</v>
      </c>
      <c r="E62" s="73" t="s">
        <v>3150</v>
      </c>
      <c r="F62" s="73" t="s">
        <v>73</v>
      </c>
      <c r="G62" s="73" t="s">
        <v>73</v>
      </c>
      <c r="H62" s="73" t="s">
        <v>73</v>
      </c>
      <c r="I62" s="73" t="s">
        <v>3040</v>
      </c>
      <c r="J62" s="73" t="s">
        <v>3041</v>
      </c>
      <c r="K62" s="73" t="s">
        <v>3152</v>
      </c>
      <c r="L62" s="77">
        <f>IFERROR(__xludf.DUMMYFUNCTION("IFERROR(QUERY(Presidente!$A$3:$AD112, ""SELECT AD WHERE A = '"" &amp; $B62 &amp; ""'""),"""")"),659.0)</f>
        <v>659</v>
      </c>
    </row>
    <row r="63">
      <c r="A63" s="72">
        <v>44390.56709635416</v>
      </c>
      <c r="B63" s="73" t="s">
        <v>650</v>
      </c>
      <c r="C63" s="73" t="s">
        <v>3040</v>
      </c>
      <c r="D63" s="73" t="s">
        <v>3040</v>
      </c>
      <c r="E63" s="73" t="s">
        <v>3150</v>
      </c>
      <c r="F63" s="73" t="s">
        <v>73</v>
      </c>
      <c r="G63" s="73" t="s">
        <v>73</v>
      </c>
      <c r="H63" s="73" t="s">
        <v>73</v>
      </c>
      <c r="I63" s="73" t="s">
        <v>3040</v>
      </c>
      <c r="J63" s="73" t="s">
        <v>3041</v>
      </c>
      <c r="K63" s="73" t="s">
        <v>3152</v>
      </c>
      <c r="L63" s="77">
        <f>IFERROR(__xludf.DUMMYFUNCTION("IFERROR(QUERY(Presidente!$A$3:$AD112, ""SELECT AD WHERE A = '"" &amp; $B63 &amp; ""'""),"""")"),660.0)</f>
        <v>660</v>
      </c>
    </row>
    <row r="64">
      <c r="A64" s="72">
        <v>44383.435914270834</v>
      </c>
      <c r="B64" s="73" t="s">
        <v>660</v>
      </c>
      <c r="C64" s="73" t="s">
        <v>3040</v>
      </c>
      <c r="D64" s="73" t="s">
        <v>3040</v>
      </c>
      <c r="E64" s="73" t="s">
        <v>3150</v>
      </c>
      <c r="F64" s="73" t="s">
        <v>73</v>
      </c>
      <c r="G64" s="73" t="s">
        <v>73</v>
      </c>
      <c r="H64" s="73" t="s">
        <v>73</v>
      </c>
      <c r="I64" s="73" t="s">
        <v>3040</v>
      </c>
      <c r="J64" s="73" t="s">
        <v>3041</v>
      </c>
      <c r="K64" s="73" t="s">
        <v>3153</v>
      </c>
      <c r="L64" s="77">
        <f>IFERROR(__xludf.DUMMYFUNCTION("IFERROR(QUERY(Presidente!$A$3:$AD112, ""SELECT AD WHERE A = '"" &amp; $B64 &amp; ""'""),"""")"),661.0)</f>
        <v>661</v>
      </c>
    </row>
    <row r="65">
      <c r="A65" s="72">
        <v>44379.37862495371</v>
      </c>
      <c r="B65" s="73" t="s">
        <v>670</v>
      </c>
      <c r="C65" s="73" t="s">
        <v>3157</v>
      </c>
      <c r="D65" s="73" t="s">
        <v>3040</v>
      </c>
      <c r="E65" s="73" t="s">
        <v>3150</v>
      </c>
      <c r="F65" s="73" t="s">
        <v>73</v>
      </c>
      <c r="G65" s="73" t="s">
        <v>73</v>
      </c>
      <c r="H65" s="73" t="s">
        <v>3164</v>
      </c>
      <c r="I65" s="73" t="s">
        <v>3165</v>
      </c>
      <c r="J65" s="73" t="s">
        <v>3166</v>
      </c>
      <c r="K65" s="73" t="s">
        <v>3153</v>
      </c>
      <c r="L65" s="77">
        <f>IFERROR(__xludf.DUMMYFUNCTION("IFERROR(QUERY(Presidente!$A$3:$AD112, ""SELECT AD WHERE A = '"" &amp; $B65 &amp; ""'""),"""")"),662.0)</f>
        <v>662</v>
      </c>
    </row>
    <row r="66">
      <c r="A66" s="72">
        <v>44378.586794456016</v>
      </c>
      <c r="B66" s="73" t="s">
        <v>681</v>
      </c>
      <c r="C66" s="73" t="s">
        <v>3040</v>
      </c>
      <c r="D66" s="73" t="s">
        <v>3040</v>
      </c>
      <c r="E66" s="73" t="s">
        <v>3150</v>
      </c>
      <c r="F66" s="73" t="s">
        <v>73</v>
      </c>
      <c r="G66" s="73" t="s">
        <v>73</v>
      </c>
      <c r="H66" s="73" t="s">
        <v>73</v>
      </c>
      <c r="I66" s="73" t="s">
        <v>3040</v>
      </c>
      <c r="J66" s="73" t="s">
        <v>3041</v>
      </c>
      <c r="K66" s="73" t="s">
        <v>3152</v>
      </c>
      <c r="L66" s="77">
        <f>IFERROR(__xludf.DUMMYFUNCTION("IFERROR(QUERY(Presidente!$A$3:$AD112, ""SELECT AD WHERE A = '"" &amp; $B66 &amp; ""'""),"""")"),663.0)</f>
        <v>663</v>
      </c>
    </row>
    <row r="67">
      <c r="A67" s="72">
        <v>44382.612545752316</v>
      </c>
      <c r="B67" s="73" t="s">
        <v>690</v>
      </c>
      <c r="C67" s="73" t="s">
        <v>3040</v>
      </c>
      <c r="D67" s="73" t="s">
        <v>3040</v>
      </c>
      <c r="E67" s="73" t="s">
        <v>3150</v>
      </c>
      <c r="F67" s="73" t="s">
        <v>73</v>
      </c>
      <c r="G67" s="73" t="s">
        <v>73</v>
      </c>
      <c r="H67" s="73" t="s">
        <v>73</v>
      </c>
      <c r="I67" s="73" t="s">
        <v>3040</v>
      </c>
      <c r="J67" s="73" t="s">
        <v>3041</v>
      </c>
      <c r="K67" s="73" t="s">
        <v>3151</v>
      </c>
      <c r="L67" s="77">
        <f>IFERROR(__xludf.DUMMYFUNCTION("IFERROR(QUERY(Presidente!$A$3:$AD112, ""SELECT AD WHERE A = '"" &amp; $B67 &amp; ""'""),"""")"),664.0)</f>
        <v>664</v>
      </c>
    </row>
    <row r="68">
      <c r="A68" s="72">
        <v>44377.42592174769</v>
      </c>
      <c r="B68" s="73" t="s">
        <v>700</v>
      </c>
      <c r="C68" s="73" t="s">
        <v>3040</v>
      </c>
      <c r="D68" s="73" t="s">
        <v>3040</v>
      </c>
      <c r="E68" s="73" t="s">
        <v>3150</v>
      </c>
      <c r="F68" s="73" t="s">
        <v>73</v>
      </c>
      <c r="G68" s="73" t="s">
        <v>73</v>
      </c>
      <c r="H68" s="73" t="s">
        <v>73</v>
      </c>
      <c r="I68" s="73" t="s">
        <v>3040</v>
      </c>
      <c r="J68" s="73" t="s">
        <v>3041</v>
      </c>
      <c r="K68" s="73" t="s">
        <v>3151</v>
      </c>
      <c r="L68" s="77">
        <f>IFERROR(__xludf.DUMMYFUNCTION("IFERROR(QUERY(Presidente!$A$3:$AD112, ""SELECT AD WHERE A = '"" &amp; $B68 &amp; ""'""),"""")"),665.0)</f>
        <v>665</v>
      </c>
    </row>
    <row r="69">
      <c r="A69" s="72">
        <v>44393.35916334491</v>
      </c>
      <c r="B69" s="73" t="s">
        <v>710</v>
      </c>
      <c r="C69" s="73" t="s">
        <v>3040</v>
      </c>
      <c r="D69" s="73" t="s">
        <v>3040</v>
      </c>
      <c r="E69" s="73" t="s">
        <v>3150</v>
      </c>
      <c r="F69" s="73" t="s">
        <v>73</v>
      </c>
      <c r="G69" s="73" t="s">
        <v>73</v>
      </c>
      <c r="H69" s="73" t="s">
        <v>73</v>
      </c>
      <c r="I69" s="73" t="s">
        <v>3040</v>
      </c>
      <c r="J69" s="73" t="s">
        <v>3041</v>
      </c>
      <c r="K69" s="73" t="s">
        <v>3151</v>
      </c>
      <c r="L69" s="77">
        <f>IFERROR(__xludf.DUMMYFUNCTION("IFERROR(QUERY(Presidente!$A$3:$AD112, ""SELECT AD WHERE A = '"" &amp; $B69 &amp; ""'""),"""")"),666.0)</f>
        <v>666</v>
      </c>
    </row>
    <row r="70">
      <c r="A70" s="72">
        <v>44379.35367181713</v>
      </c>
      <c r="B70" s="73" t="s">
        <v>721</v>
      </c>
      <c r="C70" s="73" t="s">
        <v>3040</v>
      </c>
      <c r="D70" s="73" t="s">
        <v>3040</v>
      </c>
      <c r="E70" s="73" t="s">
        <v>3150</v>
      </c>
      <c r="F70" s="73" t="s">
        <v>73</v>
      </c>
      <c r="G70" s="73" t="s">
        <v>73</v>
      </c>
      <c r="H70" s="73" t="s">
        <v>73</v>
      </c>
      <c r="I70" s="73" t="s">
        <v>3040</v>
      </c>
      <c r="J70" s="73" t="s">
        <v>3041</v>
      </c>
      <c r="K70" s="73" t="s">
        <v>3153</v>
      </c>
      <c r="L70" s="77">
        <f>IFERROR(__xludf.DUMMYFUNCTION("IFERROR(QUERY(Presidente!$A$3:$AD112, ""SELECT AD WHERE A = '"" &amp; $B70 &amp; ""'""),"""")"),667.0)</f>
        <v>667</v>
      </c>
    </row>
    <row r="71">
      <c r="A71" s="72">
        <v>44385.60179340278</v>
      </c>
      <c r="B71" s="73" t="s">
        <v>731</v>
      </c>
      <c r="C71" s="73" t="s">
        <v>3040</v>
      </c>
      <c r="D71" s="73" t="s">
        <v>3040</v>
      </c>
      <c r="E71" s="73" t="s">
        <v>3150</v>
      </c>
      <c r="F71" s="73" t="s">
        <v>73</v>
      </c>
      <c r="G71" s="73" t="s">
        <v>73</v>
      </c>
      <c r="H71" s="73" t="s">
        <v>73</v>
      </c>
      <c r="I71" s="73" t="s">
        <v>3040</v>
      </c>
      <c r="J71" s="73" t="s">
        <v>3041</v>
      </c>
      <c r="K71" s="73" t="s">
        <v>3152</v>
      </c>
      <c r="L71" s="77">
        <f>IFERROR(__xludf.DUMMYFUNCTION("IFERROR(QUERY(Presidente!$A$3:$AD112, ""SELECT AD WHERE A = '"" &amp; $B71 &amp; ""'""),"""")"),668.0)</f>
        <v>668</v>
      </c>
    </row>
    <row r="72">
      <c r="A72" s="72">
        <v>44382.4244756713</v>
      </c>
      <c r="B72" s="73" t="s">
        <v>742</v>
      </c>
      <c r="C72" s="73" t="s">
        <v>3040</v>
      </c>
      <c r="D72" s="73" t="s">
        <v>3040</v>
      </c>
      <c r="E72" s="73" t="s">
        <v>3150</v>
      </c>
      <c r="F72" s="73" t="s">
        <v>73</v>
      </c>
      <c r="G72" s="73" t="s">
        <v>35</v>
      </c>
      <c r="H72" s="73" t="s">
        <v>73</v>
      </c>
      <c r="I72" s="73" t="s">
        <v>3040</v>
      </c>
      <c r="J72" s="73" t="s">
        <v>3041</v>
      </c>
      <c r="K72" s="73" t="s">
        <v>3151</v>
      </c>
      <c r="L72" s="77">
        <f>IFERROR(__xludf.DUMMYFUNCTION("IFERROR(QUERY(Presidente!$A$3:$AD112, ""SELECT AD WHERE A = '"" &amp; $B72 &amp; ""'""),"""")"),669.0)</f>
        <v>669</v>
      </c>
    </row>
    <row r="73">
      <c r="A73" s="72">
        <v>44389.573523252315</v>
      </c>
      <c r="B73" s="73" t="s">
        <v>752</v>
      </c>
      <c r="C73" s="73" t="s">
        <v>3040</v>
      </c>
      <c r="D73" s="73" t="s">
        <v>3040</v>
      </c>
      <c r="E73" s="73" t="s">
        <v>3150</v>
      </c>
      <c r="F73" s="73" t="s">
        <v>73</v>
      </c>
      <c r="G73" s="73" t="s">
        <v>35</v>
      </c>
      <c r="H73" s="73" t="s">
        <v>73</v>
      </c>
      <c r="I73" s="73" t="s">
        <v>3040</v>
      </c>
      <c r="J73" s="73" t="s">
        <v>3041</v>
      </c>
      <c r="K73" s="73" t="s">
        <v>3151</v>
      </c>
      <c r="L73" s="77">
        <f>IFERROR(__xludf.DUMMYFUNCTION("IFERROR(QUERY(Presidente!$A$3:$AD112, ""SELECT AD WHERE A = '"" &amp; $B73 &amp; ""'""),"""")"),670.0)</f>
        <v>670</v>
      </c>
    </row>
    <row r="74">
      <c r="A74" s="72">
        <v>44390.44291814815</v>
      </c>
      <c r="B74" s="73" t="s">
        <v>762</v>
      </c>
      <c r="C74" s="73" t="s">
        <v>3040</v>
      </c>
      <c r="D74" s="73" t="s">
        <v>3040</v>
      </c>
      <c r="E74" s="73" t="s">
        <v>3150</v>
      </c>
      <c r="F74" s="73" t="s">
        <v>73</v>
      </c>
      <c r="G74" s="73" t="s">
        <v>73</v>
      </c>
      <c r="H74" s="73" t="s">
        <v>73</v>
      </c>
      <c r="I74" s="73" t="s">
        <v>3040</v>
      </c>
      <c r="J74" s="73" t="s">
        <v>3041</v>
      </c>
      <c r="K74" s="73" t="s">
        <v>3153</v>
      </c>
      <c r="L74" s="77">
        <f>IFERROR(__xludf.DUMMYFUNCTION("IFERROR(QUERY(Presidente!$A$3:$AD112, ""SELECT AD WHERE A = '"" &amp; $B74 &amp; ""'""),"""")"),671.0)</f>
        <v>671</v>
      </c>
    </row>
    <row r="75">
      <c r="A75" s="72">
        <v>44389.4421702199</v>
      </c>
      <c r="B75" s="73" t="s">
        <v>772</v>
      </c>
      <c r="C75" s="73" t="s">
        <v>3040</v>
      </c>
      <c r="D75" s="73" t="s">
        <v>3040</v>
      </c>
      <c r="E75" s="73" t="s">
        <v>3150</v>
      </c>
      <c r="F75" s="73" t="s">
        <v>73</v>
      </c>
      <c r="G75" s="73" t="s">
        <v>73</v>
      </c>
      <c r="H75" s="73" t="s">
        <v>73</v>
      </c>
      <c r="I75" s="73" t="s">
        <v>3040</v>
      </c>
      <c r="J75" s="73" t="s">
        <v>3041</v>
      </c>
      <c r="K75" s="73" t="s">
        <v>3151</v>
      </c>
      <c r="L75" s="77">
        <f>IFERROR(__xludf.DUMMYFUNCTION("IFERROR(QUERY(Presidente!$A$3:$AD112, ""SELECT AD WHERE A = '"" &amp; $B75 &amp; ""'""),"""")"),672.0)</f>
        <v>672</v>
      </c>
    </row>
    <row r="76">
      <c r="A76" s="72">
        <v>44393.417431504626</v>
      </c>
      <c r="B76" s="73" t="s">
        <v>782</v>
      </c>
      <c r="C76" s="73" t="s">
        <v>3040</v>
      </c>
      <c r="D76" s="73" t="s">
        <v>3040</v>
      </c>
      <c r="E76" s="73" t="s">
        <v>3150</v>
      </c>
      <c r="F76" s="73" t="s">
        <v>73</v>
      </c>
      <c r="G76" s="73" t="s">
        <v>73</v>
      </c>
      <c r="H76" s="73" t="s">
        <v>73</v>
      </c>
      <c r="I76" s="73" t="s">
        <v>3040</v>
      </c>
      <c r="J76" s="73" t="s">
        <v>3041</v>
      </c>
      <c r="K76" s="73" t="s">
        <v>3151</v>
      </c>
      <c r="L76" s="77">
        <f>IFERROR(__xludf.DUMMYFUNCTION("IFERROR(QUERY(Presidente!$A$3:$AD112, ""SELECT AD WHERE A = '"" &amp; $B76 &amp; ""'""),"""")"),673.0)</f>
        <v>673</v>
      </c>
    </row>
    <row r="77">
      <c r="A77" s="72">
        <v>44390.588133067125</v>
      </c>
      <c r="B77" s="73" t="s">
        <v>792</v>
      </c>
      <c r="C77" s="73" t="s">
        <v>3040</v>
      </c>
      <c r="D77" s="73" t="s">
        <v>3040</v>
      </c>
      <c r="E77" s="73" t="s">
        <v>3150</v>
      </c>
      <c r="F77" s="73" t="s">
        <v>73</v>
      </c>
      <c r="G77" s="73" t="s">
        <v>73</v>
      </c>
      <c r="H77" s="73" t="s">
        <v>73</v>
      </c>
      <c r="I77" s="73" t="s">
        <v>3040</v>
      </c>
      <c r="J77" s="73" t="s">
        <v>3041</v>
      </c>
      <c r="K77" s="73" t="s">
        <v>3152</v>
      </c>
      <c r="L77" s="77">
        <f>IFERROR(__xludf.DUMMYFUNCTION("IFERROR(QUERY(Presidente!$A$3:$AD112, ""SELECT AD WHERE A = '"" &amp; $B77 &amp; ""'""),"""")"),674.0)</f>
        <v>674</v>
      </c>
    </row>
    <row r="78">
      <c r="A78" s="72">
        <v>44391.42748655092</v>
      </c>
      <c r="B78" s="73" t="s">
        <v>802</v>
      </c>
      <c r="C78" s="73" t="s">
        <v>3040</v>
      </c>
      <c r="D78" s="73" t="s">
        <v>3040</v>
      </c>
      <c r="E78" s="73" t="s">
        <v>3150</v>
      </c>
      <c r="F78" s="73" t="s">
        <v>73</v>
      </c>
      <c r="G78" s="73" t="s">
        <v>35</v>
      </c>
      <c r="H78" s="73" t="s">
        <v>73</v>
      </c>
      <c r="I78" s="73" t="s">
        <v>3040</v>
      </c>
      <c r="J78" s="73" t="s">
        <v>3041</v>
      </c>
      <c r="K78" s="73" t="s">
        <v>3151</v>
      </c>
      <c r="L78" s="77">
        <f>IFERROR(__xludf.DUMMYFUNCTION("IFERROR(QUERY(Presidente!$A$3:$AD112, ""SELECT AD WHERE A = '"" &amp; $B78 &amp; ""'""),"""")"),675.0)</f>
        <v>675</v>
      </c>
    </row>
    <row r="79">
      <c r="A79" s="72">
        <v>44384.576163125</v>
      </c>
      <c r="B79" s="73" t="s">
        <v>812</v>
      </c>
      <c r="C79" s="73" t="s">
        <v>3040</v>
      </c>
      <c r="D79" s="73" t="s">
        <v>3040</v>
      </c>
      <c r="E79" s="73" t="s">
        <v>3150</v>
      </c>
      <c r="F79" s="73" t="s">
        <v>73</v>
      </c>
      <c r="G79" s="73" t="s">
        <v>73</v>
      </c>
      <c r="H79" s="73" t="s">
        <v>73</v>
      </c>
      <c r="I79" s="73" t="s">
        <v>3040</v>
      </c>
      <c r="J79" s="73" t="s">
        <v>3041</v>
      </c>
      <c r="K79" s="73" t="s">
        <v>3152</v>
      </c>
      <c r="L79" s="77">
        <f>IFERROR(__xludf.DUMMYFUNCTION("IFERROR(QUERY(Presidente!$A$3:$AD112, ""SELECT AD WHERE A = '"" &amp; $B79 &amp; ""'""),"""")"),676.0)</f>
        <v>676</v>
      </c>
    </row>
    <row r="80">
      <c r="A80" s="72">
        <v>44377.581721215276</v>
      </c>
      <c r="B80" s="73" t="s">
        <v>822</v>
      </c>
      <c r="C80" s="73" t="s">
        <v>3040</v>
      </c>
      <c r="D80" s="73" t="s">
        <v>3040</v>
      </c>
      <c r="E80" s="73" t="s">
        <v>3150</v>
      </c>
      <c r="F80" s="73" t="s">
        <v>73</v>
      </c>
      <c r="G80" s="73" t="s">
        <v>73</v>
      </c>
      <c r="H80" s="73" t="s">
        <v>73</v>
      </c>
      <c r="I80" s="73" t="s">
        <v>3040</v>
      </c>
      <c r="J80" s="73" t="s">
        <v>3041</v>
      </c>
      <c r="K80" s="73" t="s">
        <v>3151</v>
      </c>
      <c r="L80" s="77">
        <f>IFERROR(__xludf.DUMMYFUNCTION("IFERROR(QUERY(Presidente!$A$3:$AD112, ""SELECT AD WHERE A = '"" &amp; $B80 &amp; ""'""),"""")"),677.0)</f>
        <v>677</v>
      </c>
    </row>
    <row r="81">
      <c r="A81" s="72">
        <v>44384.599214664355</v>
      </c>
      <c r="B81" s="73" t="s">
        <v>832</v>
      </c>
      <c r="C81" s="73" t="s">
        <v>3040</v>
      </c>
      <c r="D81" s="73" t="s">
        <v>3040</v>
      </c>
      <c r="E81" s="73" t="s">
        <v>3150</v>
      </c>
      <c r="F81" s="73" t="s">
        <v>73</v>
      </c>
      <c r="G81" s="73" t="s">
        <v>73</v>
      </c>
      <c r="H81" s="73" t="s">
        <v>73</v>
      </c>
      <c r="I81" s="73" t="s">
        <v>3040</v>
      </c>
      <c r="J81" s="73" t="s">
        <v>3041</v>
      </c>
      <c r="K81" s="73" t="s">
        <v>3152</v>
      </c>
      <c r="L81" s="77">
        <f>IFERROR(__xludf.DUMMYFUNCTION("IFERROR(QUERY(Presidente!$A$3:$AD112, ""SELECT AD WHERE A = '"" &amp; $B81 &amp; ""'""),"""")"),678.0)</f>
        <v>678</v>
      </c>
    </row>
    <row r="82">
      <c r="A82" s="72">
        <v>44392.59901853009</v>
      </c>
      <c r="B82" s="73" t="s">
        <v>842</v>
      </c>
      <c r="C82" s="73" t="s">
        <v>3040</v>
      </c>
      <c r="D82" s="73" t="s">
        <v>3040</v>
      </c>
      <c r="E82" s="73" t="s">
        <v>3150</v>
      </c>
      <c r="F82" s="73" t="s">
        <v>73</v>
      </c>
      <c r="G82" s="73" t="s">
        <v>73</v>
      </c>
      <c r="H82" s="73" t="s">
        <v>3167</v>
      </c>
      <c r="I82" s="73" t="s">
        <v>3154</v>
      </c>
      <c r="J82" s="73" t="s">
        <v>3041</v>
      </c>
      <c r="K82" s="73" t="s">
        <v>3160</v>
      </c>
      <c r="L82" s="77">
        <f>IFERROR(__xludf.DUMMYFUNCTION("IFERROR(QUERY(Presidente!$A$3:$AD112, ""SELECT AD WHERE A = '"" &amp; $B82 &amp; ""'""),"""")"),679.0)</f>
        <v>679</v>
      </c>
    </row>
    <row r="83">
      <c r="A83" s="72">
        <v>44392.58162832176</v>
      </c>
      <c r="B83" s="73" t="s">
        <v>853</v>
      </c>
      <c r="C83" s="73" t="s">
        <v>3040</v>
      </c>
      <c r="D83" s="73" t="s">
        <v>3040</v>
      </c>
      <c r="E83" s="73" t="s">
        <v>3150</v>
      </c>
      <c r="F83" s="73" t="s">
        <v>73</v>
      </c>
      <c r="G83" s="73" t="s">
        <v>73</v>
      </c>
      <c r="H83" s="73" t="s">
        <v>73</v>
      </c>
      <c r="I83" s="73" t="s">
        <v>3161</v>
      </c>
      <c r="J83" s="73" t="s">
        <v>3041</v>
      </c>
      <c r="K83" s="73" t="s">
        <v>3160</v>
      </c>
      <c r="L83" s="77">
        <f>IFERROR(__xludf.DUMMYFUNCTION("IFERROR(QUERY(Presidente!$A$3:$AD112, ""SELECT AD WHERE A = '"" &amp; $B83 &amp; ""'""),"""")"),680.0)</f>
        <v>680</v>
      </c>
    </row>
    <row r="84">
      <c r="A84" s="72">
        <v>44393.36477292824</v>
      </c>
      <c r="B84" s="73" t="s">
        <v>863</v>
      </c>
      <c r="C84" s="73" t="s">
        <v>3040</v>
      </c>
      <c r="D84" s="73" t="s">
        <v>3040</v>
      </c>
      <c r="E84" s="73" t="s">
        <v>3150</v>
      </c>
      <c r="F84" s="73" t="s">
        <v>73</v>
      </c>
      <c r="G84" s="73" t="s">
        <v>73</v>
      </c>
      <c r="H84" s="73" t="s">
        <v>73</v>
      </c>
      <c r="I84" s="73" t="s">
        <v>3040</v>
      </c>
      <c r="J84" s="73" t="s">
        <v>3041</v>
      </c>
      <c r="K84" s="73" t="s">
        <v>3151</v>
      </c>
      <c r="L84" s="77">
        <f>IFERROR(__xludf.DUMMYFUNCTION("IFERROR(QUERY(Presidente!$A$3:$AD112, ""SELECT AD WHERE A = '"" &amp; $B84 &amp; ""'""),"""")"),681.0)</f>
        <v>681</v>
      </c>
    </row>
    <row r="85">
      <c r="A85" s="72">
        <v>44382.646042685185</v>
      </c>
      <c r="B85" s="73" t="s">
        <v>873</v>
      </c>
      <c r="C85" s="73" t="s">
        <v>3040</v>
      </c>
      <c r="D85" s="73" t="s">
        <v>3040</v>
      </c>
      <c r="E85" s="73" t="s">
        <v>3150</v>
      </c>
      <c r="F85" s="73" t="s">
        <v>73</v>
      </c>
      <c r="G85" s="73" t="s">
        <v>73</v>
      </c>
      <c r="H85" s="73" t="s">
        <v>73</v>
      </c>
      <c r="I85" s="73" t="s">
        <v>3040</v>
      </c>
      <c r="J85" s="73" t="s">
        <v>3041</v>
      </c>
      <c r="K85" s="73" t="s">
        <v>3151</v>
      </c>
      <c r="L85" s="77">
        <f>IFERROR(__xludf.DUMMYFUNCTION("IFERROR(QUERY(Presidente!$A$3:$AD112, ""SELECT AD WHERE A = '"" &amp; $B85 &amp; ""'""),"""")"),682.0)</f>
        <v>682</v>
      </c>
    </row>
    <row r="86">
      <c r="A86" s="72">
        <v>44391.56242939815</v>
      </c>
      <c r="B86" s="73" t="s">
        <v>883</v>
      </c>
      <c r="C86" s="73" t="s">
        <v>3040</v>
      </c>
      <c r="D86" s="73" t="s">
        <v>3040</v>
      </c>
      <c r="E86" s="73" t="s">
        <v>3150</v>
      </c>
      <c r="F86" s="73" t="s">
        <v>73</v>
      </c>
      <c r="G86" s="73" t="s">
        <v>73</v>
      </c>
      <c r="H86" s="73" t="s">
        <v>73</v>
      </c>
      <c r="I86" s="73" t="s">
        <v>3161</v>
      </c>
      <c r="J86" s="73" t="s">
        <v>3041</v>
      </c>
      <c r="K86" s="73" t="s">
        <v>3152</v>
      </c>
      <c r="L86" s="77">
        <f>IFERROR(__xludf.DUMMYFUNCTION("IFERROR(QUERY(Presidente!$A$3:$AD112, ""SELECT AD WHERE A = '"" &amp; $B86 &amp; ""'""),"""")"),683.0)</f>
        <v>683</v>
      </c>
    </row>
    <row r="87">
      <c r="A87" s="72">
        <v>44391.585720057876</v>
      </c>
      <c r="B87" s="73" t="s">
        <v>893</v>
      </c>
      <c r="C87" s="73" t="s">
        <v>3040</v>
      </c>
      <c r="D87" s="73" t="s">
        <v>3040</v>
      </c>
      <c r="E87" s="73" t="s">
        <v>3150</v>
      </c>
      <c r="F87" s="73" t="s">
        <v>73</v>
      </c>
      <c r="G87" s="73" t="s">
        <v>73</v>
      </c>
      <c r="H87" s="73" t="s">
        <v>73</v>
      </c>
      <c r="I87" s="73" t="s">
        <v>3040</v>
      </c>
      <c r="J87" s="73" t="s">
        <v>3041</v>
      </c>
      <c r="K87" s="73" t="s">
        <v>3152</v>
      </c>
      <c r="L87" s="77">
        <f>IFERROR(__xludf.DUMMYFUNCTION("IFERROR(QUERY(Presidente!$A$3:$AD112, ""SELECT AD WHERE A = '"" &amp; $B87 &amp; ""'""),"""")"),684.0)</f>
        <v>684</v>
      </c>
    </row>
    <row r="88">
      <c r="A88" s="72">
        <v>44390.56221131944</v>
      </c>
      <c r="B88" s="73" t="s">
        <v>902</v>
      </c>
      <c r="C88" s="73" t="s">
        <v>3040</v>
      </c>
      <c r="D88" s="73" t="s">
        <v>3040</v>
      </c>
      <c r="E88" s="73" t="s">
        <v>3150</v>
      </c>
      <c r="F88" s="73" t="s">
        <v>73</v>
      </c>
      <c r="G88" s="73" t="s">
        <v>73</v>
      </c>
      <c r="H88" s="73">
        <v>37.0</v>
      </c>
      <c r="I88" s="73" t="s">
        <v>3040</v>
      </c>
      <c r="J88" s="73" t="s">
        <v>3041</v>
      </c>
      <c r="K88" s="73" t="s">
        <v>3152</v>
      </c>
      <c r="L88" s="77">
        <f>IFERROR(__xludf.DUMMYFUNCTION("IFERROR(QUERY(Presidente!$A$3:$AD112, ""SELECT AD WHERE A = '"" &amp; $B88 &amp; ""'""),"""")"),685.0)</f>
        <v>685</v>
      </c>
    </row>
    <row r="89">
      <c r="A89" s="72">
        <v>44378.432386030094</v>
      </c>
      <c r="B89" s="73" t="s">
        <v>912</v>
      </c>
      <c r="C89" s="73" t="s">
        <v>3040</v>
      </c>
      <c r="D89" s="73" t="s">
        <v>3040</v>
      </c>
      <c r="E89" s="73" t="s">
        <v>3150</v>
      </c>
      <c r="F89" s="73" t="s">
        <v>73</v>
      </c>
      <c r="G89" s="73" t="s">
        <v>73</v>
      </c>
      <c r="H89" s="73" t="s">
        <v>73</v>
      </c>
      <c r="I89" s="73" t="s">
        <v>3040</v>
      </c>
      <c r="J89" s="73" t="s">
        <v>3041</v>
      </c>
      <c r="K89" s="73" t="s">
        <v>3151</v>
      </c>
      <c r="L89" s="77">
        <f>IFERROR(__xludf.DUMMYFUNCTION("IFERROR(QUERY(Presidente!$A$3:$AD112, ""SELECT AD WHERE A = '"" &amp; $B89 &amp; ""'""),"""")"),686.0)</f>
        <v>686</v>
      </c>
    </row>
    <row r="90">
      <c r="A90" s="72">
        <v>44377.58221625</v>
      </c>
      <c r="B90" s="73" t="s">
        <v>921</v>
      </c>
      <c r="C90" s="73" t="s">
        <v>3040</v>
      </c>
      <c r="D90" s="73" t="s">
        <v>3040</v>
      </c>
      <c r="E90" s="73" t="s">
        <v>3150</v>
      </c>
      <c r="F90" s="73" t="s">
        <v>73</v>
      </c>
      <c r="G90" s="73" t="s">
        <v>73</v>
      </c>
      <c r="H90" s="73" t="s">
        <v>73</v>
      </c>
      <c r="I90" s="73" t="s">
        <v>3040</v>
      </c>
      <c r="J90" s="73" t="s">
        <v>3041</v>
      </c>
      <c r="K90" s="73" t="s">
        <v>3151</v>
      </c>
      <c r="L90" s="77">
        <f>IFERROR(__xludf.DUMMYFUNCTION("IFERROR(QUERY(Presidente!$A$3:$AD112, ""SELECT AD WHERE A = '"" &amp; $B90 &amp; ""'""),"""")"),687.0)</f>
        <v>687</v>
      </c>
    </row>
    <row r="91">
      <c r="A91" s="72">
        <v>44382.42893711806</v>
      </c>
      <c r="B91" s="73" t="s">
        <v>931</v>
      </c>
      <c r="C91" s="73" t="s">
        <v>3040</v>
      </c>
      <c r="D91" s="73" t="s">
        <v>3040</v>
      </c>
      <c r="E91" s="73" t="s">
        <v>3150</v>
      </c>
      <c r="F91" s="73" t="s">
        <v>73</v>
      </c>
      <c r="G91" s="73" t="s">
        <v>35</v>
      </c>
      <c r="H91" s="73" t="s">
        <v>73</v>
      </c>
      <c r="I91" s="73" t="s">
        <v>3040</v>
      </c>
      <c r="J91" s="73" t="s">
        <v>3041</v>
      </c>
      <c r="K91" s="73" t="s">
        <v>3151</v>
      </c>
      <c r="L91" s="77">
        <f>IFERROR(__xludf.DUMMYFUNCTION("IFERROR(QUERY(Presidente!$A$3:$AD112, ""SELECT AD WHERE A = '"" &amp; $B91 &amp; ""'""),"""")"),688.0)</f>
        <v>688</v>
      </c>
    </row>
    <row r="92">
      <c r="A92" s="72">
        <v>44384.58932890046</v>
      </c>
      <c r="B92" s="73" t="s">
        <v>942</v>
      </c>
      <c r="C92" s="73" t="s">
        <v>3040</v>
      </c>
      <c r="D92" s="73" t="s">
        <v>3040</v>
      </c>
      <c r="E92" s="73" t="s">
        <v>3150</v>
      </c>
      <c r="F92" s="73" t="s">
        <v>73</v>
      </c>
      <c r="G92" s="73" t="s">
        <v>73</v>
      </c>
      <c r="H92" s="73" t="s">
        <v>73</v>
      </c>
      <c r="I92" s="73" t="s">
        <v>3040</v>
      </c>
      <c r="J92" s="73" t="s">
        <v>3041</v>
      </c>
      <c r="K92" s="73" t="s">
        <v>3152</v>
      </c>
      <c r="L92" s="77">
        <f>IFERROR(__xludf.DUMMYFUNCTION("IFERROR(QUERY(Presidente!$A$3:$AD112, ""SELECT AD WHERE A = '"" &amp; $B92 &amp; ""'""),"""")"),689.0)</f>
        <v>689</v>
      </c>
    </row>
    <row r="93">
      <c r="A93" s="72">
        <v>44377.595818912036</v>
      </c>
      <c r="B93" s="73" t="s">
        <v>954</v>
      </c>
      <c r="C93" s="73" t="s">
        <v>3040</v>
      </c>
      <c r="D93" s="73" t="s">
        <v>3040</v>
      </c>
      <c r="E93" s="73" t="s">
        <v>3150</v>
      </c>
      <c r="F93" s="73" t="s">
        <v>73</v>
      </c>
      <c r="G93" s="73" t="s">
        <v>73</v>
      </c>
      <c r="H93" s="73" t="s">
        <v>73</v>
      </c>
      <c r="I93" s="73" t="s">
        <v>3040</v>
      </c>
      <c r="J93" s="73" t="s">
        <v>3041</v>
      </c>
      <c r="K93" s="73" t="s">
        <v>3151</v>
      </c>
      <c r="L93" s="77">
        <f>IFERROR(__xludf.DUMMYFUNCTION("IFERROR(QUERY(Presidente!$A$3:$AD112, ""SELECT AD WHERE A = '"" &amp; $B93 &amp; ""'""),"""")"),690.0)</f>
        <v>690</v>
      </c>
    </row>
    <row r="94">
      <c r="A94" s="72">
        <v>44382.62562849537</v>
      </c>
      <c r="B94" s="73" t="s">
        <v>964</v>
      </c>
      <c r="C94" s="73" t="s">
        <v>3040</v>
      </c>
      <c r="D94" s="73" t="s">
        <v>3040</v>
      </c>
      <c r="E94" s="73" t="s">
        <v>3150</v>
      </c>
      <c r="F94" s="73" t="s">
        <v>73</v>
      </c>
      <c r="G94" s="73" t="s">
        <v>73</v>
      </c>
      <c r="H94" s="73" t="s">
        <v>73</v>
      </c>
      <c r="I94" s="73" t="s">
        <v>3040</v>
      </c>
      <c r="J94" s="73" t="s">
        <v>3041</v>
      </c>
      <c r="K94" s="73" t="s">
        <v>3151</v>
      </c>
      <c r="L94" s="77">
        <f>IFERROR(__xludf.DUMMYFUNCTION("IFERROR(QUERY(Presidente!$A$3:$AD112, ""SELECT AD WHERE A = '"" &amp; $B94 &amp; ""'""),"""")"),691.0)</f>
        <v>691</v>
      </c>
    </row>
    <row r="95">
      <c r="A95" s="72">
        <v>44389.57116982639</v>
      </c>
      <c r="B95" s="73" t="s">
        <v>974</v>
      </c>
      <c r="C95" s="73" t="s">
        <v>3040</v>
      </c>
      <c r="D95" s="73" t="s">
        <v>3040</v>
      </c>
      <c r="E95" s="73" t="s">
        <v>3150</v>
      </c>
      <c r="F95" s="73" t="s">
        <v>73</v>
      </c>
      <c r="G95" s="73" t="s">
        <v>73</v>
      </c>
      <c r="H95" s="73" t="s">
        <v>73</v>
      </c>
      <c r="I95" s="73" t="s">
        <v>3040</v>
      </c>
      <c r="J95" s="73" t="s">
        <v>3041</v>
      </c>
      <c r="K95" s="73" t="s">
        <v>3151</v>
      </c>
      <c r="L95" s="77">
        <f>IFERROR(__xludf.DUMMYFUNCTION("IFERROR(QUERY(Presidente!$A$3:$AD112, ""SELECT AD WHERE A = '"" &amp; $B95 &amp; ""'""),"""")"),692.0)</f>
        <v>692</v>
      </c>
    </row>
    <row r="96">
      <c r="A96" s="72">
        <v>44389.57281467592</v>
      </c>
      <c r="B96" s="73" t="s">
        <v>984</v>
      </c>
      <c r="C96" s="73" t="s">
        <v>3040</v>
      </c>
      <c r="D96" s="73" t="s">
        <v>3040</v>
      </c>
      <c r="E96" s="73" t="s">
        <v>3150</v>
      </c>
      <c r="F96" s="73" t="s">
        <v>73</v>
      </c>
      <c r="G96" s="73" t="s">
        <v>73</v>
      </c>
      <c r="H96" s="73" t="s">
        <v>73</v>
      </c>
      <c r="I96" s="73" t="s">
        <v>3040</v>
      </c>
      <c r="J96" s="73" t="s">
        <v>3041</v>
      </c>
      <c r="K96" s="73" t="s">
        <v>3151</v>
      </c>
      <c r="L96" s="77">
        <f>IFERROR(__xludf.DUMMYFUNCTION("IFERROR(QUERY(Presidente!$A$3:$AD112, ""SELECT AD WHERE A = '"" &amp; $B96 &amp; ""'""),"""")"),693.0)</f>
        <v>693</v>
      </c>
    </row>
    <row r="97">
      <c r="A97" s="72">
        <v>44391.43276163195</v>
      </c>
      <c r="B97" s="73" t="s">
        <v>994</v>
      </c>
      <c r="C97" s="73" t="s">
        <v>3040</v>
      </c>
      <c r="D97" s="73" t="s">
        <v>3040</v>
      </c>
      <c r="E97" s="73" t="s">
        <v>3150</v>
      </c>
      <c r="F97" s="73" t="s">
        <v>73</v>
      </c>
      <c r="G97" s="73" t="s">
        <v>73</v>
      </c>
      <c r="H97" s="73" t="s">
        <v>73</v>
      </c>
      <c r="I97" s="73" t="s">
        <v>3040</v>
      </c>
      <c r="J97" s="73" t="s">
        <v>3041</v>
      </c>
      <c r="K97" s="73" t="s">
        <v>3151</v>
      </c>
      <c r="L97" s="77">
        <f>IFERROR(__xludf.DUMMYFUNCTION("IFERROR(QUERY(Presidente!$A$3:$AD112, ""SELECT AD WHERE A = '"" &amp; $B97 &amp; ""'""),"""")"),694.0)</f>
        <v>694</v>
      </c>
    </row>
    <row r="98">
      <c r="A98" s="72">
        <v>44377.428036805555</v>
      </c>
      <c r="B98" s="73" t="s">
        <v>1005</v>
      </c>
      <c r="C98" s="73" t="s">
        <v>3040</v>
      </c>
      <c r="D98" s="73" t="s">
        <v>3040</v>
      </c>
      <c r="E98" s="73" t="s">
        <v>3150</v>
      </c>
      <c r="F98" s="73" t="s">
        <v>73</v>
      </c>
      <c r="G98" s="73" t="s">
        <v>73</v>
      </c>
      <c r="H98" s="73" t="s">
        <v>73</v>
      </c>
      <c r="I98" s="73" t="s">
        <v>3040</v>
      </c>
      <c r="J98" s="73" t="s">
        <v>3041</v>
      </c>
      <c r="K98" s="73" t="s">
        <v>3151</v>
      </c>
      <c r="L98" s="77">
        <f>IFERROR(__xludf.DUMMYFUNCTION("IFERROR(QUERY(Presidente!$A$3:$AD112, ""SELECT AD WHERE A = '"" &amp; $B98 &amp; ""'""),"""")"),695.0)</f>
        <v>695</v>
      </c>
    </row>
    <row r="99">
      <c r="A99" s="72">
        <v>44390.558680277776</v>
      </c>
      <c r="B99" s="73" t="s">
        <v>1015</v>
      </c>
      <c r="C99" s="73" t="s">
        <v>3040</v>
      </c>
      <c r="D99" s="73" t="s">
        <v>3040</v>
      </c>
      <c r="E99" s="73" t="s">
        <v>3150</v>
      </c>
      <c r="F99" s="73" t="s">
        <v>73</v>
      </c>
      <c r="G99" s="73" t="s">
        <v>73</v>
      </c>
      <c r="H99" s="73" t="s">
        <v>73</v>
      </c>
      <c r="I99" s="73" t="s">
        <v>3040</v>
      </c>
      <c r="J99" s="73" t="s">
        <v>3041</v>
      </c>
      <c r="K99" s="73" t="s">
        <v>3152</v>
      </c>
      <c r="L99" s="77">
        <f>IFERROR(__xludf.DUMMYFUNCTION("IFERROR(QUERY(Presidente!$A$3:$AD112, ""SELECT AD WHERE A = '"" &amp; $B99 &amp; ""'""),"""")"),696.0)</f>
        <v>696</v>
      </c>
    </row>
    <row r="100">
      <c r="A100" s="72">
        <v>44383.41830168982</v>
      </c>
      <c r="B100" s="73" t="s">
        <v>1026</v>
      </c>
      <c r="C100" s="73" t="s">
        <v>3040</v>
      </c>
      <c r="D100" s="73" t="s">
        <v>3040</v>
      </c>
      <c r="E100" s="73" t="s">
        <v>3150</v>
      </c>
      <c r="F100" s="73" t="s">
        <v>73</v>
      </c>
      <c r="G100" s="73" t="s">
        <v>73</v>
      </c>
      <c r="H100" s="73" t="s">
        <v>73</v>
      </c>
      <c r="I100" s="73" t="s">
        <v>3040</v>
      </c>
      <c r="J100" s="73" t="s">
        <v>3041</v>
      </c>
      <c r="K100" s="73" t="s">
        <v>3151</v>
      </c>
      <c r="L100" s="77">
        <f>IFERROR(__xludf.DUMMYFUNCTION("IFERROR(QUERY(Presidente!$A$3:$AD112, ""SELECT AD WHERE A = '"" &amp; $B100 &amp; ""'""),"""")"),697.0)</f>
        <v>697</v>
      </c>
    </row>
    <row r="101">
      <c r="A101" s="72">
        <v>44377.614972696756</v>
      </c>
      <c r="B101" s="73" t="s">
        <v>1035</v>
      </c>
      <c r="C101" s="73" t="s">
        <v>3040</v>
      </c>
      <c r="D101" s="73" t="s">
        <v>3040</v>
      </c>
      <c r="E101" s="73" t="s">
        <v>3150</v>
      </c>
      <c r="F101" s="73" t="s">
        <v>73</v>
      </c>
      <c r="G101" s="73" t="s">
        <v>73</v>
      </c>
      <c r="H101" s="73" t="s">
        <v>73</v>
      </c>
      <c r="I101" s="73" t="s">
        <v>3040</v>
      </c>
      <c r="J101" s="73" t="s">
        <v>3041</v>
      </c>
      <c r="K101" s="73" t="s">
        <v>3151</v>
      </c>
      <c r="L101" s="77">
        <f>IFERROR(__xludf.DUMMYFUNCTION("IFERROR(QUERY(Presidente!$A$3:$AD112, ""SELECT AD WHERE A = '"" &amp; $B101 &amp; ""'""),"""")"),698.0)</f>
        <v>698</v>
      </c>
    </row>
    <row r="102">
      <c r="A102" s="72">
        <v>44384.602017418976</v>
      </c>
      <c r="B102" s="73" t="s">
        <v>1045</v>
      </c>
      <c r="C102" s="73" t="s">
        <v>3040</v>
      </c>
      <c r="D102" s="73" t="s">
        <v>3040</v>
      </c>
      <c r="E102" s="73" t="s">
        <v>3150</v>
      </c>
      <c r="F102" s="73" t="s">
        <v>73</v>
      </c>
      <c r="G102" s="73" t="s">
        <v>73</v>
      </c>
      <c r="H102" s="73" t="s">
        <v>73</v>
      </c>
      <c r="I102" s="73" t="s">
        <v>3040</v>
      </c>
      <c r="J102" s="73" t="s">
        <v>3041</v>
      </c>
      <c r="K102" s="73" t="s">
        <v>3152</v>
      </c>
      <c r="L102" s="77">
        <f>IFERROR(__xludf.DUMMYFUNCTION("IFERROR(QUERY(Presidente!$A$3:$AD112, ""SELECT AD WHERE A = '"" &amp; $B102 &amp; ""'""),"""")"),699.0)</f>
        <v>699</v>
      </c>
    </row>
    <row r="103">
      <c r="A103" s="72">
        <v>44382.57526510417</v>
      </c>
      <c r="B103" s="73" t="s">
        <v>1055</v>
      </c>
      <c r="C103" s="73" t="s">
        <v>3040</v>
      </c>
      <c r="D103" s="73" t="s">
        <v>3040</v>
      </c>
      <c r="E103" s="73" t="s">
        <v>3150</v>
      </c>
      <c r="F103" s="73" t="s">
        <v>73</v>
      </c>
      <c r="G103" s="73" t="s">
        <v>73</v>
      </c>
      <c r="H103" s="73" t="s">
        <v>73</v>
      </c>
      <c r="I103" s="73" t="s">
        <v>3040</v>
      </c>
      <c r="J103" s="73" t="s">
        <v>3041</v>
      </c>
      <c r="K103" s="73" t="s">
        <v>3151</v>
      </c>
      <c r="L103" s="77">
        <f>IFERROR(__xludf.DUMMYFUNCTION("IFERROR(QUERY(Presidente!$A$3:$AD112, ""SELECT AD WHERE A = '"" &amp; $B103 &amp; ""'""),"""")"),700.0)</f>
        <v>700</v>
      </c>
    </row>
    <row r="104">
      <c r="A104" s="72">
        <v>44391.57812436343</v>
      </c>
      <c r="B104" s="73" t="s">
        <v>1065</v>
      </c>
      <c r="C104" s="73" t="s">
        <v>3040</v>
      </c>
      <c r="D104" s="73" t="s">
        <v>3040</v>
      </c>
      <c r="E104" s="73" t="s">
        <v>3150</v>
      </c>
      <c r="F104" s="73" t="s">
        <v>73</v>
      </c>
      <c r="G104" s="73" t="s">
        <v>73</v>
      </c>
      <c r="H104" s="73" t="s">
        <v>73</v>
      </c>
      <c r="I104" s="73" t="s">
        <v>3040</v>
      </c>
      <c r="J104" s="73" t="s">
        <v>3041</v>
      </c>
      <c r="K104" s="73" t="s">
        <v>3152</v>
      </c>
      <c r="L104" s="77">
        <f>IFERROR(__xludf.DUMMYFUNCTION("IFERROR(QUERY(Presidente!$A$3:$AD112, ""SELECT AD WHERE A = '"" &amp; $B104 &amp; ""'""),"""")"),701.0)</f>
        <v>701</v>
      </c>
    </row>
    <row r="105">
      <c r="A105" s="72">
        <v>44392.42151008102</v>
      </c>
      <c r="B105" s="73" t="s">
        <v>1075</v>
      </c>
      <c r="C105" s="73" t="s">
        <v>3040</v>
      </c>
      <c r="D105" s="73" t="s">
        <v>3040</v>
      </c>
      <c r="E105" s="73" t="s">
        <v>3150</v>
      </c>
      <c r="F105" s="73" t="s">
        <v>73</v>
      </c>
      <c r="G105" s="73" t="s">
        <v>73</v>
      </c>
      <c r="H105" s="73" t="s">
        <v>73</v>
      </c>
      <c r="I105" s="73" t="s">
        <v>3040</v>
      </c>
      <c r="J105" s="73" t="s">
        <v>3041</v>
      </c>
      <c r="K105" s="73" t="s">
        <v>3151</v>
      </c>
      <c r="L105" s="77">
        <f>IFERROR(__xludf.DUMMYFUNCTION("IFERROR(QUERY(Presidente!$A$3:$AD112, ""SELECT AD WHERE A = '"" &amp; $B105 &amp; ""'""),"""")"),702.0)</f>
        <v>702</v>
      </c>
    </row>
    <row r="106">
      <c r="A106" s="72">
        <v>44383.566682743054</v>
      </c>
      <c r="B106" s="73" t="s">
        <v>1085</v>
      </c>
      <c r="C106" s="73" t="s">
        <v>3040</v>
      </c>
      <c r="D106" s="73" t="s">
        <v>3040</v>
      </c>
      <c r="E106" s="73" t="s">
        <v>3150</v>
      </c>
      <c r="F106" s="73" t="s">
        <v>73</v>
      </c>
      <c r="G106" s="73" t="s">
        <v>73</v>
      </c>
      <c r="H106" s="73" t="s">
        <v>73</v>
      </c>
      <c r="I106" s="73" t="s">
        <v>3040</v>
      </c>
      <c r="J106" s="73" t="s">
        <v>3041</v>
      </c>
      <c r="K106" s="73" t="s">
        <v>3153</v>
      </c>
      <c r="L106" s="77">
        <f>IFERROR(__xludf.DUMMYFUNCTION("IFERROR(QUERY(Presidente!$A$3:$AD112, ""SELECT AD WHERE A = '"" &amp; $B106 &amp; ""'""),"""")"),703.0)</f>
        <v>703</v>
      </c>
    </row>
    <row r="107">
      <c r="A107" s="72">
        <v>44385.43659631944</v>
      </c>
      <c r="B107" s="73" t="s">
        <v>1095</v>
      </c>
      <c r="C107" s="73" t="s">
        <v>3040</v>
      </c>
      <c r="D107" s="73" t="s">
        <v>3040</v>
      </c>
      <c r="E107" s="73" t="s">
        <v>3150</v>
      </c>
      <c r="F107" s="73" t="s">
        <v>73</v>
      </c>
      <c r="G107" s="73" t="s">
        <v>35</v>
      </c>
      <c r="H107" s="73" t="s">
        <v>73</v>
      </c>
      <c r="I107" s="73" t="s">
        <v>3040</v>
      </c>
      <c r="J107" s="73" t="s">
        <v>3041</v>
      </c>
      <c r="K107" s="73" t="s">
        <v>3153</v>
      </c>
      <c r="L107" s="77">
        <f>IFERROR(__xludf.DUMMYFUNCTION("IFERROR(QUERY(Presidente!$A$3:$AD112, ""SELECT AD WHERE A = '"" &amp; $B107 &amp; ""'""),"""")"),704.0)</f>
        <v>704</v>
      </c>
    </row>
    <row r="108">
      <c r="A108" s="72">
        <v>44390.561011956015</v>
      </c>
      <c r="B108" s="73" t="s">
        <v>1105</v>
      </c>
      <c r="C108" s="73" t="s">
        <v>3040</v>
      </c>
      <c r="D108" s="73" t="s">
        <v>3040</v>
      </c>
      <c r="E108" s="73" t="s">
        <v>3150</v>
      </c>
      <c r="F108" s="73" t="s">
        <v>73</v>
      </c>
      <c r="G108" s="73" t="s">
        <v>35</v>
      </c>
      <c r="H108" s="73" t="s">
        <v>73</v>
      </c>
      <c r="I108" s="73" t="s">
        <v>3040</v>
      </c>
      <c r="J108" s="73" t="s">
        <v>3041</v>
      </c>
      <c r="K108" s="73" t="s">
        <v>3152</v>
      </c>
      <c r="L108" s="77">
        <f>IFERROR(__xludf.DUMMYFUNCTION("IFERROR(QUERY(Presidente!$A$3:$AD112, ""SELECT AD WHERE A = '"" &amp; $B108 &amp; ""'""),"""")"),705.0)</f>
        <v>705</v>
      </c>
    </row>
    <row r="109">
      <c r="A109" s="72">
        <v>44392.58231614583</v>
      </c>
      <c r="B109" s="73" t="s">
        <v>1115</v>
      </c>
      <c r="C109" s="73" t="s">
        <v>3040</v>
      </c>
      <c r="D109" s="73" t="s">
        <v>3040</v>
      </c>
      <c r="E109" s="73" t="s">
        <v>3150</v>
      </c>
      <c r="F109" s="73" t="s">
        <v>73</v>
      </c>
      <c r="G109" s="73" t="s">
        <v>73</v>
      </c>
      <c r="H109" s="73" t="s">
        <v>73</v>
      </c>
      <c r="I109" s="73" t="s">
        <v>3040</v>
      </c>
      <c r="J109" s="73" t="s">
        <v>3041</v>
      </c>
      <c r="K109" s="73" t="s">
        <v>3160</v>
      </c>
      <c r="L109" s="77">
        <f>IFERROR(__xludf.DUMMYFUNCTION("IFERROR(QUERY(Presidente!$A$3:$AD112, ""SELECT AD WHERE A = '"" &amp; $B109 &amp; ""'""),"""")"),706.0)</f>
        <v>706</v>
      </c>
    </row>
    <row r="110">
      <c r="A110" s="72">
        <v>44392.5833737963</v>
      </c>
      <c r="B110" s="73" t="s">
        <v>1125</v>
      </c>
      <c r="C110" s="73" t="s">
        <v>3040</v>
      </c>
      <c r="D110" s="73" t="s">
        <v>3040</v>
      </c>
      <c r="E110" s="73" t="s">
        <v>3156</v>
      </c>
      <c r="F110" s="73" t="s">
        <v>73</v>
      </c>
      <c r="G110" s="73" t="s">
        <v>73</v>
      </c>
      <c r="H110" s="73" t="s">
        <v>73</v>
      </c>
      <c r="I110" s="73" t="s">
        <v>3168</v>
      </c>
      <c r="J110" s="73" t="s">
        <v>3041</v>
      </c>
      <c r="K110" s="73" t="s">
        <v>3160</v>
      </c>
      <c r="L110" s="77">
        <f>IFERROR(__xludf.DUMMYFUNCTION("IFERROR(QUERY(Presidente!$A$3:$AD112, ""SELECT AD WHERE A = '"" &amp; $B110 &amp; ""'""),"""")"),707.0)</f>
        <v>707</v>
      </c>
    </row>
    <row r="111">
      <c r="A111" s="72">
        <v>44378.60013452546</v>
      </c>
      <c r="B111" s="73" t="s">
        <v>1135</v>
      </c>
      <c r="C111" s="73" t="s">
        <v>3040</v>
      </c>
      <c r="D111" s="73" t="s">
        <v>3040</v>
      </c>
      <c r="E111" s="73" t="s">
        <v>3150</v>
      </c>
      <c r="F111" s="73" t="s">
        <v>73</v>
      </c>
      <c r="G111" s="73" t="s">
        <v>73</v>
      </c>
      <c r="H111" s="73" t="s">
        <v>73</v>
      </c>
      <c r="I111" s="73" t="s">
        <v>3040</v>
      </c>
      <c r="J111" s="73" t="s">
        <v>3041</v>
      </c>
      <c r="K111" s="73" t="s">
        <v>3152</v>
      </c>
      <c r="L111" s="77">
        <f>IFERROR(__xludf.DUMMYFUNCTION("IFERROR(QUERY(Presidente!$A$3:$AD112, ""SELECT AD WHERE A = '"" &amp; $B111 &amp; ""'""),"""")"),708.0)</f>
        <v>708</v>
      </c>
    </row>
    <row r="112">
      <c r="A112" s="72">
        <v>44378.598296875</v>
      </c>
      <c r="B112" s="73" t="s">
        <v>1145</v>
      </c>
      <c r="C112" s="73" t="s">
        <v>3040</v>
      </c>
      <c r="D112" s="73" t="s">
        <v>3040</v>
      </c>
      <c r="E112" s="73" t="s">
        <v>3150</v>
      </c>
      <c r="F112" s="73" t="s">
        <v>73</v>
      </c>
      <c r="G112" s="73" t="s">
        <v>73</v>
      </c>
      <c r="H112" s="73" t="s">
        <v>73</v>
      </c>
      <c r="I112" s="73" t="s">
        <v>3040</v>
      </c>
      <c r="J112" s="73" t="s">
        <v>3041</v>
      </c>
      <c r="K112" s="73" t="s">
        <v>3152</v>
      </c>
      <c r="L112" s="77">
        <f>IFERROR(__xludf.DUMMYFUNCTION("IFERROR(QUERY(Presidente!$A$3:$AD112, ""SELECT AD WHERE A = '"" &amp; $B112 &amp; ""'""),"""")"),709.0)</f>
        <v>709</v>
      </c>
    </row>
  </sheetData>
  <drawing r:id="rId1"/>
</worksheet>
</file>