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1\Pictures\"/>
    </mc:Choice>
  </mc:AlternateContent>
  <xr:revisionPtr revIDLastSave="0" documentId="13_ncr:1_{83AA3684-5550-4E1F-9C3C-0C492EB445A3}" xr6:coauthVersionLast="36" xr6:coauthVersionMax="47" xr10:uidLastSave="{00000000-0000-0000-0000-000000000000}"/>
  <bookViews>
    <workbookView xWindow="0" yWindow="0" windowWidth="28800" windowHeight="12225" xr2:uid="{7936E10D-DA26-403A-AE5E-3A2A1001CF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3" i="1"/>
  <c r="H42" i="1"/>
  <c r="H39" i="1"/>
  <c r="H36" i="1"/>
  <c r="H35" i="1"/>
  <c r="H34" i="1"/>
  <c r="H32" i="1"/>
  <c r="H31" i="1"/>
  <c r="H30" i="1"/>
  <c r="H29" i="1"/>
  <c r="H26" i="1"/>
  <c r="H25" i="1"/>
  <c r="H24" i="1"/>
  <c r="H22" i="1"/>
  <c r="D56" i="1"/>
  <c r="D55" i="1"/>
  <c r="D54" i="1"/>
  <c r="D50" i="1"/>
  <c r="D47" i="1"/>
  <c r="D48" i="1"/>
  <c r="D49" i="1"/>
  <c r="D46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8" i="1"/>
  <c r="B27" i="1"/>
  <c r="D24" i="1"/>
  <c r="D22" i="1"/>
  <c r="D21" i="1"/>
  <c r="B23" i="1"/>
  <c r="D23" i="1" s="1"/>
  <c r="B17" i="1"/>
  <c r="D17" i="1" s="1"/>
  <c r="E17" i="1" s="1"/>
  <c r="F17" i="1" s="1"/>
  <c r="E15" i="1"/>
  <c r="F15" i="1" s="1"/>
  <c r="F18" i="1" s="1"/>
  <c r="D15" i="1"/>
  <c r="C15" i="1"/>
  <c r="C12" i="1"/>
  <c r="D12" i="1" s="1"/>
  <c r="E12" i="1" s="1"/>
  <c r="D10" i="1"/>
  <c r="E10" i="1" s="1"/>
  <c r="C10" i="1"/>
  <c r="C7" i="1"/>
  <c r="D7" i="1" s="1"/>
  <c r="E7" i="1" s="1"/>
  <c r="C5" i="1"/>
  <c r="D5" i="1" s="1"/>
  <c r="E5" i="1" s="1"/>
  <c r="E8" i="1" s="1"/>
  <c r="B3" i="1"/>
  <c r="D25" i="1" l="1"/>
  <c r="E13" i="1"/>
</calcChain>
</file>

<file path=xl/sharedStrings.xml><?xml version="1.0" encoding="utf-8"?>
<sst xmlns="http://schemas.openxmlformats.org/spreadsheetml/2006/main" count="104" uniqueCount="82">
  <si>
    <t>ACTIVIDAD No 01</t>
  </si>
  <si>
    <t>Unidades vendidas</t>
  </si>
  <si>
    <t>Materiales directos</t>
  </si>
  <si>
    <t>Tubo</t>
  </si>
  <si>
    <t>6 metros</t>
  </si>
  <si>
    <t>Valor unidad</t>
  </si>
  <si>
    <t>MD</t>
  </si>
  <si>
    <t>Cuero</t>
  </si>
  <si>
    <t>10 metros</t>
  </si>
  <si>
    <t>Materiales indirectos</t>
  </si>
  <si>
    <t>20 kilos</t>
  </si>
  <si>
    <t>MID</t>
  </si>
  <si>
    <t>Tornillos y tuerca</t>
  </si>
  <si>
    <t>Caja por 100 unidades</t>
  </si>
  <si>
    <t>Valor tornillo</t>
  </si>
  <si>
    <t>CIF</t>
  </si>
  <si>
    <t>MOD</t>
  </si>
  <si>
    <t>Tapicero</t>
  </si>
  <si>
    <t>Ensamblador</t>
  </si>
  <si>
    <t>Costo producto vendido</t>
  </si>
  <si>
    <t>Precio de venta por unidad</t>
  </si>
  <si>
    <t>COSTOS FIJOS</t>
  </si>
  <si>
    <t>Valor mes</t>
  </si>
  <si>
    <t>Número de meses</t>
  </si>
  <si>
    <t>Valor total</t>
  </si>
  <si>
    <t>Concepto</t>
  </si>
  <si>
    <t>TOTAL COSTO FIJO</t>
  </si>
  <si>
    <t>COSTO TOTAL</t>
  </si>
  <si>
    <t>Mano de obra</t>
  </si>
  <si>
    <t>Material indirecto</t>
  </si>
  <si>
    <t>Costos fijos</t>
  </si>
  <si>
    <t>Costo Unitario</t>
  </si>
  <si>
    <t>Costo primo</t>
  </si>
  <si>
    <t>Material directo</t>
  </si>
  <si>
    <t>Total costo variable</t>
  </si>
  <si>
    <t>Ventas totales</t>
  </si>
  <si>
    <t>Salarios</t>
  </si>
  <si>
    <t>Arrendamientos</t>
  </si>
  <si>
    <t>Servicios Públicos</t>
  </si>
  <si>
    <t>GASTOS DE ADMINISTRACIÓN</t>
  </si>
  <si>
    <t>Total</t>
  </si>
  <si>
    <t>Total gasto de administración</t>
  </si>
  <si>
    <t>Comisión</t>
  </si>
  <si>
    <t>GASTOS DE VENTAS</t>
  </si>
  <si>
    <t>Publicidad</t>
  </si>
  <si>
    <t>Total gasto de ventas</t>
  </si>
  <si>
    <t>RIEGOS QUIMICOS</t>
  </si>
  <si>
    <t>ESTADO DE RESULTADOS A DICIEMBRE 31 DE 2018</t>
  </si>
  <si>
    <t>Ventas brutas</t>
  </si>
  <si>
    <t>Igual ventas netas</t>
  </si>
  <si>
    <t>Menos CPV</t>
  </si>
  <si>
    <t>Igual utilidad bruta</t>
  </si>
  <si>
    <t>Menos gastos operacionales</t>
  </si>
  <si>
    <t>De administración</t>
  </si>
  <si>
    <t>Servicios públicos</t>
  </si>
  <si>
    <t>De ventas</t>
  </si>
  <si>
    <t>Utilidad operacional</t>
  </si>
  <si>
    <t>Mas ingresos no operacionales</t>
  </si>
  <si>
    <t>Menos gastos no operacionales</t>
  </si>
  <si>
    <t>Utilidad del ejercicio</t>
  </si>
  <si>
    <t>UTILIDAD POR CADA UNIDAD VENDIDA</t>
  </si>
  <si>
    <t>Utilidad por unidad vendida</t>
  </si>
  <si>
    <t>Total MID-CIF- VARIABLE</t>
  </si>
  <si>
    <t>TOTAL MOD- COSTO VARIABLE</t>
  </si>
  <si>
    <t>Materiales DIRECTOS</t>
  </si>
  <si>
    <t>Mano de obra DIRECTA</t>
  </si>
  <si>
    <t>TOTAL CIF</t>
  </si>
  <si>
    <t>Costo variables</t>
  </si>
  <si>
    <t>Seguros</t>
  </si>
  <si>
    <t>Seguro</t>
  </si>
  <si>
    <t>TOTAL MD-  COSTO VARIABLE</t>
  </si>
  <si>
    <t>2,5 metros- 3 camillas</t>
  </si>
  <si>
    <t>8 mtros- 4 camillas</t>
  </si>
  <si>
    <t>Algodón</t>
  </si>
  <si>
    <t>30 kilos- 60 camillas</t>
  </si>
  <si>
    <t>Valor día</t>
  </si>
  <si>
    <t>Valor hora</t>
  </si>
  <si>
    <t>Valor horas según producción</t>
  </si>
  <si>
    <t>Supervisor</t>
  </si>
  <si>
    <t>Arrendamiento de fábrica</t>
  </si>
  <si>
    <t>Menos devoluciones ventas</t>
  </si>
  <si>
    <t>Unidades producidas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</si>
</sst>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$&quot;* #,##0_-;\-&quot;$&quot;* #,##0_-;_-&quot;$&quot;* &quot;-&quot;??_-;_-@_-"/>
    <numFmt numFmtId="166" formatCode="_-&quot;$&quot;* #,##0_-;\-&quot;$&quot;* #,##0_-;_-&quot;$&quot;* &quot;-&quot;?_-;_-@_-"/>
    <numFmt numFmtId="167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/>
    <xf numFmtId="165" fontId="1" fillId="0" borderId="1" xfId="0" applyNumberFormat="1" applyFont="1" applyBorder="1"/>
    <xf numFmtId="0" fontId="1" fillId="0" borderId="1" xfId="0" applyFont="1" applyBorder="1" applyAlignment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1" xfId="0" applyFont="1" applyBorder="1" applyAlignment="1"/>
    <xf numFmtId="166" fontId="0" fillId="0" borderId="1" xfId="0" applyNumberFormat="1" applyBorder="1"/>
    <xf numFmtId="0" fontId="1" fillId="0" borderId="0" xfId="0" applyFont="1" applyBorder="1" applyAlignment="1"/>
    <xf numFmtId="0" fontId="0" fillId="0" borderId="0" xfId="0" applyBorder="1"/>
    <xf numFmtId="0" fontId="1" fillId="3" borderId="0" xfId="0" applyFont="1" applyFill="1" applyBorder="1"/>
    <xf numFmtId="0" fontId="0" fillId="0" borderId="1" xfId="0" applyFont="1" applyBorder="1"/>
    <xf numFmtId="0" fontId="1" fillId="0" borderId="0" xfId="0" applyFont="1" applyFill="1" applyBorder="1" applyAlignment="1"/>
    <xf numFmtId="0" fontId="1" fillId="0" borderId="1" xfId="0" applyFont="1" applyFill="1" applyBorder="1"/>
    <xf numFmtId="0" fontId="0" fillId="0" borderId="1" xfId="0" applyFill="1" applyBorder="1"/>
    <xf numFmtId="166" fontId="1" fillId="2" borderId="4" xfId="0" applyNumberFormat="1" applyFont="1" applyFill="1" applyBorder="1"/>
    <xf numFmtId="166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0" fillId="0" borderId="9" xfId="0" applyFill="1" applyBorder="1"/>
    <xf numFmtId="165" fontId="0" fillId="0" borderId="1" xfId="0" applyNumberFormat="1" applyFont="1" applyBorder="1" applyAlignment="1"/>
    <xf numFmtId="167" fontId="0" fillId="0" borderId="1" xfId="0" applyNumberFormat="1" applyBorder="1"/>
    <xf numFmtId="165" fontId="0" fillId="0" borderId="1" xfId="0" applyNumberFormat="1" applyFont="1" applyBorder="1"/>
    <xf numFmtId="0" fontId="1" fillId="3" borderId="0" xfId="0" applyFont="1" applyFill="1" applyAlignment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0" fillId="3" borderId="1" xfId="0" applyNumberFormat="1" applyFont="1" applyFill="1" applyBorder="1"/>
    <xf numFmtId="167" fontId="0" fillId="0" borderId="1" xfId="0" applyNumberFormat="1" applyFont="1" applyBorder="1"/>
    <xf numFmtId="3" fontId="0" fillId="0" borderId="1" xfId="0" applyNumberFormat="1" applyBorder="1"/>
    <xf numFmtId="0" fontId="1" fillId="0" borderId="0" xfId="0" applyFont="1" applyAlignment="1">
      <alignment horizontal="center"/>
    </xf>
    <xf numFmtId="165" fontId="1" fillId="3" borderId="1" xfId="0" applyNumberFormat="1" applyFont="1" applyFill="1" applyBorder="1"/>
    <xf numFmtId="0" fontId="0" fillId="0" borderId="2" xfId="0" applyBorder="1"/>
    <xf numFmtId="166" fontId="1" fillId="0" borderId="1" xfId="0" applyNumberFormat="1" applyFont="1" applyBorder="1"/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3CE3-BAD5-44F2-834F-B791DC75EC96}">
  <dimension ref="A1:I56"/>
  <sheetViews>
    <sheetView tabSelected="1" workbookViewId="0">
      <selection activeCell="B3" sqref="B3"/>
    </sheetView>
  </sheetViews>
  <sheetFormatPr baseColWidth="10" defaultRowHeight="15" x14ac:dyDescent="0.25"/>
  <cols>
    <col min="1" max="1" width="27.28515625" bestFit="1" customWidth="1"/>
    <col min="2" max="2" width="23.42578125" bestFit="1" customWidth="1"/>
    <col min="3" max="3" width="20.140625" bestFit="1" customWidth="1"/>
    <col min="4" max="4" width="16.28515625" bestFit="1" customWidth="1"/>
    <col min="5" max="5" width="17.7109375" bestFit="1" customWidth="1"/>
    <col min="6" max="6" width="28.42578125" bestFit="1" customWidth="1"/>
    <col min="8" max="8" width="13.5703125" bestFit="1" customWidth="1"/>
  </cols>
  <sheetData>
    <row r="1" spans="1:6" x14ac:dyDescent="0.25">
      <c r="A1" s="32" t="s">
        <v>0</v>
      </c>
      <c r="B1" s="32"/>
      <c r="C1" s="32"/>
      <c r="D1" s="32"/>
      <c r="E1" s="32"/>
      <c r="F1" s="28"/>
    </row>
    <row r="2" spans="1:6" x14ac:dyDescent="0.25">
      <c r="A2" s="1" t="s">
        <v>81</v>
      </c>
      <c r="B2" s="1">
        <v>6000</v>
      </c>
      <c r="C2" s="1"/>
      <c r="D2" s="1"/>
      <c r="E2" s="1"/>
      <c r="F2" s="15"/>
    </row>
    <row r="3" spans="1:6" x14ac:dyDescent="0.25">
      <c r="A3" s="1" t="s">
        <v>1</v>
      </c>
      <c r="B3" s="1">
        <f>+B2*80%</f>
        <v>4800</v>
      </c>
      <c r="C3" s="1"/>
      <c r="D3" s="1"/>
      <c r="E3" s="1"/>
      <c r="F3" s="15"/>
    </row>
    <row r="4" spans="1:6" x14ac:dyDescent="0.25">
      <c r="A4" s="2" t="s">
        <v>2</v>
      </c>
      <c r="B4" s="3" t="s">
        <v>4</v>
      </c>
      <c r="C4" s="2" t="s">
        <v>71</v>
      </c>
      <c r="D4" s="2" t="s">
        <v>5</v>
      </c>
      <c r="E4" s="3" t="s">
        <v>6</v>
      </c>
      <c r="F4" s="15"/>
    </row>
    <row r="5" spans="1:6" x14ac:dyDescent="0.25">
      <c r="A5" s="1" t="s">
        <v>3</v>
      </c>
      <c r="B5" s="4">
        <v>70000</v>
      </c>
      <c r="C5" s="4">
        <f>+B5/6*2.5</f>
        <v>29166.666666666664</v>
      </c>
      <c r="D5" s="4">
        <f>+C5/3</f>
        <v>9722.2222222222208</v>
      </c>
      <c r="E5" s="44">
        <f>+D5*B2</f>
        <v>58333333.333333328</v>
      </c>
      <c r="F5" s="15"/>
    </row>
    <row r="6" spans="1:6" x14ac:dyDescent="0.25">
      <c r="A6" s="1"/>
      <c r="B6" s="2" t="s">
        <v>8</v>
      </c>
      <c r="C6" s="2" t="s">
        <v>72</v>
      </c>
      <c r="D6" s="2" t="s">
        <v>5</v>
      </c>
      <c r="E6" s="5" t="s">
        <v>6</v>
      </c>
      <c r="F6" s="15"/>
    </row>
    <row r="7" spans="1:6" x14ac:dyDescent="0.25">
      <c r="A7" s="1" t="s">
        <v>7</v>
      </c>
      <c r="B7" s="4">
        <v>50000</v>
      </c>
      <c r="C7" s="1">
        <f>+B7/10*8</f>
        <v>40000</v>
      </c>
      <c r="D7" s="26">
        <f>+C7/4</f>
        <v>10000</v>
      </c>
      <c r="E7" s="45">
        <f>+D7*B2</f>
        <v>60000000</v>
      </c>
      <c r="F7" s="15"/>
    </row>
    <row r="8" spans="1:6" x14ac:dyDescent="0.25">
      <c r="A8" s="35" t="s">
        <v>70</v>
      </c>
      <c r="B8" s="36"/>
      <c r="C8" s="36"/>
      <c r="D8" s="37"/>
      <c r="E8" s="7">
        <f>+E5+E7</f>
        <v>118333333.33333333</v>
      </c>
      <c r="F8" s="15"/>
    </row>
    <row r="9" spans="1:6" x14ac:dyDescent="0.25">
      <c r="A9" s="2" t="s">
        <v>9</v>
      </c>
      <c r="B9" s="2" t="s">
        <v>10</v>
      </c>
      <c r="C9" s="23" t="s">
        <v>74</v>
      </c>
      <c r="D9" s="2" t="s">
        <v>5</v>
      </c>
      <c r="E9" s="2" t="s">
        <v>11</v>
      </c>
      <c r="F9" s="15"/>
    </row>
    <row r="10" spans="1:6" x14ac:dyDescent="0.25">
      <c r="A10" s="1" t="s">
        <v>73</v>
      </c>
      <c r="B10" s="46">
        <v>5000</v>
      </c>
      <c r="C10" s="1">
        <f>+B10/20*30</f>
        <v>7500</v>
      </c>
      <c r="D10" s="1">
        <f>+C10/60</f>
        <v>125</v>
      </c>
      <c r="E10" s="27">
        <f>+D10*B2</f>
        <v>750000</v>
      </c>
      <c r="F10" s="15"/>
    </row>
    <row r="11" spans="1:6" x14ac:dyDescent="0.25">
      <c r="A11" s="1"/>
      <c r="B11" s="2" t="s">
        <v>13</v>
      </c>
      <c r="C11" s="2" t="s">
        <v>14</v>
      </c>
      <c r="D11" s="2" t="s">
        <v>5</v>
      </c>
      <c r="E11" s="17"/>
      <c r="F11" s="15"/>
    </row>
    <row r="12" spans="1:6" x14ac:dyDescent="0.25">
      <c r="A12" s="2" t="s">
        <v>12</v>
      </c>
      <c r="B12" s="1">
        <v>2000</v>
      </c>
      <c r="C12" s="1">
        <f>+B12/100</f>
        <v>20</v>
      </c>
      <c r="D12" s="1">
        <f>+C12*6</f>
        <v>120</v>
      </c>
      <c r="E12" s="27">
        <f>+D12*B2</f>
        <v>720000</v>
      </c>
      <c r="F12" s="15"/>
    </row>
    <row r="13" spans="1:6" x14ac:dyDescent="0.25">
      <c r="A13" s="35" t="s">
        <v>62</v>
      </c>
      <c r="B13" s="36"/>
      <c r="C13" s="36"/>
      <c r="D13" s="37"/>
      <c r="E13" s="21">
        <f>+E10+E12</f>
        <v>1470000</v>
      </c>
      <c r="F13" s="15"/>
    </row>
    <row r="14" spans="1:6" ht="45" x14ac:dyDescent="0.25">
      <c r="A14" s="2" t="s">
        <v>16</v>
      </c>
      <c r="B14" s="2" t="s">
        <v>75</v>
      </c>
      <c r="C14" s="2" t="s">
        <v>76</v>
      </c>
      <c r="D14" s="29" t="s">
        <v>77</v>
      </c>
      <c r="E14" s="2" t="s">
        <v>5</v>
      </c>
      <c r="F14" s="2" t="s">
        <v>16</v>
      </c>
    </row>
    <row r="15" spans="1:6" x14ac:dyDescent="0.25">
      <c r="A15" s="2" t="s">
        <v>17</v>
      </c>
      <c r="B15" s="46">
        <v>35000</v>
      </c>
      <c r="C15" s="1">
        <f>+B15/8</f>
        <v>4375</v>
      </c>
      <c r="D15" s="1">
        <f>+C15*4</f>
        <v>17500</v>
      </c>
      <c r="E15" s="1">
        <f>+D15/10</f>
        <v>1750</v>
      </c>
      <c r="F15" s="8">
        <f>+E15*B2</f>
        <v>10500000</v>
      </c>
    </row>
    <row r="16" spans="1:6" x14ac:dyDescent="0.25">
      <c r="A16" s="1"/>
      <c r="B16" s="1"/>
      <c r="C16" s="1"/>
      <c r="D16" s="1"/>
      <c r="E16" s="1"/>
      <c r="F16" s="1" t="s">
        <v>16</v>
      </c>
    </row>
    <row r="17" spans="1:9" x14ac:dyDescent="0.25">
      <c r="A17" s="2" t="s">
        <v>18</v>
      </c>
      <c r="B17" s="1">
        <f>+C17*8</f>
        <v>48000</v>
      </c>
      <c r="C17" s="1">
        <v>6000</v>
      </c>
      <c r="D17" s="1">
        <f>+B17</f>
        <v>48000</v>
      </c>
      <c r="E17" s="1">
        <f>+D17/30</f>
        <v>1600</v>
      </c>
      <c r="F17" s="8">
        <f>+E17*B2</f>
        <v>9600000</v>
      </c>
    </row>
    <row r="18" spans="1:9" x14ac:dyDescent="0.25">
      <c r="A18" s="35" t="s">
        <v>63</v>
      </c>
      <c r="B18" s="36"/>
      <c r="C18" s="36"/>
      <c r="D18" s="36"/>
      <c r="E18" s="37"/>
      <c r="F18" s="7">
        <f>+F15+F17</f>
        <v>20100000</v>
      </c>
    </row>
    <row r="19" spans="1:9" x14ac:dyDescent="0.25">
      <c r="A19" s="34" t="s">
        <v>21</v>
      </c>
      <c r="B19" s="34"/>
      <c r="C19" s="34"/>
      <c r="D19" s="34"/>
      <c r="E19" s="14"/>
      <c r="F19" s="14"/>
      <c r="G19" s="15"/>
    </row>
    <row r="20" spans="1:9" x14ac:dyDescent="0.25">
      <c r="A20" s="9" t="s">
        <v>25</v>
      </c>
      <c r="B20" s="9" t="s">
        <v>22</v>
      </c>
      <c r="C20" s="9" t="s">
        <v>23</v>
      </c>
      <c r="D20" s="9" t="s">
        <v>24</v>
      </c>
      <c r="E20" s="14"/>
      <c r="F20" s="33" t="s">
        <v>46</v>
      </c>
      <c r="G20" s="33"/>
      <c r="H20" s="33"/>
      <c r="I20" s="18"/>
    </row>
    <row r="21" spans="1:9" x14ac:dyDescent="0.25">
      <c r="A21" s="10" t="s">
        <v>78</v>
      </c>
      <c r="B21" s="11">
        <v>800000</v>
      </c>
      <c r="C21" s="10">
        <v>12</v>
      </c>
      <c r="D21" s="11">
        <f>+B21*C21</f>
        <v>9600000</v>
      </c>
      <c r="E21" s="16"/>
      <c r="F21" s="34" t="s">
        <v>47</v>
      </c>
      <c r="G21" s="34"/>
      <c r="H21" s="34"/>
      <c r="I21" s="14"/>
    </row>
    <row r="22" spans="1:9" x14ac:dyDescent="0.25">
      <c r="A22" s="12" t="s">
        <v>79</v>
      </c>
      <c r="B22" s="25">
        <v>300000</v>
      </c>
      <c r="C22" s="10">
        <v>12</v>
      </c>
      <c r="D22" s="11">
        <f t="shared" ref="D22:D24" si="0">+B22*C22</f>
        <v>3600000</v>
      </c>
      <c r="E22" s="15"/>
      <c r="F22" s="1" t="s">
        <v>48</v>
      </c>
      <c r="G22" s="31"/>
      <c r="H22" s="4">
        <f>+B43</f>
        <v>237277066.66666663</v>
      </c>
    </row>
    <row r="23" spans="1:9" x14ac:dyDescent="0.25">
      <c r="A23" s="1" t="s">
        <v>38</v>
      </c>
      <c r="B23" s="25">
        <f>+B22*50%</f>
        <v>150000</v>
      </c>
      <c r="C23" s="10">
        <v>12</v>
      </c>
      <c r="D23" s="11">
        <f t="shared" si="0"/>
        <v>1800000</v>
      </c>
      <c r="E23" s="15"/>
      <c r="F23" s="1" t="s">
        <v>80</v>
      </c>
      <c r="G23" s="31"/>
      <c r="H23" s="1">
        <v>0</v>
      </c>
    </row>
    <row r="24" spans="1:9" x14ac:dyDescent="0.25">
      <c r="A24" s="1" t="s">
        <v>68</v>
      </c>
      <c r="B24" s="4">
        <v>100000</v>
      </c>
      <c r="C24" s="10">
        <v>12</v>
      </c>
      <c r="D24" s="11">
        <f t="shared" si="0"/>
        <v>1200000</v>
      </c>
      <c r="E24" s="15"/>
      <c r="F24" s="6" t="s">
        <v>49</v>
      </c>
      <c r="G24" s="30"/>
      <c r="H24" s="7">
        <f>+H22-H23</f>
        <v>237277066.66666663</v>
      </c>
    </row>
    <row r="25" spans="1:9" x14ac:dyDescent="0.25">
      <c r="A25" s="35" t="s">
        <v>26</v>
      </c>
      <c r="B25" s="36"/>
      <c r="C25" s="37"/>
      <c r="D25" s="7">
        <f>SUM(D21:D24)</f>
        <v>16200000</v>
      </c>
      <c r="E25" s="15"/>
      <c r="F25" s="1" t="s">
        <v>50</v>
      </c>
      <c r="G25" s="31"/>
      <c r="H25" s="4">
        <f>+B35</f>
        <v>124882666.66666666</v>
      </c>
    </row>
    <row r="26" spans="1:9" x14ac:dyDescent="0.25">
      <c r="A26" s="34" t="s">
        <v>27</v>
      </c>
      <c r="B26" s="34"/>
      <c r="C26" s="15"/>
      <c r="D26" s="15"/>
      <c r="E26" s="15"/>
      <c r="F26" s="6" t="s">
        <v>51</v>
      </c>
      <c r="G26" s="30"/>
      <c r="H26" s="7">
        <f>+H24-H25</f>
        <v>112394399.99999997</v>
      </c>
    </row>
    <row r="27" spans="1:9" x14ac:dyDescent="0.25">
      <c r="A27" s="6" t="s">
        <v>64</v>
      </c>
      <c r="B27" s="7">
        <f>+E8</f>
        <v>118333333.33333333</v>
      </c>
      <c r="C27" s="15"/>
      <c r="D27" s="15"/>
      <c r="E27" s="15"/>
      <c r="F27" s="19" t="s">
        <v>52</v>
      </c>
      <c r="G27" s="1"/>
      <c r="H27" s="1"/>
    </row>
    <row r="28" spans="1:9" x14ac:dyDescent="0.25">
      <c r="A28" s="6" t="s">
        <v>65</v>
      </c>
      <c r="B28" s="7">
        <f>+F18</f>
        <v>20100000</v>
      </c>
      <c r="C28" s="15"/>
      <c r="D28" s="15"/>
      <c r="E28" s="15"/>
      <c r="F28" s="6" t="s">
        <v>53</v>
      </c>
      <c r="G28" s="1"/>
      <c r="H28" s="1"/>
    </row>
    <row r="29" spans="1:9" x14ac:dyDescent="0.25">
      <c r="A29" s="47" t="s">
        <v>15</v>
      </c>
      <c r="C29" s="15"/>
      <c r="D29" s="15"/>
      <c r="E29" s="15"/>
      <c r="F29" s="20" t="s">
        <v>36</v>
      </c>
      <c r="G29" s="1"/>
      <c r="H29" s="4">
        <f>+D46</f>
        <v>9600000</v>
      </c>
    </row>
    <row r="30" spans="1:9" x14ac:dyDescent="0.25">
      <c r="A30" s="49" t="s">
        <v>29</v>
      </c>
      <c r="B30" s="50">
        <f>+E13</f>
        <v>1470000</v>
      </c>
      <c r="C30" s="15"/>
      <c r="D30" s="15"/>
      <c r="E30" s="15"/>
      <c r="F30" s="20" t="s">
        <v>37</v>
      </c>
      <c r="G30" s="1"/>
      <c r="H30" s="4">
        <f t="shared" ref="H30:H32" si="1">+D47</f>
        <v>3600000</v>
      </c>
    </row>
    <row r="31" spans="1:9" x14ac:dyDescent="0.25">
      <c r="A31" s="49" t="s">
        <v>30</v>
      </c>
      <c r="B31" s="8">
        <f>+D25</f>
        <v>16200000</v>
      </c>
      <c r="E31" s="15"/>
      <c r="F31" s="20" t="s">
        <v>54</v>
      </c>
      <c r="G31" s="1"/>
      <c r="H31" s="4">
        <f t="shared" si="1"/>
        <v>1200000</v>
      </c>
    </row>
    <row r="32" spans="1:9" x14ac:dyDescent="0.25">
      <c r="A32" s="6" t="s">
        <v>66</v>
      </c>
      <c r="B32" s="7">
        <f>B30+B31</f>
        <v>17670000</v>
      </c>
      <c r="E32" s="15"/>
      <c r="F32" s="20" t="s">
        <v>68</v>
      </c>
      <c r="G32" s="1"/>
      <c r="H32" s="4">
        <f t="shared" si="1"/>
        <v>2400000</v>
      </c>
    </row>
    <row r="33" spans="1:8" x14ac:dyDescent="0.25">
      <c r="A33" s="6" t="s">
        <v>27</v>
      </c>
      <c r="B33" s="7">
        <f>+B27+B28+B32</f>
        <v>156103333.33333331</v>
      </c>
      <c r="C33" s="15"/>
      <c r="D33" s="15"/>
      <c r="E33" s="15"/>
      <c r="F33" s="6" t="s">
        <v>55</v>
      </c>
      <c r="G33" s="1"/>
      <c r="H33" s="1"/>
    </row>
    <row r="34" spans="1:8" x14ac:dyDescent="0.25">
      <c r="A34" s="1" t="s">
        <v>31</v>
      </c>
      <c r="B34" s="48">
        <f>+B33/B2</f>
        <v>26017.222222222219</v>
      </c>
      <c r="C34" s="15"/>
      <c r="D34" s="15"/>
      <c r="E34" s="15"/>
      <c r="F34" s="20" t="s">
        <v>44</v>
      </c>
      <c r="G34" s="1"/>
      <c r="H34" s="4">
        <f>+D54</f>
        <v>3600000</v>
      </c>
    </row>
    <row r="35" spans="1:8" x14ac:dyDescent="0.25">
      <c r="A35" s="2" t="s">
        <v>19</v>
      </c>
      <c r="B35" s="48">
        <f>+B34*B3</f>
        <v>124882666.66666666</v>
      </c>
      <c r="C35" s="42"/>
      <c r="D35" s="43"/>
      <c r="E35" s="15"/>
      <c r="F35" s="20" t="s">
        <v>42</v>
      </c>
      <c r="G35" s="1"/>
      <c r="H35" s="4">
        <f>+D55</f>
        <v>11863853.333333332</v>
      </c>
    </row>
    <row r="36" spans="1:8" x14ac:dyDescent="0.25">
      <c r="A36" s="1" t="s">
        <v>32</v>
      </c>
      <c r="B36" s="8">
        <f>+E8+F18</f>
        <v>138433333.33333331</v>
      </c>
      <c r="C36" s="15"/>
      <c r="D36" s="15"/>
      <c r="E36" s="15"/>
      <c r="F36" s="6" t="s">
        <v>56</v>
      </c>
      <c r="G36" s="2"/>
      <c r="H36" s="7">
        <f>+H26-H29-H30-H31-H32-H34-H35</f>
        <v>80130546.666666642</v>
      </c>
    </row>
    <row r="37" spans="1:8" x14ac:dyDescent="0.25">
      <c r="A37" s="3" t="s">
        <v>67</v>
      </c>
      <c r="B37" s="13"/>
      <c r="C37" s="15"/>
      <c r="D37" s="15"/>
      <c r="E37" s="15"/>
      <c r="F37" s="20" t="s">
        <v>57</v>
      </c>
      <c r="G37" s="1"/>
      <c r="H37" s="1">
        <v>0</v>
      </c>
    </row>
    <row r="38" spans="1:8" x14ac:dyDescent="0.25">
      <c r="A38" s="1" t="s">
        <v>33</v>
      </c>
      <c r="B38" s="26">
        <f>+E8</f>
        <v>118333333.33333333</v>
      </c>
      <c r="C38" s="15"/>
      <c r="D38" s="15"/>
      <c r="E38" s="15"/>
      <c r="F38" s="20" t="s">
        <v>58</v>
      </c>
      <c r="G38" s="1"/>
      <c r="H38" s="1">
        <v>0</v>
      </c>
    </row>
    <row r="39" spans="1:8" x14ac:dyDescent="0.25">
      <c r="A39" s="1" t="s">
        <v>29</v>
      </c>
      <c r="B39" s="26">
        <f>+E13</f>
        <v>1470000</v>
      </c>
      <c r="C39" s="15"/>
      <c r="D39" s="15"/>
      <c r="E39" s="15"/>
      <c r="F39" s="6" t="s">
        <v>59</v>
      </c>
      <c r="G39" s="6"/>
      <c r="H39" s="7">
        <f>+H36+H37-H38</f>
        <v>80130546.666666642</v>
      </c>
    </row>
    <row r="40" spans="1:8" x14ac:dyDescent="0.25">
      <c r="A40" s="1" t="s">
        <v>28</v>
      </c>
      <c r="B40" s="26">
        <f>+F18</f>
        <v>20100000</v>
      </c>
      <c r="C40" s="15"/>
      <c r="D40" s="15"/>
      <c r="E40" s="15"/>
      <c r="F40" s="15"/>
    </row>
    <row r="41" spans="1:8" x14ac:dyDescent="0.25">
      <c r="A41" s="6" t="s">
        <v>34</v>
      </c>
      <c r="B41" s="22">
        <f>SUM(B38:B40)</f>
        <v>139903333.33333331</v>
      </c>
      <c r="C41" s="15"/>
      <c r="D41" s="15"/>
      <c r="E41" s="15"/>
      <c r="F41" s="32" t="s">
        <v>60</v>
      </c>
      <c r="G41" s="32"/>
      <c r="H41" s="32"/>
    </row>
    <row r="42" spans="1:8" x14ac:dyDescent="0.25">
      <c r="A42" s="1" t="s">
        <v>20</v>
      </c>
      <c r="B42" s="4">
        <f>+B34*1.9</f>
        <v>49432.722222222212</v>
      </c>
      <c r="C42" s="15"/>
      <c r="D42" s="15"/>
      <c r="E42" s="15"/>
      <c r="F42" s="19" t="s">
        <v>59</v>
      </c>
      <c r="G42" s="1"/>
      <c r="H42" s="4">
        <f>+H39</f>
        <v>80130546.666666642</v>
      </c>
    </row>
    <row r="43" spans="1:8" x14ac:dyDescent="0.25">
      <c r="A43" s="6" t="s">
        <v>35</v>
      </c>
      <c r="B43" s="7">
        <f>+B42*B3</f>
        <v>237277066.66666663</v>
      </c>
      <c r="C43" s="38"/>
      <c r="D43" s="39"/>
      <c r="E43" s="15"/>
      <c r="F43" s="1" t="s">
        <v>1</v>
      </c>
      <c r="G43" s="1"/>
      <c r="H43" s="1">
        <f>+B3</f>
        <v>4800</v>
      </c>
    </row>
    <row r="44" spans="1:8" x14ac:dyDescent="0.25">
      <c r="A44" s="34" t="s">
        <v>39</v>
      </c>
      <c r="B44" s="34"/>
      <c r="C44" s="34"/>
      <c r="D44" s="34"/>
      <c r="E44" s="15"/>
      <c r="F44" s="2" t="s">
        <v>61</v>
      </c>
      <c r="G44" s="2"/>
      <c r="H44" s="8">
        <f>+H42/H43</f>
        <v>16693.863888888885</v>
      </c>
    </row>
    <row r="45" spans="1:8" x14ac:dyDescent="0.25">
      <c r="A45" s="1"/>
      <c r="B45" s="3" t="s">
        <v>22</v>
      </c>
      <c r="C45" s="3" t="s">
        <v>23</v>
      </c>
      <c r="D45" s="3" t="s">
        <v>40</v>
      </c>
      <c r="E45" s="15"/>
      <c r="F45" s="15"/>
    </row>
    <row r="46" spans="1:8" x14ac:dyDescent="0.25">
      <c r="A46" s="1" t="s">
        <v>36</v>
      </c>
      <c r="B46" s="4">
        <v>800000</v>
      </c>
      <c r="C46" s="1">
        <v>12</v>
      </c>
      <c r="D46" s="4">
        <f>+B46*C46</f>
        <v>9600000</v>
      </c>
      <c r="E46" s="15"/>
      <c r="F46" s="15"/>
    </row>
    <row r="47" spans="1:8" x14ac:dyDescent="0.25">
      <c r="A47" s="1" t="s">
        <v>37</v>
      </c>
      <c r="B47" s="4">
        <v>300000</v>
      </c>
      <c r="C47" s="1">
        <v>12</v>
      </c>
      <c r="D47" s="4">
        <f t="shared" ref="D47:D49" si="2">+B47*C47</f>
        <v>3600000</v>
      </c>
      <c r="E47" s="15"/>
      <c r="F47" s="15"/>
    </row>
    <row r="48" spans="1:8" x14ac:dyDescent="0.25">
      <c r="A48" s="1" t="s">
        <v>38</v>
      </c>
      <c r="B48" s="4">
        <v>100000</v>
      </c>
      <c r="C48" s="1">
        <v>12</v>
      </c>
      <c r="D48" s="4">
        <f t="shared" si="2"/>
        <v>1200000</v>
      </c>
      <c r="E48" s="15"/>
      <c r="F48" s="15"/>
    </row>
    <row r="49" spans="1:6" x14ac:dyDescent="0.25">
      <c r="A49" s="24" t="s">
        <v>69</v>
      </c>
      <c r="B49" s="4">
        <v>200000</v>
      </c>
      <c r="C49" s="1">
        <v>12</v>
      </c>
      <c r="D49" s="4">
        <f t="shared" si="2"/>
        <v>2400000</v>
      </c>
      <c r="E49" s="15"/>
      <c r="F49" s="15"/>
    </row>
    <row r="50" spans="1:6" x14ac:dyDescent="0.25">
      <c r="A50" s="32" t="s">
        <v>41</v>
      </c>
      <c r="B50" s="32"/>
      <c r="C50" s="32"/>
      <c r="D50" s="7">
        <f>SUM(D46:D49)</f>
        <v>16800000</v>
      </c>
      <c r="E50" s="15"/>
      <c r="F50" s="15"/>
    </row>
    <row r="51" spans="1:6" x14ac:dyDescent="0.25">
      <c r="A51" s="1"/>
      <c r="B51" s="3"/>
      <c r="C51" s="3"/>
      <c r="D51" s="51"/>
      <c r="E51" s="15"/>
      <c r="F51" s="15"/>
    </row>
    <row r="52" spans="1:6" x14ac:dyDescent="0.25">
      <c r="A52" s="34" t="s">
        <v>43</v>
      </c>
      <c r="B52" s="34"/>
      <c r="C52" s="34"/>
      <c r="D52" s="34"/>
      <c r="E52" s="15"/>
      <c r="F52" s="15"/>
    </row>
    <row r="53" spans="1:6" x14ac:dyDescent="0.25">
      <c r="A53" s="1"/>
      <c r="B53" s="3" t="s">
        <v>22</v>
      </c>
      <c r="C53" s="3" t="s">
        <v>23</v>
      </c>
      <c r="D53" s="3" t="s">
        <v>40</v>
      </c>
      <c r="E53" s="15"/>
      <c r="F53" s="15"/>
    </row>
    <row r="54" spans="1:6" x14ac:dyDescent="0.25">
      <c r="A54" s="1" t="s">
        <v>44</v>
      </c>
      <c r="B54" s="26">
        <v>300000</v>
      </c>
      <c r="C54" s="1">
        <v>12</v>
      </c>
      <c r="D54" s="4">
        <f>+B54*C54</f>
        <v>3600000</v>
      </c>
      <c r="E54" s="15"/>
      <c r="F54" s="15"/>
    </row>
    <row r="55" spans="1:6" x14ac:dyDescent="0.25">
      <c r="A55" s="1" t="s">
        <v>42</v>
      </c>
      <c r="B55" s="40"/>
      <c r="C55" s="41"/>
      <c r="D55" s="4">
        <f>+B43*5%</f>
        <v>11863853.333333332</v>
      </c>
      <c r="E55" s="15"/>
      <c r="F55" s="15"/>
    </row>
    <row r="56" spans="1:6" x14ac:dyDescent="0.25">
      <c r="A56" s="35" t="s">
        <v>45</v>
      </c>
      <c r="B56" s="36"/>
      <c r="C56" s="37"/>
      <c r="D56" s="7">
        <f>+D54+D55</f>
        <v>15463853.333333332</v>
      </c>
      <c r="E56" s="15"/>
      <c r="F56" s="15"/>
    </row>
  </sheetData>
  <mergeCells count="17">
    <mergeCell ref="A1:E1"/>
    <mergeCell ref="C43:D43"/>
    <mergeCell ref="A18:E18"/>
    <mergeCell ref="A25:C25"/>
    <mergeCell ref="A56:C56"/>
    <mergeCell ref="A19:D19"/>
    <mergeCell ref="A44:D44"/>
    <mergeCell ref="A50:C50"/>
    <mergeCell ref="B55:C55"/>
    <mergeCell ref="A52:D52"/>
    <mergeCell ref="A26:B26"/>
    <mergeCell ref="C35:D35"/>
    <mergeCell ref="F41:H41"/>
    <mergeCell ref="F20:H20"/>
    <mergeCell ref="F21:H21"/>
    <mergeCell ref="A8:D8"/>
    <mergeCell ref="A13:D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VALENCIA</dc:creator>
  <cp:lastModifiedBy>311</cp:lastModifiedBy>
  <dcterms:created xsi:type="dcterms:W3CDTF">2020-06-26T18:25:15Z</dcterms:created>
  <dcterms:modified xsi:type="dcterms:W3CDTF">2024-02-22T21:24:02Z</dcterms:modified>
</cp:coreProperties>
</file>