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comments5.xml" ContentType="application/vnd.openxmlformats-officedocument.spreadsheetml.comments+xml"/>
  <Override PartName="/xl/comments15.xml" ContentType="application/vnd.openxmlformats-officedocument.spreadsheetml.comments+xml"/>
  <Override PartName="/xl/comments4.xml" ContentType="application/vnd.openxmlformats-officedocument.spreadsheetml.comments+xml"/>
  <Override PartName="/xl/comments14.xml" ContentType="application/vnd.openxmlformats-officedocument.spreadsheetml.comments+xml"/>
  <Override PartName="/xl/comments6.xml" ContentType="application/vnd.openxmlformats-officedocument.spreadsheetml.comments+xml"/>
  <Override PartName="/xl/styles.xml" ContentType="application/vnd.openxmlformats-officedocument.spreadsheetml.styles+xml"/>
  <Override PartName="/xl/comments16.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omments12.xml" ContentType="application/vnd.openxmlformats-officedocument.spreadsheetml.comments+xml"/>
  <Override PartName="/xl/drawings/_rels/drawing16.xml.rels" ContentType="application/vnd.openxmlformats-package.relationships+xml"/>
  <Override PartName="/xl/drawings/_rels/drawing14.xml.rels" ContentType="application/vnd.openxmlformats-package.relationships+xml"/>
  <Override PartName="/xl/drawings/_rels/drawing7.xml.rels" ContentType="application/vnd.openxmlformats-package.relationships+xml"/>
  <Override PartName="/xl/drawings/_rels/drawing2.xml.rels" ContentType="application/vnd.openxmlformats-package.relationships+xml"/>
  <Override PartName="/xl/drawings/vmlDrawing15.vml" ContentType="application/vnd.openxmlformats-officedocument.vmlDrawing"/>
  <Override PartName="/xl/drawings/vmlDrawing9.vml" ContentType="application/vnd.openxmlformats-officedocument.vmlDrawing"/>
  <Override PartName="/xl/drawings/vmlDrawing14.vml" ContentType="application/vnd.openxmlformats-officedocument.vmlDrawing"/>
  <Override PartName="/xl/drawings/vmlDrawing8.vml" ContentType="application/vnd.openxmlformats-officedocument.vmlDrawing"/>
  <Override PartName="/xl/drawings/vmlDrawing13.vml" ContentType="application/vnd.openxmlformats-officedocument.vmlDrawing"/>
  <Override PartName="/xl/drawings/vmlDrawing7.vml" ContentType="application/vnd.openxmlformats-officedocument.vmlDrawing"/>
  <Override PartName="/xl/drawings/vmlDrawing12.vml" ContentType="application/vnd.openxmlformats-officedocument.vmlDrawing"/>
  <Override PartName="/xl/drawings/vmlDrawing6.vml" ContentType="application/vnd.openxmlformats-officedocument.vmlDrawing"/>
  <Override PartName="/xl/drawings/drawing7.xml" ContentType="application/vnd.openxmlformats-officedocument.drawing+xml"/>
  <Override PartName="/xl/drawings/drawing16.xml" ContentType="application/vnd.openxmlformats-officedocument.drawing+xml"/>
  <Override PartName="/xl/drawings/drawing14.xml" ContentType="application/vnd.openxmlformats-officedocument.drawing+xml"/>
  <Override PartName="/xl/drawings/drawing5.xml" ContentType="application/vnd.openxmlformats-officedocument.drawing+xml"/>
  <Override PartName="/xl/drawings/drawing8.xml" ContentType="application/vnd.openxmlformats-officedocument.drawing+xml"/>
  <Override PartName="/xl/drawings/drawing17.xml" ContentType="application/vnd.openxmlformats-officedocument.drawing+xml"/>
  <Override PartName="/xl/drawings/drawing6.xml" ContentType="application/vnd.openxmlformats-officedocument.drawing+xml"/>
  <Override PartName="/xl/drawings/drawing15.xml" ContentType="application/vnd.openxmlformats-officedocument.drawing+xml"/>
  <Override PartName="/xl/drawings/vmlDrawing17.vml" ContentType="application/vnd.openxmlformats-officedocument.vmlDrawing"/>
  <Override PartName="/xl/drawings/vmlDrawing16.vml" ContentType="application/vnd.openxmlformats-officedocument.vmlDrawing"/>
  <Override PartName="/xl/drawings/vmlDrawing18.vml" ContentType="application/vnd.openxmlformats-officedocument.vmlDrawing"/>
  <Override PartName="/xl/drawings/vmlDrawing20.vml" ContentType="application/vnd.openxmlformats-officedocument.vmlDrawing"/>
  <Override PartName="/xl/drawings/vmlDrawing19.vml" ContentType="application/vnd.openxmlformats-officedocument.vmlDrawing"/>
  <Override PartName="/xl/drawings/drawing4.xml" ContentType="application/vnd.openxmlformats-officedocument.drawing+xml"/>
  <Override PartName="/xl/drawings/vmlDrawing3.vml" ContentType="application/vnd.openxmlformats-officedocument.vmlDrawing"/>
  <Override PartName="/xl/drawings/drawing13.xml" ContentType="application/vnd.openxmlformats-officedocument.drawing+xml"/>
  <Override PartName="/xl/drawings/drawing3.xml" ContentType="application/vnd.openxmlformats-officedocument.drawing+xml"/>
  <Override PartName="/xl/drawings/vmlDrawing2.vml" ContentType="application/vnd.openxmlformats-officedocument.vmlDrawing"/>
  <Override PartName="/xl/drawings/drawing12.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xl/drawings/drawing11.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9.xml" ContentType="application/vnd.openxmlformats-officedocument.drawing+xml"/>
  <Override PartName="/xl/drawings/vmlDrawing4.vml" ContentType="application/vnd.openxmlformats-officedocument.vmlDrawing"/>
  <Override PartName="/xl/drawings/vmlDrawing10.vml" ContentType="application/vnd.openxmlformats-officedocument.vmlDrawing"/>
  <Override PartName="/xl/drawings/vmlDrawing5.vml" ContentType="application/vnd.openxmlformats-officedocument.vmlDrawing"/>
  <Override PartName="/xl/drawings/vmlDrawing11.vml" ContentType="application/vnd.openxmlformats-officedocument.vmlDrawing"/>
  <Override PartName="/xl/comments1.xml" ContentType="application/vnd.openxmlformats-officedocument.spreadsheetml.comments+xml"/>
  <Override PartName="/xl/comments11.xml" ContentType="application/vnd.openxmlformats-officedocument.spreadsheetml.comments+xml"/>
  <Override PartName="/xl/sharedStrings.xml" ContentType="application/vnd.openxmlformats-officedocument.spreadsheetml.sharedStrings+xml"/>
  <Override PartName="/xl/comments7.xml" ContentType="application/vnd.openxmlformats-officedocument.spreadsheetml.comments+xml"/>
  <Override PartName="/xl/workbook.xml" ContentType="application/vnd.openxmlformats-officedocument.spreadsheetml.sheet.main+xml"/>
  <Override PartName="/xl/comments10.xml" ContentType="application/vnd.openxmlformats-officedocument.spreadsheetml.comments+xml"/>
  <Override PartName="/xl/comments20.xml" ContentType="application/vnd.openxmlformats-officedocument.spreadsheetml.comments+xml"/>
  <Override PartName="/xl/comments18.xml" ContentType="application/vnd.openxmlformats-officedocument.spreadsheetml.comments+xml"/>
  <Override PartName="/xl/comments8.xml" ContentType="application/vnd.openxmlformats-officedocument.spreadsheetml.comments+xml"/>
  <Override PartName="/xl/theme/theme1.xml" ContentType="application/vnd.openxmlformats-officedocument.theme+xml"/>
  <Override PartName="/xl/comments3.xml" ContentType="application/vnd.openxmlformats-officedocument.spreadsheetml.comments+xml"/>
  <Override PartName="/xl/comments13.xml" ContentType="application/vnd.openxmlformats-officedocument.spreadsheetml.comments+xml"/>
  <Override PartName="/xl/comments19.xml" ContentType="application/vnd.openxmlformats-officedocument.spreadsheetml.comments+xml"/>
  <Override PartName="/xl/comments9.xml" ContentType="application/vnd.openxmlformats-officedocument.spreadsheetml.comments+xml"/>
  <Override PartName="/xl/worksheets/_rels/sheet7.xml.rels" ContentType="application/vnd.openxmlformats-package.relationships+xml"/>
  <Override PartName="/xl/worksheets/_rels/sheet12.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_rels/sheet11.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14.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3.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20.xml.rels" ContentType="application/vnd.openxmlformats-package.relationships+xml"/>
  <Override PartName="/xl/worksheets/sheet11.xml" ContentType="application/vnd.openxmlformats-officedocument.spreadsheetml.worksheet+xml"/>
  <Override PartName="/xl/worksheets/sheet6.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21.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Title Page" sheetId="1" state="visible" r:id="rId3"/>
    <sheet name="I.I.R.R." sheetId="2" state="visible" r:id="rId4"/>
    <sheet name="Orbit" sheetId="3" state="visible" r:id="rId5"/>
    <sheet name="Frequency" sheetId="4" state="visible" r:id="rId6"/>
    <sheet name="Transmitters" sheetId="5" state="visible" r:id="rId7"/>
    <sheet name="Receivers" sheetId="6" state="visible" r:id="rId8"/>
    <sheet name="Antenna Gain" sheetId="7" state="visible" r:id="rId9"/>
    <sheet name="Antenna Pointing Losses" sheetId="8" state="visible" r:id="rId10"/>
    <sheet name="Antenna Polarization Loss" sheetId="9" state="visible" r:id="rId11"/>
    <sheet name="Atmos. &amp; Ionos. Losses" sheetId="10" state="visible" r:id="rId12"/>
    <sheet name="Modulation-Demodulation Method" sheetId="11" state="visible" r:id="rId13"/>
    <sheet name="Uplink Budget" sheetId="12" state="visible" r:id="rId14"/>
    <sheet name="Downlink Budget" sheetId="13" state="visible" r:id="rId15"/>
    <sheet name="System Peformance Summary" sheetId="14" state="visible" r:id="rId16"/>
    <sheet name="Antenna Patterns" sheetId="15" state="visible" r:id="rId17"/>
    <sheet name="Beam Roll-Off Tool" sheetId="16" state="visible" r:id="rId18"/>
    <sheet name="Beam Roll-Off Plot" sheetId="17" state="visible" r:id="rId19"/>
    <sheet name="Line Loss Tools &amp; Tables" sheetId="18" state="visible" r:id="rId20"/>
    <sheet name="VSWR Loss Tool" sheetId="19" state="visible" r:id="rId21"/>
    <sheet name="GEO Azimuth Calc Data" sheetId="20" state="visible" r:id="rId22"/>
    <sheet name="Orbit Shape Data" sheetId="21" state="visible" r:id="rId23"/>
  </sheets>
  <definedNames>
    <definedName function="false" hidden="false" name="distance" vbProcedure="false">#REF!</definedName>
    <definedName function="false" hidden="false" name="r_1" vbProcedure="false">'Antenna Polarization Loss'!$F$6</definedName>
    <definedName function="false" hidden="false" name="r_2" vbProcedure="false">'Antenna Polarization Loss'!$F$8</definedName>
    <definedName function="false" hidden="false" name="theta" vbProcedure="false">'Antenna Polarization Loss'!$F$10</definedName>
    <definedName function="false" hidden="false" name="wavelength" vbProcedure="false">#REF!</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ID#AAABfXlXCoA
    (2025-03-05 01:10:22)
It is intended that this Link Model can be used as a formal part of the documentation of your satellite program.  The "Title Page" Worksheet (W/S)  of this Excel Workbook is the means by which this is carried out.  If you are using the model in this capacity it becomes important to be able to track changes.  You will find that many versions of the model will be generated as new designs arise and old ones are modified.  This W/S is intended to contain sufficient information to allow the project personnel to clearly identify which version of the workbook you are using at the time.  Of course, self discipline is always important in documenting software.
First, it should be noted that NONE of the cells in this workbook are protected.  So, anything can be changed (or unintentionally erased).  So, the very first thing you should do is make several copies of this model so that there is always a master copy available.  That version should not be changed from the state in which you receive it.  Only use it to make more copies.  The development of this system uses a few basic principles involving the use of color.  These will be explained in detail in the next W/S.  The basics, however, need to be explained in this note.  
1) RED text on a YELLOW background is intended to draw your attention to important cells -usually results and titles.  They are not to be modified, except on this sheet, University name and Project name should be modified the first time you use it.  This need only be done on this W/S as these cells will be copied, as appropriate, to the other W/S of the model.  If your project is not associated with a university then, of course you can simply modify the header of this W/S accordingly BUT, don't change the cell numbers into which you place your data or the names will not be propagated into the rest of the model correctly.
2) BLACK text should never be modified.  Black text is either used for labels or contains formulas.  Modification of black text will result in the loss of the formula once you hit "Enter."   That's not good.
3) Cells with BLUE text are intended for link model operator (that's you) modification.  If the cell has a blue background, that means it is critical that you enter the correct data for your spacecraft or ground station into that cell.</t>
        </r>
      </text>
    </comment>
    <comment ref="B9" authorId="0">
      <text>
        <r>
          <rPr>
            <sz val="10"/>
            <rFont val="Arial"/>
            <family val="2"/>
          </rPr>
          <t xml:space="preserve">======
ID#AAABfXlXCm0
    (2025-03-05 01:10:22)
Communication System Engineer:  This cell should be modified to incorporate the name of the person acting as the communications engineer for your project. 
Project Manager:  This cell should be modified to incorporate the head of the project and the person who will have final authority for the validity of all documents associated with your program.</t>
        </r>
      </text>
    </comment>
    <comment ref="B13" authorId="0">
      <text>
        <r>
          <rPr>
            <sz val="10"/>
            <rFont val="Arial"/>
            <family val="2"/>
          </rPr>
          <t xml:space="preserve">======
ID#AAABfXlXCmA
    (2025-03-05 01:10:22)
Orbit Type:  Modify this area to include a very brief but, accurate description of your orbit on just the first line of this box.  If the orbit changes you should modify this cell.  Also note that the date in Cell [F13] is not linked to any of the data in the "Orbit &amp; Frequency" W/S so, if you change data in that W/S you should change this summary as well.  That must be done manually.  Cell [F14] is linked to the "Orbit &amp; Frequency" W/S and provides feedback as to wheter a LEO, HEO or GEO orbit has been selected.  The choice is made in the "Orbit &amp; Frequency" W/S at Cell [C3].</t>
        </r>
      </text>
    </comment>
    <comment ref="B16" authorId="0">
      <text>
        <r>
          <rPr>
            <sz val="10"/>
            <rFont val="Arial"/>
            <family val="2"/>
          </rPr>
          <t xml:space="preserve">======
ID#AAABfXlXCmU
    (2025-03-05 01:10:22)
Model Under Investigation:  In this cell you should describe the basic characteristics of the spacecraft, it's properties or it's frequency that are unique to this particular CASE you are evaluating.  Update this cell every time you want to run a new CASE but be careful not to save this on top of the filename you used for the old case.</t>
        </r>
      </text>
    </comment>
    <comment ref="B20" authorId="0">
      <text>
        <r>
          <rPr>
            <sz val="10"/>
            <rFont val="Arial"/>
            <family val="2"/>
          </rPr>
          <t xml:space="preserve">======
ID#AAABfXlXCnE
    (2025-03-05 01:10:22)
Model/ Case No., Rev No.:  You are encouraged here to invent a file naming/numbering system that is appropriate for your project.  Hopefully this model will be one of the documents you will use.  It should be given a document number consistent with that system and with your project drawing tree.  IMPORTANT:  Somewhere within this name should be the exact filename which you will use when you SAVE this particular version of the link model.  So before you hit the "SAVE" or "SAVE AS" key the last time, make sure you have modified this cell to include that same name.
If your project has a documentation specialist or someone responsible for project configuration and control, that person should complete this box.  If the link model has entered a formal phase then, once the model is deemed correct and accurate, that person should also check the box at Cell [I20].</t>
        </r>
      </text>
    </comment>
    <comment ref="B25" authorId="0">
      <text>
        <r>
          <rPr>
            <sz val="10"/>
            <rFont val="Arial"/>
            <family val="2"/>
          </rPr>
          <t xml:space="preserve">======
ID#AAABfXiI-RA
    (2025-03-05 01:10:21)
Date Date Last Modified:  Update this date whenever you SAVE the W/S if you have modified any of the BLUE cells.
Date W/S Formulas Last Modified:  If you choose to modify any of the formulas to improve upon this link model then modify the date in this      cell consistent with the date of the change.  This will keep you from confusing old and new versions of the link model.  Clearly, once the project is under "formal" configuration control (e.g., after CDR) the formulas should not be changed.</t>
        </r>
      </text>
    </comment>
    <comment ref="K6" authorId="0">
      <text>
        <r>
          <rPr>
            <sz val="10"/>
            <rFont val="Arial"/>
            <family val="2"/>
          </rPr>
          <t xml:space="preserve">======
ID#AAABfXiI-SY
    (2025-03-05 01:10:21)
Approvals:  If the project is under formal control and this document is used within your documentation system, then the approval boxes below should be used.  In the approval process, when appropriate, each responsible project person should review this workbook and then approve it by placing a capital "X" in the cell associated with their function.  Upon ENTER the cell will change from RED to GREEN.  Once all approvals have been granted,  the "document released" indicator will be enabled.</t>
        </r>
      </text>
    </comment>
    <comment ref="K26" authorId="0">
      <text>
        <r>
          <rPr>
            <sz val="10"/>
            <rFont val="Arial"/>
            <family val="2"/>
          </rPr>
          <t xml:space="preserve">======
ID#AAABfXlXCos
    (2025-03-05 01:10:22)
After entering all data, including Approvals, proceed to the "I.I.R.R." W/S and then the "Orbit &amp; Frequency" W/S.</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D23" authorId="0">
      <text>
        <r>
          <rPr>
            <sz val="10"/>
            <rFont val="Arial"/>
            <family val="2"/>
          </rPr>
          <t xml:space="preserve">======
ID#AAABfXlXCpE
    (2025-03-05 01:10:22)
This is a test note to see if you can use the instructions to see all of this pop-up note box even though it may extent off of your screen below.
You never know,
…there may be information way down here.</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A102" authorId="0">
      <text>
        <r>
          <rPr>
            <sz val="10"/>
            <rFont val="Arial"/>
            <family val="2"/>
          </rPr>
          <t xml:space="preserve">======
ID#AAABfXlXCow
    (2025-03-05 01:10:22)
Spacecraft Slot Latitude is 0° by Definition.</t>
        </r>
      </text>
    </comment>
    <comment ref="B14" authorId="0">
      <text>
        <r>
          <rPr>
            <sz val="10"/>
            <rFont val="Arial"/>
            <family val="2"/>
          </rPr>
          <t xml:space="preserve">======
ID#AAABfXiI-Q0
    (2025-03-05 01:10:21)
Option #1 is intended for LEO Orbits.  You may find some of the calculations carried out here to be useful for orbit as well as link analysis.  The link model operator should enter the critical values associated with the apogee and perigee height of the orbit.  From that data the worksheet calculates the semi-major axis and the eccentricity of the orbit, which are proper Keplarian elements.  The operator may also wish to enter the orbit inclination, Argument of Prerigee, Right Ascension of Asending Node and Mean Anomaly values.  Given this information, the worksheet will determine the period of the orbit and the first derivatives for the AoP and RAAN.  These will determine how the orbit will propagate over time.  Another useful parameter is also calculated by the worksheet.  Assuming only the orbit inclination can be changed, the worksheet determines the correct value of inclination for a sun synchronous orbit, given the other orbital elements provided.   
Most importantly for the link analysis, the link model operator must enter the minimum acceptable elevation angle, found to be suitable at the ground station site.  Then, the maximum slant range to the spacecraft will be calculated.  This is the range used by the link model in determining path loss.  In addition, the elevation angle is used in subsequent worksheets to estimate the atmospheric losses.   In fact, any elevation angle can be entered and the corresponding slant range to the satellite is calculated.  This will allow an investigation of link performance as a function of elevation angle or slant range.
The figure is provided to help the operator envision the geometry associated with the link. 
Now that the orbital properties have been selected, move to the "Frequency" W/S to the "Uplink &amp; Downlink Frequency Choices."</t>
        </r>
      </text>
    </comment>
    <comment ref="C38" authorId="0">
      <text>
        <r>
          <rPr>
            <sz val="10"/>
            <rFont val="Arial"/>
            <family val="2"/>
          </rPr>
          <t xml:space="preserve">======
ID#AAABfXiI-Sg
    (2025-03-05 01:10:21)
Option #2 is intended for High Earth Orbits using eliptical orbits.  The link model operator selects</t>
        </r>
      </text>
    </comment>
    <comment ref="D85" authorId="0">
      <text>
        <r>
          <rPr>
            <sz val="10"/>
            <rFont val="Arial"/>
            <family val="2"/>
          </rPr>
          <t xml:space="preserve">======
ID#AAABfXlXCmo
    (2025-03-05 01:10:22)
The GEO Orbit Option W/S allows the link model operator to select a GEO Orbit Slot and the location of two satellite users (one for the uplink and one for the downlink).  The W/S calculates the slant range to each user as well as the azimuth and elevation bearing to the satellite from each user.  As an additional output the Earth central angle from the sub-satellite point to the user location is also provided. The slant range results are forwarded to the frequency W/S for computation of the link path loss.</t>
        </r>
      </text>
    </comment>
    <comment ref="G115" authorId="0">
      <text>
        <r>
          <rPr>
            <sz val="10"/>
            <rFont val="Arial"/>
            <family val="2"/>
          </rPr>
          <t xml:space="preserve">======
ID#AAABfXlXClg
    (2025-03-05 01:10:22)
The link model operator enters the mission target object and the range to the deep space spacecraft in astronomical units (AU).  No orbital mechanics calculation is carried out.  The computed range (in kilometers) will be used for path loss calculations in the next W/S.
After the orbit option has been selected move on to the "Frequency" W/S.</t>
        </r>
      </text>
    </comment>
    <comment ref="G121" authorId="0">
      <text>
        <r>
          <rPr>
            <sz val="10"/>
            <rFont val="Arial"/>
            <family val="2"/>
          </rPr>
          <t xml:space="preserve">======
ID#AAABfXiI-R0
    (2025-03-05 01:10:21)
This value should be estimated or calculated from other available resource data.</t>
        </r>
      </text>
    </comment>
    <comment ref="J68" authorId="0">
      <text>
        <r>
          <rPr>
            <sz val="10"/>
            <rFont val="Arial"/>
            <family val="2"/>
          </rPr>
          <t xml:space="preserve">======
ID#AAABfXiI-R4
    (2025-03-05 01:10:21)
This is the Earth's diameter (not counting the atmosphere) as seen from the spacecraft.</t>
        </r>
      </text>
    </comment>
    <comment ref="J69" authorId="0">
      <text>
        <r>
          <rPr>
            <sz val="10"/>
            <rFont val="Arial"/>
            <family val="2"/>
          </rPr>
          <t xml:space="preserve">======
ID#AAABfXlXCls
    (2025-03-05 01:10:22)
Note that we depict here only the in-orbit plane compoent.  There is, generally, an out-of-plane component as well.  The pointing vector shown is also to the center of the Earth.  The link model operator may wish to calculate the pointing vector from the antenna boresight axis to the ground station location.  
To assist in completing this calculation, see Ref. 7 (I.I.R.R. W/S), pages 63-71.</t>
        </r>
      </text>
    </comment>
    <comment ref="J70" authorId="0">
      <text>
        <r>
          <rPr>
            <sz val="10"/>
            <rFont val="Arial"/>
            <family val="2"/>
          </rPr>
          <t xml:space="preserve">======
ID#AAABfXiI-R8
    (2025-03-05 01:10:21)
This is the angle from the symetry axis of the spacecraft antenna to the furthest point away from the spacecraft but, still on the Earth's surface.</t>
        </r>
      </text>
    </comment>
    <comment ref="J71" authorId="0">
      <text>
        <r>
          <rPr>
            <sz val="10"/>
            <rFont val="Arial"/>
            <family val="2"/>
          </rPr>
          <t xml:space="preserve">======
ID#AAABfXiI-RY
    (2025-03-05 01:10:21)
Link model operator must calculate and verify that the antenna pointing error is consistent with the S/C pointing vector given in Cell [K69] and takes into consideration the location of the ground station on the Earth.  This is a 3D math problem.  Once this overall angle is determined it may be used in the antenna pointing losses W/S to determine the RX antenna pointing loss.  That will automatically be transferred to this sheet and to the Uplink and Dowlink Budget W/Ss.</t>
        </r>
      </text>
    </comment>
    <comment ref="J72" authorId="0">
      <text>
        <r>
          <rPr>
            <sz val="10"/>
            <rFont val="Arial"/>
            <family val="2"/>
          </rPr>
          <t xml:space="preserve">======
ID#AAABfXlXCoU
    (2025-03-05 01:10:22)
Link model operator must calculate and verify that the antenna pointing error is consistent with the S/C pointing vector given in Cell [K69] and takes into consideration the location of the ground station on the Earth.  This is a 3D math problem.  Once this overall angle is determined it may be used in the antenna pointing losses W/S to determine the RX antenna pointing loss.  That will automatically be transferred to this sheet and to the Uplink and Dowlink Budget W/Ss.</t>
        </r>
      </text>
    </comment>
    <comment ref="O96" authorId="0">
      <text>
        <r>
          <rPr>
            <sz val="10"/>
            <rFont val="Arial"/>
            <family val="2"/>
          </rPr>
          <t xml:space="preserve">======
ID#AAABfXlXCnY
    (2025-03-05 01:10:22)
This data entry allows a downlink to the same user or to a different user location.</t>
        </r>
      </text>
    </comment>
  </commentList>
</comments>
</file>

<file path=xl/comments4.xml><?xml version="1.0" encoding="utf-8"?>
<comments xmlns="http://schemas.openxmlformats.org/spreadsheetml/2006/main" xmlns:xdr="http://schemas.openxmlformats.org/drawingml/2006/spreadsheetDrawing">
  <authors>
    <author>Unknown Author</author>
  </authors>
  <commentList>
    <comment ref="B7" authorId="0">
      <text>
        <r>
          <rPr>
            <sz val="10"/>
            <rFont val="Arial"/>
            <family val="2"/>
          </rPr>
          <t xml:space="preserve">======
ID#AAABfXiI-Rw
    (2025-03-05 01:10:21)
The link model operator enters the uplink and downlink frequency selection at Cell [L10] and Cell [L16] respectively.  If options 1,2 or 3 are not desired, an operator-defined choice is provded at Cell [C13] and Cell [19].  The path loss for each choice is given in column G.  The data from this W/S is forwarded to other subsequent sheets.
After the frequencies have been selected move on to the "Transmitters" W/S.</t>
        </r>
      </text>
    </comment>
  </commentList>
</comments>
</file>

<file path=xl/comments5.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ID#AAABfXiI-Q8
    (2025-03-05 01:10:21)
This W/S is used to evaluate the losses associated with the ground station and spacecraft transmitter systems.
The operator first enters the transmitter power output in watts.  The W/S provides the power converted to dBm and dBW.  The subsequent W/Ss will use dBW.  
The operator must then estimate the line lengths for all of the cables in series between the transmitter and the antenna.  Line losses can also be determined by using the "Line Loss Toos &amp; Tables" W/S near the end of this workbook.  The operator then must enter the estimated insertion losses for any filters, directional couplers, hybrids or other devices used in-line between the transmitter and the antenna.
The W/S calculates the total line losses and the power that is actually delivered to the antennas.
Once you know the losses of your transmitter systems and the power delivered to the antennas move on to the "Receivers" W/S.</t>
        </r>
      </text>
    </comment>
  </commentList>
</comments>
</file>

<file path=xl/comments6.xml><?xml version="1.0" encoding="utf-8"?>
<comments xmlns="http://schemas.openxmlformats.org/spreadsheetml/2006/main" xmlns:xdr="http://schemas.openxmlformats.org/drawingml/2006/spreadsheetDrawing">
  <authors>
    <author>Unknown Author</author>
  </authors>
  <commentList>
    <comment ref="C6" authorId="0">
      <text>
        <r>
          <rPr>
            <sz val="10"/>
            <rFont val="Arial"/>
            <family val="2"/>
          </rPr>
          <t xml:space="preserve">======
ID#AAABfXiI-Q4
    (2025-03-05 01:10:21)
This W/S is used to evalute the losses, noise temperatures and overall performance of the spacecraft and ground station receivers.
The analysis begins by explaining how the total noise temperature of the receiver system is calculated from the individual temperatures and losses that are known.  Just as with the transmitter system, the individual losses of all lines and in-line components must be known, determined or estimated.  The W/S will walk the operator though each entry that is required.  Cable losses may also be determined by using the "Line Loss Tool &amp; Tables" W/S located near the end of the workbook.
There are two separate work areas here.  One is for the spacecraft command receiver and the second is for the ground station telemetry receiver.  
The "bottom line" of this W/S is the system noise temperature for each receiver.  
Two tools are also provided in this W/S.  The first allows you to translate from Noise Figure to Noise Temperature or the reverse.  The second is a tool to be used for estimating the sky temperature of a ground receiver.
Once you have determined the noise temperature for your receivers move on to the "Antenna Gain" W/S.</t>
        </r>
      </text>
    </comment>
    <comment ref="F63" authorId="0">
      <text>
        <r>
          <rPr>
            <sz val="10"/>
            <rFont val="Arial"/>
            <family val="2"/>
          </rPr>
          <t xml:space="preserve">Assumed. Working on a getting a definite number from somewhere.</t>
        </r>
      </text>
    </comment>
    <comment ref="G57" authorId="0">
      <text>
        <r>
          <rPr>
            <sz val="10"/>
            <rFont val="Arial"/>
            <family val="2"/>
          </rPr>
          <t xml:space="preserve">======
ID#AAABfXlXCoM
The Sky Temperature as seen by a spacecraft must be viewed from it's unique perspective.  The antenna at the spacecraft "sees" within it's beamwidth (or it's "field-of-view") two possible components    (2025-03-05 01:10:22)
- The sky itself which is nominally at 2.7 K but, at  frequencies below 2 GHz also includes galactic noise (see note at Cell [G128]) which explains how much higher values can occur).  
     - The  Earth.  The average Earth temperature used is 290K, however, the Earth may be "warmer" due to man-made noise sources that can be distributed on the surface of the planet.  This is particularly true at lower frequencies in the VHF-UHF range.  The actual value that should be used for the Earth temperature is not well understood but, it certainly varies with location and time.
There is a math exercise to be accomplished here.  The spacecraft's Sky Temperature value must be computed as follows.  Determine the fraction of the antenna's beamwidth that is filled by the Earth.  This fraction of the field-of-view is given a value of (at least) 290K.  Then determine the fractional remainder of the antenna field-of-view.  It will see the actual sky, which is either taken to be 2.7K at frequencies above 2 GHz or some higher value due to Galactic noise at lower frequencies.  The sky temperature will be the weighted average of these two noise components. [For example, if 25% of a particular spacecraft antenna's field-of-view included the Earth (at 290K) and 75% of the antenna's field-of-view saw cold sky (at 2.7K) then the Sky Temperature for the spacecraft would be .25(290K)+.75(2.7K) = 74.5 K].  To do this properly, of course, involves Integral Calculus, taking into account the antenna pattern roll-off characteristics and the variations in antenna temperature over the sky within the field of view.  Typically, however, simpler mathematical estimates, as given above, are used.
A special case that arises frequently is that of a geostationary satellite using a spot beam antenna that has 100% of it's field-of-view filled by the Earth's surface.  In this case the first order Sky Temperature value is simply 290K.  However, when the spot beam gets small enough that it illuminates "features" of the Earth's surface, then determining the local physical temperature of the Earth could have some meaning.  This fine structure exercise, however, is likely not to be productive.  Just use a value of 290K.</t>
        </r>
      </text>
    </comment>
    <comment ref="G128" authorId="0">
      <text>
        <r>
          <rPr>
            <sz val="10"/>
            <rFont val="Arial"/>
            <family val="2"/>
          </rPr>
          <t xml:space="preserve">======
ID#AAABfXlXCoI
    (2025-03-05 01:10:22)
For a ground station antenna the Sky Temperature value must include not only the noise intercepted by the ground station antenna coming from the colder sky into which the antenna is looking but, it has to include any terrestrially generated noise that may be generated in the proximity of the station.  This noise, most likely enters the system via the sidelobes of the ground station antenna.  This condition is worst when the ground station antenna is at low elevation angles and pointed in the direction of the source of the noise.  Under these conditions the full gain of the antenna "sees" the noise source at maximum "temperature."  On campuses around the world these days, the largest source of "sky noise" is generated by the sum of all computers that are within "radio range" of the ground station.  Finding and eliminating these sources of noise is a major component of the ground station design process.
At VHF frequencies (and to a lesser extent, at UHF frequencies) galactic noise can be observed even with small antennas.  The sky brightness is highest in directions that intercept the disk (or plane) of the Milky Way.  At 146 MHz this value can be as high as 1700K and as low as 80K.  For more information regading this source of noise see Ippolito, Louis J., "Radio Propagation in Satellite Communications," Van Norstrand Reinhold, pp. 136-138.</t>
        </r>
      </text>
    </comment>
    <comment ref="G136" authorId="0">
      <text>
        <r>
          <rPr>
            <sz val="10"/>
            <rFont val="Arial"/>
            <family val="2"/>
          </rPr>
          <t xml:space="preserve">======
ID#AAABfXlXCm4
    (2025-03-05 01:10:22)
This is the cable run from the output of the Preamplifier (LNA), down the tower, to the ground station and terminating at the input to the Communications Receiver.  This cable has a moderate impact on the overall noise temperature of the system and should be a high quality, low loss cable.  The loss of this cable is modeled as a reduction in the gain of the preamplifier.  This loss and the noise temperature of the Communications Receiver have a small but, measureable impact on the system noise temperature.  The temperature effects at this location in the receiver chain may be improved by 1) increasing the gain of the LNA, 2) reducing the feedline loss or 3) improving the noise figure or temperature of the Communicaitons Receiver's first stage of gain.</t>
        </r>
      </text>
    </comment>
    <comment ref="H107" authorId="0">
      <text>
        <r>
          <rPr>
            <sz val="10"/>
            <rFont val="Arial"/>
            <family val="2"/>
          </rPr>
          <t xml:space="preserve">======
ID#AAABfXlXCms
    (2025-03-05 01:10:22)
The greatest improvement in downlink system performance can be made at this location within the receiver chain.  The line losses beween the antenna and the Preamplifier (LNA) should be minimized by locating the LNA directly at the feed point of the antenna, if at all possible.  Any cable used should be of high quality and the VSWR of the antenna should be as close to 1:1 as possible.  
It is, however, highly desireable to also include a bandpass filter just in front of the LNA.  This reduces out-of-band signal interference which can otherwise desense the LNA.  The fliter, however, also has an in-band insertion loss which must be accounted for in the losses between the antenna and the LNA.</t>
        </r>
      </text>
    </comment>
    <comment ref="I28" authorId="0">
      <text>
        <r>
          <rPr>
            <sz val="10"/>
            <rFont val="Arial"/>
            <family val="2"/>
          </rPr>
          <t xml:space="preserve">======
ID#AAABfXiI-SI
    (2025-03-05 01:10:21)
In the equation given here, the gain of the LNA should be expressed in its "unlogged" form (e.g. an amplifier with a gain of 20 dB has a linear gain of 100).  If you know the gain of the amplifier in dB then to get the linear gain:  G=10^((Gain in dB)/10).  This worksheet allows you to enter the gain of the LNA in dB and it calculates the linear gain for you.
NOTE:  A classic error made by beginners is to assume that the system performance is increased directly by the gain of the low noise amplifier.  This is incorrect.  Fundamentally, the noise produced by the amplifier can be thought of as being ahead of the gain.  Therefore, the gain of the amplifier increases both the signal and the noise proportionately.  There is a small improvement in overall performance (S/N or Eb/No) given by the gain of the LNA, as can be seen in the last term of the above equation.  But, the amount of this advantage is also dependent upon the noise termperature of the 2nd stage.  For a modern system, the net improvement for, say, a X10 gain increase (10 dB) is usually only a few degrees K, if that.  This is an undetectable improvement.  See for yourself by trying examples using this worksheet.</t>
        </r>
      </text>
    </comment>
    <comment ref="I99" authorId="0">
      <text>
        <r>
          <rPr>
            <sz val="10"/>
            <rFont val="Arial"/>
            <family val="2"/>
          </rPr>
          <t xml:space="preserve">======
ID#AAABfXlXCpI
    (2025-03-05 01:10:22)
In the equation used, the gain of the LNA should be expressed in its "unlogged" form (e.g. an amplifier with a gain of 20 dB has a linear gain of 100).  If you know the gain of the amplifier in dB then to get the linear gain:  G=10^((Gain in dB)/10).  This worksheet allows you to enter the gain of the LNA in dB and it calculates the linear gain for you.
NOTE:  A classical error made by beginners is to assume that the system performance is increased directly by the gain of the low noise amplifier.  This is incorrect.  There is a small improvement in overall performance given by the gain of the LNA as can be seen in the last term of the above equation.  But, the amount of this advantage is also dependent upon the noise termperature of the 2nd stage.  For a modern system, the net improvement for, say, a X10 gain increase is usually only a few degrees K, if that.  This is an undetectable improvement.</t>
        </r>
      </text>
    </comment>
    <comment ref="J61" authorId="0">
      <text>
        <r>
          <rPr>
            <sz val="10"/>
            <rFont val="Arial"/>
            <family val="2"/>
          </rPr>
          <t xml:space="preserve">Since there is no external lna in the system, the lna here is inside the transceiver.</t>
        </r>
      </text>
    </comment>
    <comment ref="J122" authorId="0">
      <text>
        <r>
          <rPr>
            <sz val="10"/>
            <rFont val="Arial"/>
            <family val="2"/>
          </rPr>
          <t xml:space="preserve">RF Switch Loss</t>
        </r>
      </text>
    </comment>
    <comment ref="P135" authorId="0">
      <text>
        <r>
          <rPr>
            <sz val="10"/>
            <rFont val="Arial"/>
            <family val="2"/>
          </rPr>
          <t xml:space="preserve">======
ID#AAABfXlXCnk
    (2025-03-05 01:10:22)
Using a spectrum analyzer or the receiver's signal stregth meter, try to determine the noise power from the terrestrial source generating the noise.  The receiver's "white noise" floor, set by it's own LNA is likely to be in the range -130 to -140 dBm in a 10 kHz bandwidth.  This is the noise you would "hear" with no interference and listening to the receiver speaker or on headphones.  You can determine this level by removing the antenna from the LNA input and replacing it with a 50 ohm dummy load (resistor).  You will only be able to measure the terrestrial noise source if the terrestrial noise source power is considerably above the white noise floor set by the receiver's LNA.  If the terrestrial noise source is small or not detectable then you can ignore this contribution by setting the value here equal to (or less than) the recever's white noise floor power level set by it's LNA (P = k x TLNA x B).</t>
        </r>
      </text>
    </comment>
    <comment ref="R59" authorId="0">
      <text>
        <r>
          <rPr>
            <sz val="10"/>
            <rFont val="Arial"/>
            <family val="2"/>
          </rPr>
          <t xml:space="preserve">I can’t find a definite source of the NF on a lora module. Everyone seems to just assume or cite 6 dB but I can’t confirm where this came from.</t>
        </r>
      </text>
    </comment>
    <comment ref="V52" authorId="0">
      <text>
        <r>
          <rPr>
            <sz val="10"/>
            <rFont val="Arial"/>
            <family val="2"/>
          </rPr>
          <t xml:space="preserve">======
ID#AAABfXlXCnc
    (2025-03-05 01:10:22)
The performance of a low noise amplifier (LNA) [also called a preamplifier] is often expressed in two forms:  It's noise figure (NF) in dB or it's noise temperature in °K.  The translation between the two depends upon the reference temperature of the system (To).  To can be selected in Cell [J59].  For convenience, it is re-displayed at Cell [U56].
This calculator allows you to translate from one parmeter to the other, depending upon which parameter is specified to you.</t>
        </r>
      </text>
    </comment>
  </commentList>
</comments>
</file>

<file path=xl/comments7.xml><?xml version="1.0" encoding="utf-8"?>
<comments xmlns="http://schemas.openxmlformats.org/spreadsheetml/2006/main" xmlns:xdr="http://schemas.openxmlformats.org/drawingml/2006/spreadsheetDrawing">
  <authors>
    <author>Unknown Author</author>
  </authors>
  <commentList>
    <comment ref="B5" authorId="0">
      <text>
        <r>
          <rPr>
            <sz val="10"/>
            <rFont val="Arial"/>
            <family val="2"/>
          </rPr>
          <t xml:space="preserve">======
ID#AAABfXlXCok
    (2025-03-05 01:10:22)
This W/S takes some explaining.  Most spacecraft links are made or broken by the antennas used to support them.  Transmitters and receivers are quite straight-forward devices (in link modeling terms); antennas are not.  Several of the W/Ss here address various properties of antennas.  This W/S addresses the properties known as gain and directivity.  The directivity of antenna is a measure of how the antenna concentrates the transmitter's power in a particular direction in relation to some coordinate system fixed on the antenna.  The directivity of a highly directive antenna is typically taken to be the peak value (sometimes called the boresight directivity).  It is usually measured as the ratio of the power directed in the peak direction divided by the same power when it is radiated isotropically (i.e., equally in all directions).  Some antennas will have losses associated with getting the power from the antenna input to the radiating element.  The gain of an antenna is the directivity (measured in dB above an isotropic radiator [dBi]) minus the antenna feed losses (also measured in dB).  It is sometimes important to be able to make the distinction between directivity and gain.  And, frequently they are confused with one another.  For satellite systems operating in the amateur satellite service the term gain is more frequently used.
This W/S provides the operator with antenna options for both the ground station and the spacecraft.  You should be able to pick among them and find one that is similar to what you will use in your system.  If you are using something different, you may choose the "User Defined" option which is either 4 or 5 depending on if the antenna is a ground station or a spacecraft antenna.  Then, you must enter in the gain and beamwidth of the antenna (basically, you must fill in the missing blue values).  So the first action for the operator is to select a generic antenna type for uplink and downlink, spacecraft and ground station.  Thus, four antennas are involved in your system (at least).  If you are using a simplex satellite transciever, you may technically have only three antennas.  So, in this worksheet enter both spacecraft antennas as being the same.  The next step is quite eduacational.  For the ground station you may design your antenna using the basic parameters given in the various tables in this worksheet.  As always, modify only the blue text cells.  For example,  a crossed yagi antenna is designed here by simply selecting the length of the antenna in wavelengths.  The number of elements required in each plane and the antenna gain and beamwidth are derived in the table.  [BTW, for a yagi design, the gain values achieved here are slightly on the optimistic side, based on experience].  In order to design a helix, you will need to input the number of turns to be used, the turn spacing and the diameter of the helix in wavelengths.  The outputs are the gain and the beamwidth.  For a parabolic reflector (dish) the inputs are the dish diameter and the aperture illumination efficiency.  The outputs are again, gain and beamwidth.  The frequency used in all cases is the one you selected in the "Orbit &amp; Frequency" W/S.  
For spacecraft antennas there are a total of seven options provided.  Option 6 is provided so that the link model operator has at least one high gain spacecraft antenna option.  You may model other high gain antennas as though they were a "dish" antenna by adjusting the diameter and/or aperture efficiency of the dish until the desired gain of your actual antenna is achieved.   Option 7 is a user defined option.  You must provide the gain and beamwidth values for the antenna you choose in Cells H32 and L32 for the uplink (and Cells H49 and L49 for the downlink) respectively.   For the spacecraft antennas there are no user definable design parametes, except for the parabolic reflector (see NOTE at Cell G31).  As most of the options available are primarily omni antennas, their designs are fairly fixed.  That's not entirely true for antennas like the quadrifilar helix, however, as the</t>
        </r>
      </text>
    </comment>
    <comment ref="G31" authorId="0">
      <text>
        <r>
          <rPr>
            <sz val="10"/>
            <rFont val="Arial"/>
            <family val="2"/>
          </rPr>
          <t xml:space="preserve">======
ID#AAABfXiI-SE
    (2025-03-05 01:10:21)
Link Model Operator Must Set Antenna Parameters at Cells T31 and V31.</t>
        </r>
      </text>
    </comment>
    <comment ref="G48" authorId="0">
      <text>
        <r>
          <rPr>
            <sz val="10"/>
            <rFont val="Arial"/>
            <family val="2"/>
          </rPr>
          <t xml:space="preserve">======
ID#AAABfXlXCo0
    (2025-03-05 01:10:22)
Link Model Operator Must Set Antenna Parameters at Cells T48 and V48.</t>
        </r>
      </text>
    </comment>
    <comment ref="K11" authorId="0">
      <text>
        <r>
          <rPr>
            <sz val="10"/>
            <rFont val="Arial"/>
            <family val="2"/>
          </rPr>
          <t xml:space="preserve">======
ID#AAABfXlXClw
    (2025-03-05 01:10:22)
Operator Enter RHCP, LHCP, Linear 
NOTE:  Linear antennas are discouraged.</t>
        </r>
      </text>
    </comment>
    <comment ref="K24" authorId="0">
      <text>
        <r>
          <rPr>
            <sz val="10"/>
            <rFont val="Arial"/>
            <family val="2"/>
          </rPr>
          <t xml:space="preserve">======
ID#AAABfXiI-Rg
    (2025-03-05 01:10:21)
Operator Enter RHCP, LHCP or Linear</t>
        </r>
      </text>
    </comment>
    <comment ref="K31" authorId="0">
      <text>
        <r>
          <rPr>
            <sz val="10"/>
            <rFont val="Arial"/>
            <family val="2"/>
          </rPr>
          <t xml:space="preserve">======
ID#AAABfXlXCoY
    (2025-03-05 01:10:22)
Link Mode Operator Must Set Antenna Parameters at Cells T31 and V31.</t>
        </r>
      </text>
    </comment>
    <comment ref="K41" authorId="0">
      <text>
        <r>
          <rPr>
            <sz val="10"/>
            <rFont val="Arial"/>
            <family val="2"/>
          </rPr>
          <t xml:space="preserve">======
ID#AAABfXlXCog
    (2025-03-05 01:10:22)
Operator Enter RHCP, LHCP or Linear</t>
        </r>
      </text>
    </comment>
    <comment ref="K48" authorId="0">
      <text>
        <r>
          <rPr>
            <sz val="10"/>
            <rFont val="Arial"/>
            <family val="2"/>
          </rPr>
          <t xml:space="preserve">======
ID#AAABfXlXCnQ
    (2025-03-05 01:10:22)
Link Model Operator Must Set Antenna Parameters at Cells T48 and V48.</t>
        </r>
      </text>
    </comment>
    <comment ref="K58" authorId="0">
      <text>
        <r>
          <rPr>
            <sz val="10"/>
            <rFont val="Arial"/>
            <family val="2"/>
          </rPr>
          <t xml:space="preserve">======
ID#AAABfXlXClk
    (2025-03-05 01:10:22)
Operator Enter RHCP, LHCP or Linear 
NOTE:  Linear antennas are discouraged.</t>
        </r>
      </text>
    </comment>
  </commentList>
</comments>
</file>

<file path=xl/comments8.xml><?xml version="1.0" encoding="utf-8"?>
<comments xmlns="http://schemas.openxmlformats.org/spreadsheetml/2006/main" xmlns:xdr="http://schemas.openxmlformats.org/drawingml/2006/spreadsheetDrawing">
  <authors>
    <author>Unknown Author</author>
  </authors>
  <commentList>
    <comment ref="B3" authorId="0">
      <text>
        <r>
          <rPr>
            <sz val="10"/>
            <rFont val="Arial"/>
            <family val="2"/>
          </rPr>
          <t xml:space="preserve">======
ID#AAABfXlXCm8
    (2025-03-05 01:10:22)
This W/S also deals with spacecraft and ground station antennas.  In this case, we are looking at how the directivity (or gain) of an antenna changes as we move away from the antenna's direction of peak gain.  It is typical to refer to the antenna's loss in gain, as it might be viewed from a distant location and as the antenna is rotated relative to the observer, to be the gain "roll-off" of the antenna.  If the antenna gain used in the link analysis is the peak gain of the antenna (and it always is) then any roll-off (typically measured in dB) is considered a loss. The beamwidth of an antenna is typically taken to be twice the angle between the boresight and the direction where the power has a roll-off value of a factor of 2 (that is, -3 dB).  
The gain of an antenna, as a function of some angle (θ) away from the boresight, must be expressed by assigning a coordinate system into which the antenna is placed.  In the case of a spacecraft antenna, which is more-or-less omnidirectional, we primarily care about the location of the antenna with respect to some symmetry axis of the satellite.  Figures 1 and 2 here, define the overall geometry of the uplink and downlink and the antenna placements assumed in this link model.    
Ground Station Antennas:  For the uplink, the pointing loss of the ground station antenna is due to an error in pointing,θ1.  The antenna is always operated close to the boresight and the gain roll-off starts off slowly but then rapidly increases.  The angle is measured realative to the boresight direction.  It doesn't usually matter much in which direction the angle varies with respect to the boresight (e.g., in azimuth or in elevation).  The gain of this class of antennas usually falls off in the same manner regardless of the error direction.  Some high gain antenna arrays such as fan beam antennas and offset fed dishes do not have this symmetry property around the boresight so, this comment can't be totally generalized.  If such antennas are employed, a more complex model might be warrented.  θ4 on the downlink is defined in exactly the same manner as θ1.  
Spacecraft Antennas:  On the spacecraft side, one doesn't typically think of the orientation of the spacecraft relative to the remote observer as being a pointing "error" for LEO systems.  Rather, we may think of the ground station observer to be at some vector orientation with respect to the spacecraft's coordinate system.  The spacecaft antenna itself must also be placed into that same coordinate sytsem.  For the uplink, θ2 is a projection of the vector into one particular plane of the spacecraft.  Generally, it is a plane that contains the symmetry axis of the spacecraft system.  The specific orientation of each of the antenna options as they might be placed on the spacecraft are shown in Figure 3 through Figure 8.  Also shown in these figures is a rough, uncalibrated polar representation of the antenna gain relative to the spacecraft symmetry axis.  θ3 is defined in the same manner as θ2.   It is important to note that all except one of the antenna options has a gain pattern that is symmetric with respect to the Z-axis of the spacecraft body.  The orientation of the antenna options provided are such that if one were to rotate the spacecraft about Z and maintain the projection of the angle to the remote observer in the fixed plane in which we are observing here, then the gain of the antenna would not change.   One antenna, the dipole is actually oriented differently.  It has been assumed that the dipole is mounted perpendicular to the spacecraft Z-axis.  In this one case, the projection of the angle toward the direction to the user cuts the pattern  differently, for any arbitrary rotation about Z.  So, we must say that the gain given here is only valid if the remote observer vector were to lie in the X-Z plane.  This particular plane will give the maxium variation in the link performance due to a rotation of the spacecraft.  All other "cuts" of the dipole gain will be less dramatic.  So, this placement for the dipole and the projectio</t>
        </r>
      </text>
    </comment>
    <comment ref="B30" authorId="0">
      <text>
        <r>
          <rPr>
            <sz val="10"/>
            <rFont val="Arial"/>
            <family val="2"/>
          </rPr>
          <t xml:space="preserve">======
ID#AAABfXlXCoo
    (2025-03-05 01:10:22)
Notice that below are tables containing the same antenna options as have been presented in the "Antenna Gain" W/S.  However, you will also observe that the cells containing the option selection numbers now have black text.  The tables are repated to provide the operator with a clear understanding of the key antenna characteristics already chosen while evaluating the antenna pointing errors and losses.  The operator must now select point errors for the ground station antennas and vector values for the direction of the ground station relative to the spacecraft coordinate system.  These are the angles θ1, θ2, θ3 and θ4.  The tables provide the pointing loss associated with these angle selections.  These loss values are then entered automatically into the "Uplink" and "Downlink" W/Ss.  
An interesting capability exists using this worksheet.  It is now possible to plot the resultant link performance, say the Eb/No, as a function of the ground station vector in the spacecraft coordinate system as the spacecraft rotates.  This allows one to determine over what fraction of 4p steradians the link will "close."
Once you have selected the four antenna pointing losses, move on to the "Antenna Polarization Loss" W/S.</t>
        </r>
      </text>
    </comment>
    <comment ref="R32" authorId="0">
      <text>
        <r>
          <rPr>
            <sz val="10"/>
            <rFont val="Arial"/>
            <family val="2"/>
          </rPr>
          <t xml:space="preserve">======
ID#AAABfXlXCmE
    (2025-03-05 01:10:22)
Please do not modify numbers or formulas in these columns.
This column contains the functional relationships between the angles, θ1 thru θ4 and the gain roll-off.  The equations use a variety of forms and are taken from different sources.  
You SHOULD modify the equation at Cell R60 and/or Cell R82 if you specify your own "User Defined" antenna.  The equation you provide should define the antenna loss as a function of the viewing angle θ and in the appropriate spacecaft plane.  Currently "plugged" into these cells is data for an isotropically radiating antenna.</t>
        </r>
      </text>
    </comment>
  </commentList>
</comments>
</file>

<file path=xl/comments9.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
ID#AAABfXiI-Rk
    (2025-03-05 01:10:21)
This worksheet also relates to antennas.  It focuses on characterizing the polarization properties of the ground station and spacecraft antennas.  An antenna may generate E-field and H-field radiation in a fixed relationship relative to the body of the antenna.  Such an antenna is charaterized as having linear polarization.  If the E-field is oriented parallel to the local horizon on Earth the antenna is said to be horizontally polarized.  If the B-field is oriented parallel to the local horizon then the antenna is vertically polarized.  If two independent planes of elements are used in an antenna system and the power is divided equally between them and the elements are fed 90° out of phase from one another and if the elements are oriented perpendicular to one another, then a circularly polarized EM wave will be generated.  In such a case, the E-field and the H-field components of the wave will rotated in space as the EM field propagates away from the radiating antenna.  The rotation rate is at the carrier frequency.  So, a 100 MHz circularly polarized signal will make 100,000,000 full rotations per second.  If the phase of the first element leads the phase of the signal to the second element so as to generate a clockwise rotation as viewed from the back of the antenna, looking in the direction of the "launched" wave, then the polarization is said to have right hand circular polarization (RHCP).  If the phase is swapped, then the rotation will be counter-clockwise in the same reference system and the antenna is said to have left hand circular polarization (LHCP).
There is also an in-between polarization case.  If an antenna has two planes of orthogonal elements as discussed above but, the power delivered to the two planes is not equal, then the antenna will generate elliptical polarization.  The E- and H- fields still rotate at the carrier frequency as in circular polarization but, a non-rotating elliptically polarized wave is generated.  The ellipse will have a fixed orientation with respect to the antenna radiators.  Usually the major axis of the ellipse will line up with the element receiving the most power.  If, at a distant location, a horizontally polarized  element is used to receiver the signal from an elliptically polarized antenna and if the horizontal antenna can be rotated slowly between horizontal and vertical it will be noticed that a maximum signal attitude and a minimum signal attitude can be found.  These two angles correspond to the major and minor axes (respectively) of the polarization ellipse.  One important issue in link analysis is, how much power loss is associated with the polarization properties of BOTH the transmit and the receive antennas?  The measure of ellipticity for a given transmit or receive antenna is known as its axial ratio.  The axial ratio is equal to 10 times the log to the base 10 of the ratio of the power measured in the major axis divided by the power measured in the minor axis.  Thus, the axial ratio of a perfectly circularly polarized antenna is 10log(.5/.5) = 0.  And a linear antenna has an axial ratio of 10log(1/0) = infinity, since all of the power is put into the major axis.  
Here is an important point:  A spacecraft using a circularly polarized antenna (more or less omni-directional in gain) DOES NOT typically produce the same axial ratio in all directions.  Thus, to be perfectly general, to characterize the antenna system installed on a spacecraft one must meausre (ususally in a spherical coordinate system) BOTH the gain of the antenna as a function of two angles (say, θ and j)  AND the axial ratio of the antenna as a function of θ and j.  And, both of these parameters will affect the link performance of the system.  While gain plots are commonly provided or measured, axial ratio plots are not.  Yet, the axial ratio could case a very large signal loss just as a gain loss can.  Axial ratio plots are typically accomplished (when they are measured at all) by the technique hinted at above.  The spaceraft is placed in a two-axis rotating fixture (to set θ and j) and a</t>
        </r>
      </text>
    </comment>
    <comment ref="B27" authorId="0">
      <text>
        <r>
          <rPr>
            <sz val="10"/>
            <rFont val="Arial"/>
            <family val="2"/>
          </rPr>
          <t xml:space="preserve">======
ID#AAABfXlXCo4
    (2025-03-05 01:10:22)
These two tables allow you to determine the power loss and isolation between two antennas.  One table is for the uplink and the second is for the downlink.  You must first measure or estimate the axial ratio of all of the antennas in the system at the attitude case you have now selected in the "Antenna Pointing Losses" W/S.  [NOTE:  If this is an early phase of the design, assume either ideal properties such as perfect circularity or pick an axial ratio in the vacinity of say, 1 dB as a starting point].  Enter these vaues into the tables.  Now estimate the angle between the transmit and receive antenna polarization ellipses (the general case).  See the angle θ in the adjacent figure.  [NOTE:  don't confuse this angle θ with the spacecraft attitude component θ].  The result will be the polarization loss between the two antennas at that angle.  
The table also provides the isolation between two cross polarized circular antennas (one RHCP and one LHCP) using the same axial ratios. 
The two polarizaton loss values, given at Cell [F40] and Cell [F60] are automatically transferred into the "Uplink" and "Downlink" budget W/Ss.  
A table giving example resuts is provided at Cells [B70:J99].
[NOTE:  A linear antenna may be adequately represented by assuming it's axial ratio is 30 dB.  From a practical standpoint, this value is approximately correct, as even a dipole will typically have a tiny orthogonal radiation component].
After completing the entries to this W/S, proceed to the "Atmos. &amp; Ionos. Losses" W/S.</t>
        </r>
      </text>
    </comment>
  </commentList>
</comments>
</file>

<file path=xl/comments10.xml><?xml version="1.0" encoding="utf-8"?>
<comments xmlns="http://schemas.openxmlformats.org/spreadsheetml/2006/main" xmlns:xdr="http://schemas.openxmlformats.org/drawingml/2006/spreadsheetDrawing">
  <authors>
    <author>Unknown Author</author>
  </authors>
  <commentList>
    <comment ref="C35" authorId="0">
      <text>
        <r>
          <rPr>
            <sz val="10"/>
            <rFont val="Arial"/>
            <family val="2"/>
          </rPr>
          <t xml:space="preserve">======
ID#AAABfXlXCoQ
    (2025-03-05 01:10:22)
This is a link model operator selected value.  The value is chosen in the Orbit and Frequency W/S at Cell [C34].</t>
        </r>
      </text>
    </comment>
    <comment ref="C48" authorId="0">
      <text>
        <r>
          <rPr>
            <sz val="10"/>
            <rFont val="Arial"/>
            <family val="2"/>
          </rPr>
          <t xml:space="preserve">======
ID#AAABfXiI-SA
    (2025-03-05 01:10:21)
This is a link model operator selected value.  The value is chosen in the Orbit and Frequency W/S at Cell [C40].</t>
        </r>
      </text>
    </comment>
    <comment ref="F21" authorId="0">
      <text>
        <r>
          <rPr>
            <sz val="10"/>
            <rFont val="Arial"/>
            <family val="2"/>
          </rPr>
          <t xml:space="preserve">======
ID#AAABfXlXCno
    (2025-03-05 01:10:22)
For this version of this link model the Link Model Operator must manually change the Minimum Elevation Angle.  This parameter is used for the uplink and the downlink atmospheric losses.  So, for now, the uplink elevation angle and the downlink elevation angle must be the same.
I am working on a better version of the model that will independently calculate both the uplink and downlink Atmospheric Losses for different orbits and for transponders as well as TTC links.  But, that version isn't ready yet.</t>
        </r>
      </text>
    </comment>
  </commentList>
</comments>
</file>

<file path=xl/comments11.xml><?xml version="1.0" encoding="utf-8"?>
<comments xmlns="http://schemas.openxmlformats.org/spreadsheetml/2006/main" xmlns:xdr="http://schemas.openxmlformats.org/drawingml/2006/spreadsheetDrawing">
  <authors>
    <author>Unknown Author</author>
  </authors>
  <commentList>
    <comment ref="B2" authorId="0">
      <text>
        <r>
          <rPr>
            <sz val="10"/>
            <rFont val="Arial"/>
            <family val="2"/>
          </rPr>
          <t xml:space="preserve">======
ID#AAABfXlXCl0
    (2025-03-05 01:10:22)
Finally, we have arrived at the last point in the link:  the demodulator/decoder portion of the receiver.  The demodulator will extract the data from a modulated signal and deliver it to either a FEC (forward error correction) decoding device (or piece of software) or directly to the ground station computer.  The FEC decoder, if one is used, will remove errors from the data using extra bits that are inserted, either into each byte or into a new form of "frame" (array or data block).  
Listed in the two tables below (one used for the uplink and the other for the downlink) are various forms of modulation typically used in spacecraft telemetry and command systems.  They are listed from the simplest (and poorest performing) type to the most complex (and best performing type).  The options selectable are:  Audio Frequecy Shift Keying on an FM Carrier, A special form of Frequency Shift Keying developed by Mr. James Miller - G3RUH, Non-Coherently Demodulated Frequency Shift Keying, Gaussian Minimum Shift Keying, Binary Phase Shift Keying and Quadriphase Phase Shift Keying.  You should refer to standard Communicaitons text books in order to investigate and understand the properties of these options. 
Also listed are the type of FEC decoding to be used.  Most of the options show no coding being used.  However, pairing an efficient modulation method such as BPSK with an FEC decoder provides HUGE advantages in terms of link performance.  Convolutional coding operates at the byte level and additional bits are added to each word.   Errors are corrected, however, on a (bit-by-bit) sequential basis.  The most popular of these methods is kown as a Viterbi convolutional encoder/decoder system, named for Andrew Viterbi, the inventor.   Two parameters select the degree of coding.  R is the rate of the code (e.g., 1/2, 1/3, 1/6).  The rate defines how many symbols are transmitted per bit of information).  A rate 1/2 code contains two symbols of information for every bit.  The constraint length K, is the number of output symbols that are affected by a given input symbol.
Another very popular method of FEC coding is known as block coding.  The decoder operates on an entire block of data.  Extra coding bits are added to the end of the block.  The most popular of the block codes is known as Reed-Solomon after the inventors, although there are many other forms of block coding.  In RS coding, two parameters are again used (n and k).  The encoder codes a block of n data information symbols (bits) into a block of k codeword symbols.  Thus, errors are corrected at the block (or frame) level.   Both convolutional and block codes reduce the Eb/No required to achive a particular bit error rate. 
Currently, it is common to use two encoders at the transmitter in series (and two decoders in series at the receiver).  Such a process is called concatenated coding.  Usually the first decoder will be a convolutional decoder followed by a block decoder.  This further reduces the Eb/No required at the demodulator input.   One important reason for considering the use of FEC coding is because contemporary microprocessors are fast enought to allow the decoder to be implemented entirely in software, even at moderate data rates (say up to 50,000 to 100,000 bps).  
The parameter listed in Column E is the bit error rate (B.E.R.).  It is the average number of errors that occur per bit transmitted.  Put the other way around a BER=1.00E-04 means that, on average, for every 10,000 bits transmitted one bit will be in error.  
The parmeter listed in Column F is the theoretical Eb/No required to achieve the bit error rate given in column E.  
These two tables allow the link model operator to select a modulation process and bit error rate appropriately matched to the satellite being developed.  As always there is a "User Defined" option, however, the operator must provide appropriate values for the type of modulation, the type of FEC coding used, the B.E.R. and the Eb/No Required.  
The value "Eb/No Threshold" in Cell [H5] and Cell [H32] are transferred to the "Uplink"</t>
        </r>
      </text>
    </comment>
    <comment ref="B25" authorId="0">
      <text>
        <r>
          <rPr>
            <sz val="10"/>
            <rFont val="Arial"/>
            <family val="2"/>
          </rPr>
          <t xml:space="preserve">======
ID#AAABfXlXCmI
    (2025-03-05 01:10:22)
The demodulator hardware or software may not be perfect.  The difference between the theoretical value and the actual measured value of the Eb/No required to achieve any particular B.E.R. is known as the implementation loss.  If we add the implementation loss (usually measured for any particular design of demodulator) to the theoretical Eb/No Required we obtain a parameter, defined here as the Eb/No threshold.  If the link does not deliver an Eb/No equal to or greater than the Eb/No threshold, then the B.E.R. specification will be not be met and the link is therefore, said not to close.
As a practical matter, some guidelines can be provided for various types of demodulators.  AFSK and G3RUH/FSK involve two subsequent "concatenated" demodulation processes.  Both of these processes are non-linear.  As such, it is mathematically difficult, given any particular hardware implementation, to theoretically define the required Eb/No.  So, for these two types of demodulator the Eb/No required is usually measured.  For these choices given in the table (Options 1 through 4) you need not assume any implementation loss (value = 0) since the values provdied in Column F are measured performance values and already include the implementation loss.  The values are average for various decoder performance results provided in the literature.  Coherent and non-coherent FSK, GMSK, BPSK and QPSK all have well known  theoretical B.E.R. vs. Eb/No requirements.  (See Figure 1 below for BPSK vs. B.E.R. theoretical performance).  If one of the Options 5-14 is selected, an implementation loss of 1.0 dB is approximately correct if the demod is implemented in hardware and a value of 0.5 dB is appropriate if a "good" software decoder is used.  For demodulator/decoder options involving FEC, one would hope that the implementation losses would be 0.5 dB or less, otherwise the performance enhancement of the FEC decoder is being wasted.  
Once you have selected the two system modulator/ demodulator options and estimated the implementation loss, move on to the "Uplink" W/S.</t>
        </r>
      </text>
    </comment>
    <comment ref="B54" authorId="0">
      <text>
        <r>
          <rPr>
            <sz val="10"/>
            <rFont val="Arial"/>
            <family val="2"/>
          </rPr>
          <t xml:space="preserve">======
ID#AAABfXlXCng
    (2025-03-05 01:10:22)
Figure 1 below is a plot for a BPSK system of the Eb/No achieved in the link vs. the ideal bit error rate of the system.  This is a classical plot.  BPSK is an ideal modulation method in that it can be lossless.   In fact, it is possible to actually build a matched filter for this type of demodulator.  Without FEC coding, it is not possible to improve on this BER curve performance.  That is why BPSK is such a good choice for a telemetry system.  BPSK, however, does require more bandwidth than almost any other choice of modulator/demodulator.  So, as always, the best performance comes at a price.</t>
        </r>
      </text>
    </comment>
    <comment ref="D23" authorId="0">
      <text>
        <r>
          <rPr>
            <sz val="10"/>
            <rFont val="Arial"/>
            <family val="2"/>
          </rPr>
          <t xml:space="preserve">Making the assumption the Eb/No is similar regardless of bandwidth (</t>
        </r>
      </text>
    </comment>
    <comment ref="E3" authorId="0">
      <text>
        <r>
          <rPr>
            <sz val="10"/>
            <rFont val="Arial"/>
            <family val="2"/>
          </rPr>
          <t xml:space="preserve">======
ID#AAABiuXbLrY
Tyler Nielsen    (2025-05-01 15:50:21)
I don't think LoRa can be categorized as any of these, we may need to define it ourselves, my understanding is that LoRa is chirp spread spectrum https://en.wikipedia.org/wiki/Chirp_spread_spectrum</t>
        </r>
      </text>
    </comment>
    <comment ref="F5" authorId="0">
      <text>
        <r>
          <rPr>
            <sz val="10"/>
            <rFont val="Arial"/>
            <family val="2"/>
          </rPr>
          <t xml:space="preserve">======
ID#AAABiuXbLrc
Tyler Nielsen    (2025-05-01 16:01:37)
here's a paper analyzing this and other characteristics for the SX1272 (the RFM98 is roughly equivalent to the SX1278) I think this'll be ok for estimating these values https://www.researchgate.net/publication/366847808_Analysis_Of_The_Energy_Per_Bit_To_Noise_Power_Spectral_Density_And_Operating_System_Margin_For_Lora-Based_Wireless_Sensor_Network and here's another one: https://ieeexplore.ieee.org/document/10508227</t>
        </r>
      </text>
    </comment>
    <comment ref="G5" authorId="0">
      <text>
        <r>
          <rPr>
            <sz val="10"/>
            <rFont val="Arial"/>
            <family val="2"/>
          </rPr>
          <t xml:space="preserve">======
ID#AAABiuXd89A
Tyler Nielsen    (2025-05-01 16:36:08)
I think for LoRa using those papers info if we had BW 125 KHz, SF 7, CR 4:5 would give us a data rate of 5.47 kbps (not very good) and then maybe a Eb/No of like 7.832 with a required Bit Error Rate of 1.00E-06
but this is all really dependent on the LoRa parameters, especially spreading factor in this case 
if we wanted a better data rate could use BW 500KHz to get 21.88 kbps but that'll reduce range and I think make those specs worse idk</t>
        </r>
      </text>
    </comment>
  </commentList>
</comments>
</file>

<file path=xl/comments12.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
ID#AAABfXiI-SU
    (2025-03-05 01:10:21)
This is the main uplink budget.  Most of the data needed for the link has been provided in prior W/Ss.  As such, this is the final (and formal) uplink budget.  The operator must provide a few user defined values.  
-  If a high microwave or mm wave frequency is used then rain losses become important.  The formal means of estimating rain losses is a statistically based process.  It is not discussed here.  If rain losses are an issue, then the best that can be done right now is to enter the rain loss that would represent the worst case loss for (99%, 99.9% or 99.99% of the time).  These can be obtained from various communicaitons texts for your region of the world. 
-  The operator must provide the data rate to be used for the command uplink.
-  If the S/N method of analysis is to be employed, the operator must provide the pre-demodulator bandpass filter bandwidth of the  receiver.
-  If the S/N method of analysis is to be employed, the operator must provide the required S/N for the analog or digital demodulation process being used.  This should be specified against some measure of the links performance such as B.E.R. or achieve audio S/N or some signal thresholding condition.
The comments to the right are intended to help the operator understand each step taken in the link budget.  If this information is not need, in particular if you want to print the link budget, click on the "1" in the upper left hand corner of the first row of this worksheet.  Similarly if you wish to "hide" either the Eb/No method or the S/N method subtables you may click on the "1" in the upper left hand corner of the first column of this worksheet.  Alternatively, you can click on the "-" sign by the beginning of Row 47 or Row 69 to hide the data you want.  Clicking on the appropriate "2" box in the upper left hand coner of this worksheet will restore all of the data.   
Once you have reviewed the Uplink data, move on to the "Downlink" W/S.</t>
        </r>
      </text>
    </comment>
    <comment ref="B27" authorId="0">
      <text>
        <r>
          <rPr>
            <sz val="10"/>
            <rFont val="Arial"/>
            <family val="2"/>
          </rPr>
          <t xml:space="preserve">======
ID#AAABfXlXCnU
    (2025-03-05 01:10:22)
Also known as the C/No, this value is already a useful result.  It is equivalent to the signal-to-noise ratio of this link if one were to use  a 1Hz wide data filter just ahead of the receiver demodulator.  This is the filter that limits the noise entering the demodulator and passes the signal in its final form. 
This value is calculated by:
     S/No = Piso+(G/T)-K
     where:  K = Boltzman's Constant</t>
        </r>
      </text>
    </comment>
    <comment ref="B30" authorId="0">
      <text>
        <r>
          <rPr>
            <sz val="10"/>
            <rFont val="Arial"/>
            <family val="2"/>
          </rPr>
          <t xml:space="preserve">======
ID#AAABfXlXCmw
    (2025-03-05 01:10:22)
This is the "Energy per bit to Noise Power Density Ratio."  It is equivalent to the "Signal-to-Noise Ratio" and is the parameter of choice for digital links.  It is the measure of performance for this link.
Once the S/No is known, the Eb/No is simply calculated by:  Eb/No = S/No -10log(R)
where R = data rate.</t>
        </r>
      </text>
    </comment>
    <comment ref="B41" authorId="0">
      <text>
        <r>
          <rPr>
            <sz val="10"/>
            <rFont val="Arial"/>
            <family val="2"/>
          </rPr>
          <t xml:space="preserve">======
ID#AAABfXlXCmY
    (2025-03-05 01:10:22)
This is the result of the Eb/No required theoretically for the modulation method selected plus any additional losses caused by imperfections in the demodulator design.</t>
        </r>
      </text>
    </comment>
    <comment ref="B43" authorId="0">
      <text>
        <r>
          <rPr>
            <sz val="10"/>
            <rFont val="Arial"/>
            <family val="2"/>
          </rPr>
          <t xml:space="preserve">======
ID#AAABfXlXCmc
    (2025-03-05 01:10:22)
This is the bottom line.  This value must be &gt; 0.0 dB for the link to work or "close."  A target value should be approximately 10 dB for a low cost system, 6 dB for a professional system and 3 dB for a deep space system.</t>
        </r>
      </text>
    </comment>
    <comment ref="B61" authorId="0">
      <text>
        <r>
          <rPr>
            <sz val="10"/>
            <rFont val="Arial"/>
            <family val="2"/>
          </rPr>
          <t xml:space="preserve">======
ID#AAABfXlXCoE
    (2025-03-05 01:10:22)
This is the S/N result of this uplink.  Note that typically it will be poorer (a lower value) than the Eb/No achieved for the link.  That is because the filter bandwidth is not exactly matched to the data spectral bandwidth.  In order to assure that the data spectrum is contained within the filter and in order to account for some doppler frequency errors on the part of the uplinking ground station the filter has a bandwidth (in Hz) larger than the data rate (in bps).</t>
        </r>
      </text>
    </comment>
    <comment ref="B63" authorId="0">
      <text>
        <r>
          <rPr>
            <sz val="10"/>
            <rFont val="Arial"/>
            <family val="2"/>
          </rPr>
          <t xml:space="preserve">From Simulation for BER vs SNR for LoRa.</t>
        </r>
      </text>
    </comment>
    <comment ref="B65" authorId="0">
      <text>
        <r>
          <rPr>
            <sz val="10"/>
            <rFont val="Arial"/>
            <family val="2"/>
          </rPr>
          <t xml:space="preserve">======
ID#AAABfXlXCo8
    (2025-03-05 01:10:22)
This is the bottom line.  This value must be &gt; 0.0 dB for the link to work.  A target value should be approximately 10 dB for a low cost system, 6 dB for a professional system and 3 dB for a deep space system.</t>
        </r>
      </text>
    </comment>
    <comment ref="E47" authorId="0">
      <text>
        <r>
          <rPr>
            <sz val="10"/>
            <rFont val="Arial"/>
            <family val="2"/>
          </rPr>
          <t xml:space="preserve">======
ID#AAABfXlXClo
    (2025-03-05 01:10:22)
Signal to Noise Ratio (SNR or S/N)
This is a more realistic method to use for a spacecraft command receiver.  The Eb/No method assumes the receiver uses a matched filter and assumes a spectral efficiency of 1 bps/Hz of bandwidth.  In this assumption the bandwidth in Hz is chosen eqaul to the bit rate (in bps).  As such, no excess bandwidth is assumed.  S/C receivers are typically not coherent and it is best to determine the final bandpass filter bandwidth and use it here in Cell [B57]</t>
        </r>
      </text>
    </comment>
    <comment ref="H57" authorId="0">
      <text>
        <r>
          <rPr>
            <sz val="10"/>
            <rFont val="Arial"/>
            <family val="2"/>
          </rPr>
          <t xml:space="preserve">======
ID#AAABfXlXCnI
    (2025-03-05 01:10:22)
If you are using a coherent demodulator at the spacecraft and if a coding option is selected (Uplink Options 15-18 from the "Mod-Demod Method" W/S) then make sure the Spacecraft Receiver Bandwidth chosen includes the bandwidth required for the "Symbol Rate" modulation spectrum.  For example, if Viterbi Convoutional Coding were used with R=1/2 and K=7 then the symbol rate modulation spectrum is exactly twice that which would be occupied by the data only.   The filter must be twice as wide and this means the noise seen at the demodulator is 3 dB higher.  This will result in a reduction in the Signal to Noise Ratio of 3 dB.</t>
        </r>
      </text>
    </comment>
  </commentList>
</comments>
</file>

<file path=xl/comments13.xml><?xml version="1.0" encoding="utf-8"?>
<comments xmlns="http://schemas.openxmlformats.org/spreadsheetml/2006/main" xmlns:xdr="http://schemas.openxmlformats.org/drawingml/2006/spreadsheetDrawing">
  <authors>
    <author>Unknown Author</author>
  </authors>
  <commentList>
    <comment ref="B1" authorId="0">
      <text>
        <r>
          <rPr>
            <sz val="10"/>
            <rFont val="Arial"/>
            <family val="2"/>
          </rPr>
          <t xml:space="preserve">======
ID#AAABfXlXCmg
    (2025-03-05 01:10:22)
This is the main downlink budget.  Most of the data needed for the link has been provided in prior W/Ss.  As such, this is the final (and formal) uplink budget.  The operator must provide a few user defined values.  
-  If a high microwave or mm wave frequency is used then rain losses become important.  The formal means of estimating rain losses is a statistically based process.  It is not discussed here.  If rain losses are an issue, then the best that can be done right now is to enter the rain loss that would represent the worst case loss for (99%, 99.9% or 99.99% of the time).  These can be obtained from various communicaitons texts for your region of the world. 
-  The operator must provide the data rate to be used for the telemetry downlink.
-  If the S/N method of analysis is to be employed, the operator must provide the pre-demodulator bandpass filter bandwidth of the  receiver.
-  If the S/N method of analysis is to be employed, the operator must provide the required S/N for the analog or digital demodulation process being used.  This should be specified against some measure of the links performance such as B.E.R. or achieve audio S/N or some signal thresholding condition.
The comments to the right are intended to help the operator understand each step taken in the link budget.  If this information is not need, in particular if you want to print the link budget, click on the "1" in the upper left hand corner of the first row of this worksheet.  Similarly if you wish to "hide" either the Eb/No method or the S/N method subtables you may click on the "1" in the upper left hand corner of the first column of this worksheet.  Alternatively, you can click on the "-" sign by the beginning of Row 46 or Row 67 to hide the data you want.  Clicking on the appropriate "2" box in the upper left hand coner of this worksheet will restore the data.  
Once you have reviewed the Downlink data, move on to the "System Performance W/S."</t>
        </r>
      </text>
    </comment>
    <comment ref="B27" authorId="0">
      <text>
        <r>
          <rPr>
            <sz val="10"/>
            <rFont val="Arial"/>
            <family val="2"/>
          </rPr>
          <t xml:space="preserve">======
ID#AAABfXiI-SQ
    (2025-03-05 01:10:21)
Also known as the C/No, this value is already a useful result.  It is equivalent to the signal-to-noise ratio of this link if one were to use  a 1Hz wide data filter just ahead of the receiver demodulator.  This is the filter that limits the noise entering the demodulator and passes the signal in its final form. 
This value is calculated by:
     S/No = Piso+(G/T)-K
     where:  K = Boltzman's Constant</t>
        </r>
      </text>
    </comment>
    <comment ref="B30" authorId="0">
      <text>
        <r>
          <rPr>
            <sz val="10"/>
            <rFont val="Arial"/>
            <family val="2"/>
          </rPr>
          <t xml:space="preserve">======
ID#AAABfXlXCpA
    (2025-03-05 01:10:22)
This is the "Energy per bit to Noise Power Density Ratio."  It is equivalent to the "Signal-to-Noise Ratio" and is the parameter of choice for digital links.  It is the measure of performance for this link.
Once the S/No is known, the Eb/No is simply calculated by:  Eb/No = S/No -10log(R)
where R = data rate.</t>
        </r>
      </text>
    </comment>
    <comment ref="B41" authorId="0">
      <text>
        <r>
          <rPr>
            <sz val="10"/>
            <rFont val="Arial"/>
            <family val="2"/>
          </rPr>
          <t xml:space="preserve">======
ID#AAABfXlXCoc
    (2025-03-05 01:10:22)
This is the result of the Eb/No required theoretically for the modulation method selected plus any additional losses caused by imperfections in the demodulator design.</t>
        </r>
      </text>
    </comment>
    <comment ref="B43" authorId="0">
      <text>
        <r>
          <rPr>
            <sz val="10"/>
            <rFont val="Arial"/>
            <family val="2"/>
          </rPr>
          <t xml:space="preserve">======
ID#AAABfXiI-RU
    (2025-03-05 01:10:21)
This is the bottom line.  This value must be &gt; 0.0 dB for the link to work or "close."  A target value should be approximately 10 dB for a low cost system, 6 dB for a professional system and 3 dB for a deep space system.</t>
        </r>
      </text>
    </comment>
    <comment ref="B60" authorId="0">
      <text>
        <r>
          <rPr>
            <sz val="10"/>
            <rFont val="Arial"/>
            <family val="2"/>
          </rPr>
          <t xml:space="preserve">======
ID#AAABfXiI-Rc
    (2025-03-05 01:10:21)
This is the S/N result of this downlink.  Note that typically it will be poorer (a lower value) than the Eb/No achieved for the link.  That is because the filter bandwidth may not exactly be matched to the downlink signal modulation spectrum.  In order to assure that the data spectrum is contained within the filter and in order to account for some doppler frequency errors on the downlink the filter often has a bandwidth (in Hz) larger than the data rate (in bps).  In that case this calculation method is more appropriate.</t>
        </r>
      </text>
    </comment>
    <comment ref="B64" authorId="0">
      <text>
        <r>
          <rPr>
            <sz val="10"/>
            <rFont val="Arial"/>
            <family val="2"/>
          </rPr>
          <t xml:space="preserve">======
ID#AAABfXiI-RM
    (2025-03-05 01:10:21)
This is the bottom line.  This value must be &gt; 0.0 dB for the link to work.  A target value should be approximately 10 dB for a low cost system, 6 dB for a professional system and 3 dB for a deep space system.</t>
        </r>
      </text>
    </comment>
    <comment ref="H56" authorId="0">
      <text>
        <r>
          <rPr>
            <sz val="10"/>
            <rFont val="Arial"/>
            <family val="2"/>
          </rPr>
          <t xml:space="preserve">======
ID#AAABfXlXCnM
    (2025-03-05 01:10:22)
If you are using a coherent demodulator at the spacecraft and if a coding option is selected (Downlink Options 15-19 from the "Mod-Demod Method" W/S) then make sure the Spacecraft Receiver Bandwidth chosen includes the bandwidth required for the "Symbol Rate" modulation spectrum.  For example, if Viterbi Convoutional Coding were used with R=1/2 and K=7 then the symbol rate modulation spectrum is exactly twice that which would be occupied by the data only.   The filter must be twice as wide and this means the noise seen at the demodulator is 3 dB higher.  This will result in a reduction in the Signal to Noise Ratio of 3 dB.</t>
        </r>
      </text>
    </comment>
  </commentList>
</comments>
</file>

<file path=xl/comments14.xml><?xml version="1.0" encoding="utf-8"?>
<comments xmlns="http://schemas.openxmlformats.org/spreadsheetml/2006/main" xmlns:xdr="http://schemas.openxmlformats.org/drawingml/2006/spreadsheetDrawing">
  <authors>
    <author>Unknown Author</author>
  </authors>
  <commentList>
    <comment ref="A9" authorId="0">
      <text>
        <r>
          <rPr>
            <sz val="10"/>
            <rFont val="Arial"/>
            <family val="2"/>
          </rPr>
          <t xml:space="preserve">======
ID#AAABfXlXCmQ
    (2025-03-05 01:10:22)
This is a block diagram of the command and telemetry link systems.  It contains all of the data selected by the link model operator.  It represents a high level specification for the command and telemetry equipment in the spacecraft and the ground station.  This can be printed as a final result, all or in part, as may be useful to the operator or other project members.  
Key losses associated with the link are summarized in this system performance summary.  The values are located in the middle of the W/S in the "Radio Link" area.
Only one operator selection is needed in this W/S.  At Cell [O12], the efficiency of the transmitter [hTx =(RF Output Power/DC Input Power)X100] is entered.  The W/S calculates the DC power required to be delivered to the transmitter and the amount of heat dissipated by the transmitter (See Cell[O14] and Cell [O16].)  
Notice the cells in the two regions of the W/S, [E5:G7] and [N107:P109].  They contain the final results of both links.  The color of the results boxes will change, depending on the performance achieved.  The colors are as follows:
- GREEN:   Link margin &gt; 6 dB.  "Link Closes"
-YELLOW:  Link margin &gt; 0 dB but, &lt; 6 dB.  "Link Marginal"
-RED:        Link margin &lt; 0 dB.  "No Link!"
Everything else in the "Systems Performance Summary" should be self-explanitory.  After you have reviewed the System Performance Summary, you may want to review some of the design tools that support the Link Model System, including:
"S/C Antenna Patterns", "Beam Roll-Off Tool", "Beam Roll-Off Plot", "Line Loss Tools &amp; Tables", and "VSWR Loss Tool".  The "Orbit Shape Data" should not be modified by the link model operator.   In a later verions this W/S may be used to provide options for eliptical orbits or planetary (Earth escape missions).</t>
        </r>
      </text>
    </comment>
    <comment ref="O12" authorId="0">
      <text>
        <r>
          <rPr>
            <sz val="10"/>
            <rFont val="Arial"/>
            <family val="2"/>
          </rPr>
          <t xml:space="preserve">======
ID#AAABfXiI-Ro
    (2025-03-05 01:10:21)
Operator Enter Transmitter DC to RF Power Efficiency</t>
        </r>
      </text>
    </comment>
    <comment ref="O14" authorId="0">
      <text>
        <r>
          <rPr>
            <sz val="10"/>
            <rFont val="Arial"/>
            <family val="2"/>
          </rPr>
          <t xml:space="preserve">======
ID#AAABfXlXCn0
    (2025-03-05 01:10:22)
This is the DC power required whenever the Spacecraft Transmitter is ON.  This should be passed on to the Spacecraft Power Subsystem analysis process.</t>
        </r>
      </text>
    </comment>
    <comment ref="O16" authorId="0">
      <text>
        <r>
          <rPr>
            <sz val="10"/>
            <rFont val="Arial"/>
            <family val="2"/>
          </rPr>
          <t xml:space="preserve">======
ID#AAABfXlXCmM
    (2025-03-05 01:10:22)
This is the  thermal heat that must be dissipated by the transmitter.  This value should be passed on to the Spacecraft Thermal analysis process.</t>
        </r>
      </text>
    </comment>
  </commentList>
</comments>
</file>

<file path=xl/comments15.xml><?xml version="1.0" encoding="utf-8"?>
<comments xmlns="http://schemas.openxmlformats.org/spreadsheetml/2006/main" xmlns:xdr="http://schemas.openxmlformats.org/drawingml/2006/spreadsheetDrawing">
  <authors>
    <author>Unknown Author</author>
  </authors>
  <commentList>
    <comment ref="A6" authorId="0">
      <text>
        <r>
          <rPr>
            <sz val="10"/>
            <rFont val="Arial"/>
            <family val="2"/>
          </rPr>
          <t xml:space="preserve">======
ID#AAABfXlXCl4
    (2025-03-05 01:10:22)
This worksheet allows the link model operator to visualize several classical antenna patterns used in spacecraft design.  The patterns given here are undistorted by the effects of the structure, which for very small spacecraft, are considerable.  
For example, the monopole pattern as given here, assumes that a perfect groundplane exists below the 1/4l radiating element.  A small spacecraft is far from an infinite conducting plane.  In fact, for a picosat cubic structure, a quarter wave element on the top of the cube will produce a nearly perfect dipole pattern rather than the monopole pattern given here.  The turnstyle or canted turnstyle antenna patterns given will still be quite accurate when placed on small symmetic stuctures.  The quadrifilar helix is likely to be the  least effected by the structure on which it is mounted, since it does not require a ground plane of any kind to form its pattern.  The patch antenna is probably an in-between case and will be influenced by the structure to a considerable extent.
A tool is now available at very reasonable cost that will allow anyone interested, to properly model the effects of a spacecraft (or any other sturcture) on a radiating antenna system.  The software is called EZNEC and is available on-line at http://www.eznec.com.    Some of the patterns given here made use of this software.  You should consider obtaining EZNEC+4 as that version supports circularly polarized antenna systems.  Future releases of this link model will include pattern data using realistic space flight structures.  This recent finding on my part means I can't complete the work required to produce the modified patterns prior to this release.  I think you will find the use of EZNEC an enjoyable exercise and it will show you how far we have come from Maxwell's vector calculus equations.  He would be amazed and delighted at our modern tools, I'm sure.</t>
        </r>
      </text>
    </comment>
  </commentList>
</comments>
</file>

<file path=xl/comments16.xml><?xml version="1.0" encoding="utf-8"?>
<comments xmlns="http://schemas.openxmlformats.org/spreadsheetml/2006/main" xmlns:xdr="http://schemas.openxmlformats.org/drawingml/2006/spreadsheetDrawing">
  <authors>
    <author>Unknown Author</author>
  </authors>
  <commentList>
    <comment ref="A5" authorId="0">
      <text>
        <r>
          <rPr>
            <sz val="10"/>
            <rFont val="Arial"/>
            <family val="2"/>
          </rPr>
          <t xml:space="preserve">======
ID#AAABfXlXCnw
    (2025-03-05 01:10:22)
NOTE:  In this case, the frequency should be expressed in GHz.</t>
        </r>
      </text>
    </comment>
    <comment ref="A6" authorId="0">
      <text>
        <r>
          <rPr>
            <sz val="10"/>
            <rFont val="Arial"/>
            <family val="2"/>
          </rPr>
          <t xml:space="preserve">======
ID#AAABfXlXCpM
    (2025-03-05 01:10:22)
The physical diameter of a dish antenna or, alternatively, the diameter of an alternative antenna's effective aperture.</t>
        </r>
      </text>
    </comment>
    <comment ref="A7" authorId="0">
      <text>
        <r>
          <rPr>
            <sz val="10"/>
            <rFont val="Arial"/>
            <family val="2"/>
          </rPr>
          <t xml:space="preserve">======
ID#AAABfXlXCnA
    (2025-03-05 01:10:22)
The illumination efficiency of the dish.  If you are uncertain about this value use approximately 55%.</t>
        </r>
      </text>
    </comment>
    <comment ref="A13" authorId="0">
      <text>
        <r>
          <rPr>
            <sz val="10"/>
            <rFont val="Arial"/>
            <family val="2"/>
          </rPr>
          <t xml:space="preserve">======
ID#AAABfXiI-SM
    (2025-03-05 01:10:21)
This is a tool for determining the performance of a small (and simple) parabolic reflector.  It uses a sin²θ/θ² representation of the antenna directivity.  This is appropriate for simple feeds with relatively poor aperture illumination efficiency.  The first sidelobes are only reduced by ("down") 14 dB.  Optimized dishes will have first sidelobes as much as 22 dB down.  Still this is an excellent first cut  method to see what the directivity of a parabolic reflector looks like.  
Try to accurately estimate the aperture illumination efficiency.  If you do not know what it is for your system then a reasonable starting value is 55%.
This is a tool so no data is entered into the interconnected group of earlier W/Ss.  The results from this W/S are graphically represented in the next W/S ("Beam Roll-Off Plot").  The tabluar form of the data is given in this W/S so that one can numerically identify the angle and amplitude values for each sidelobe peak and null.  The key results of the W/S are the peak gain and -3 dB beamwidth of the antenna.  
NOTE:  The data in the table is for the one-sided angle measured from the boresight to roll-off point of interest.  So the value in column I is 1/2 of the two sided value.  (e.g., the -3dB beamwidth of the the starter antenna is 2X5.5°. = 11.0°).</t>
        </r>
      </text>
    </comment>
  </commentList>
</comments>
</file>

<file path=xl/comments18.xml><?xml version="1.0" encoding="utf-8"?>
<comments xmlns="http://schemas.openxmlformats.org/spreadsheetml/2006/main" xmlns:xdr="http://schemas.openxmlformats.org/drawingml/2006/spreadsheetDrawing">
  <authors>
    <author>Unknown Author</author>
  </authors>
  <commentList>
    <comment ref="B4" authorId="0">
      <text>
        <r>
          <rPr>
            <sz val="10"/>
            <rFont val="Arial"/>
            <family val="2"/>
          </rPr>
          <t xml:space="preserve">======
ID#AAABfXlXCpU
    (2025-03-05 01:10:22)
After reviewing available information on the Internet it was decided that for ordinary coax cables that are routinely found in ground systems, many cable loss charts and even caclulators have already been developed.  The best of the calculators and loss tables are referenced here and these will be distributed along with the link model itself.  Remember to use or translate the length units from feet to meters as you will no doubt want to use metric measure in your project.  The data sources are international.
One url reference is also given that provides losses for standard waveguide products (in terms of loss per length).  
For spacecaft coax cabling, it is harder to find loss data so an effort has been made here to provide loss data for miniature coax cables and semi-ridgid lines suitable for space use (e.g. made from non-outgassing "clean" materials).  
Cable loss data developed from these tables and caluclators may be used as input information to the "Transmitters" and "Receivers" worksheets for the values LA, LB and LC.  NOTE:  Data is NOT automatically inserted into other sheets from this W/S.</t>
        </r>
      </text>
    </comment>
    <comment ref="L46" authorId="0">
      <text>
        <r>
          <rPr>
            <sz val="10"/>
            <rFont val="Arial"/>
            <family val="2"/>
          </rPr>
          <t xml:space="preserve">======
ID#AAABfXiI-RQ
    (2025-03-05 01:10:21)
Operator selects band number and cable length.  Result is the cable loss.</t>
        </r>
      </text>
    </comment>
    <comment ref="L67" authorId="0">
      <text>
        <r>
          <rPr>
            <sz val="10"/>
            <rFont val="Arial"/>
            <family val="2"/>
          </rPr>
          <t xml:space="preserve">======
ID#AAABfXlXCn4
    (2025-03-05 01:10:22)
Operator selects band number and cable length.  Result is the cable loss.</t>
        </r>
      </text>
    </comment>
    <comment ref="L88" authorId="0">
      <text>
        <r>
          <rPr>
            <sz val="10"/>
            <rFont val="Arial"/>
            <family val="2"/>
          </rPr>
          <t xml:space="preserve">======
ID#AAABfXiI-RE
    (2025-03-05 01:10:21)
Operator selects band number and cable length.  Result is the cable loss.</t>
        </r>
      </text>
    </comment>
    <comment ref="L110" authorId="0">
      <text>
        <r>
          <rPr>
            <sz val="10"/>
            <rFont val="Arial"/>
            <family val="2"/>
          </rPr>
          <t xml:space="preserve">======
ID#AAABfXiI-RI
    (2025-03-05 01:10:21)
Operator selects band number and cable length.  Result is the cable loss.</t>
        </r>
      </text>
    </comment>
    <comment ref="L132" authorId="0">
      <text>
        <r>
          <rPr>
            <sz val="10"/>
            <rFont val="Arial"/>
            <family val="2"/>
          </rPr>
          <t xml:space="preserve">======
ID#AAABfXlXCpQ
    (2025-03-05 01:10:22)
Operator selects band number and cable length.  Result is the cable loss.</t>
        </r>
      </text>
    </comment>
  </commentList>
</comments>
</file>

<file path=xl/comments19.xml><?xml version="1.0" encoding="utf-8"?>
<comments xmlns="http://schemas.openxmlformats.org/spreadsheetml/2006/main" xmlns:xdr="http://schemas.openxmlformats.org/drawingml/2006/spreadsheetDrawing">
  <authors>
    <author>Unknown Author</author>
  </authors>
  <commentList>
    <comment ref="B3" authorId="0">
      <text>
        <r>
          <rPr>
            <sz val="10"/>
            <rFont val="Arial"/>
            <family val="2"/>
          </rPr>
          <t xml:space="preserve">======
ID#AAABfXlXCl8
    (2025-03-05 01:10:22)
In a spacecraft transmitter system, some loss in power occurs because the antenna/transmission line system is not perfectly matched to the transmitter.  By this we mean the impedance of the transmitter has not been made to be the same as that of the antenna system.  It is typical in spacecraft work to match the transmitter, transmission lines and antennas to 50 W real with no reactance (jw = 0).  Typically, however, it is difficult to assure that the antenna system is perfectly "matched" to this value.  Often the real component will be different than 50 W and/or a residual reactive component exists.  This will cause some power generated by the transmitter, and arriving at the antenna, to be reflected back toward the transmitter.  This power is lost to the downlink AND heats up the final RF transistor of the transmitter unless various circuit methods are employed to prevent this (e.g., a ciruclator could be used between the amplifier and the antenna).
The method most commonly used to measure this effect is the Voltage Standing Wave Ratio (VSWR).  The VSWR is simply equal to Ztx/Zsys,where Ztx is the impedance of the transmitter and Zsys is the impedance of the rest of the sytem looking into the feedline from the transmitter end.   The VSWR of the system may be measured by connecting the feedline (at the connector that interfaces to the transmitter) to a network analyzer or a thruough-line watt meter (e.g., a Bird watt- meter).   VSWR is expressed as a ratio (e.g., 1.5:1).  Once the the VSWR is know the reflected power may be calculated using the formula:
                                      Pr = P x (S-1)^2 / (S+1)^2 
where:  P = Transmitter power output and S = the VSWR looking into the feed line to the antenna.
This calculator calculates the loss in dB resulting from an antenna mismatch measure by it's VSWR.  This value should be used in the "Transmitters"  W/S and should be entered into Cells [I33] and [I69].</t>
        </r>
      </text>
    </comment>
    <comment ref="G42" authorId="0">
      <text>
        <r>
          <rPr>
            <sz val="10"/>
            <rFont val="Arial"/>
            <family val="2"/>
          </rPr>
          <t xml:space="preserve">======
ID#AAABfXiI-Sc
The VSWR can be determined by measuring the FORWARD and the REFLECTED power using an In-Line Watt Meter.  The equation for calculating VSWR is    (2025-03-05 01:10:21)
[(Pf)^1/2] + [(Pr)^1/2]
                     S = ---------------------------
                          [(Pf)^1/2] -  [(Pr)^1/2]
Note that, to the extent possible, the antenna should be in "free space" conditions at the time of the measurements (i.e., many wavelengths away from all metal objects).</t>
        </r>
      </text>
    </comment>
    <comment ref="V22" authorId="0">
      <text>
        <r>
          <rPr>
            <sz val="10"/>
            <rFont val="Arial"/>
            <family val="2"/>
          </rPr>
          <t xml:space="preserve">======
ID#AAABfXlXCns
The VSWR of the transmitter system is equal to    (2025-03-05 01:10:22)
|Ztx|        |Zsys|
     VSWR = ------  or  --------
                  |Zsys|      |Ztx|
     whichever is greater.</t>
        </r>
      </text>
    </comment>
  </commentList>
</comments>
</file>

<file path=xl/comments20.xml><?xml version="1.0" encoding="utf-8"?>
<comments xmlns="http://schemas.openxmlformats.org/spreadsheetml/2006/main" xmlns:xdr="http://schemas.openxmlformats.org/drawingml/2006/spreadsheetDrawing">
  <authors>
    <author>Unknown Author</author>
  </authors>
  <commentList>
    <comment ref="B17" authorId="0">
      <text>
        <r>
          <rPr>
            <sz val="10"/>
            <rFont val="Arial"/>
            <family val="2"/>
          </rPr>
          <t xml:space="preserve">======
ID#AAABfXiI-Rs
    (2025-03-05 01:10:21)
The Azimuth Calculation within a Quadrant.</t>
        </r>
      </text>
    </comment>
    <comment ref="B38" authorId="0">
      <text>
        <r>
          <rPr>
            <sz val="10"/>
            <rFont val="Arial"/>
            <family val="2"/>
          </rPr>
          <t xml:space="preserve">======
ID#AAABfXlXCn8
    (2025-03-05 01:10:22)
The Azimuth Calculation within a Quadrant.</t>
        </r>
      </text>
    </comment>
  </commentList>
</comments>
</file>

<file path=xl/comments21.xml><?xml version="1.0" encoding="utf-8"?>
<comments xmlns="http://schemas.openxmlformats.org/spreadsheetml/2006/main" xmlns:xdr="http://schemas.openxmlformats.org/drawingml/2006/spreadsheetDrawing">
  <authors>
    <author>Unknown Author</author>
  </authors>
  <commentList>
    <comment ref="A2" authorId="0">
      <text>
        <r>
          <rPr>
            <sz val="10"/>
            <rFont val="Arial"/>
            <family val="2"/>
          </rPr>
          <t xml:space="preserve">======
ID#AAABfXlXCmk
    (2025-03-05 01:10:22)
This data generates the Figure given in the "Orbit" W/S.  It's best to just ignore this W/S.  Thanks! Jan, VK4GEY</t>
        </r>
      </text>
    </comment>
  </commentList>
</comments>
</file>

<file path=xl/sharedStrings.xml><?xml version="1.0" encoding="utf-8"?>
<sst xmlns="http://schemas.openxmlformats.org/spreadsheetml/2006/main" count="2711" uniqueCount="1080">
  <si>
    <t xml:space="preserve"> </t>
  </si>
  <si>
    <t xml:space="preserve">AMSAT / IARU Annotated Link Model System</t>
  </si>
  <si>
    <t xml:space="preserve"> Version: 2.5.5</t>
  </si>
  <si>
    <t xml:space="preserve">Organization:</t>
  </si>
  <si>
    <t xml:space="preserve">Arizona State University</t>
  </si>
  <si>
    <t xml:space="preserve">Project:</t>
  </si>
  <si>
    <t xml:space="preserve">Coconut Cubesat</t>
  </si>
  <si>
    <t xml:space="preserve">Developed by:  Jan A. King, W3GEY/VK4GEY         With Editorial Assistance and Support from Ralph Wallio, WФRPK; Ignacio Mas; Lou McFadin, W5DID; Jeff Capehart, W4UFL; Michelle Denise, W5NYV, Kelby Davis, AD7VO</t>
  </si>
  <si>
    <t xml:space="preserve">                    Approvals:</t>
  </si>
  <si>
    <t xml:space="preserve">NOTE #1:</t>
  </si>
  <si>
    <t xml:space="preserve">Enter Name of Communications Engineer:</t>
  </si>
  <si>
    <t xml:space="preserve">NOTE #7:</t>
  </si>
  <si>
    <t xml:space="preserve">Com. System Engineer:</t>
  </si>
  <si>
    <t xml:space="preserve">Dylan Larson</t>
  </si>
  <si>
    <t xml:space="preserve">Com. Eng.</t>
  </si>
  <si>
    <t xml:space="preserve">NOTE #2:</t>
  </si>
  <si>
    <t xml:space="preserve">Enter Name of Project Manager:</t>
  </si>
  <si>
    <t xml:space="preserve">Project Manager:</t>
  </si>
  <si>
    <t xml:space="preserve">Joe Dubois</t>
  </si>
  <si>
    <t xml:space="preserve">P.M.</t>
  </si>
  <si>
    <t xml:space="preserve">NOTE #3:</t>
  </si>
  <si>
    <t xml:space="preserve">Orbit Type:</t>
  </si>
  <si>
    <t xml:space="preserve">Low Earth Orbit Satellite</t>
  </si>
  <si>
    <t xml:space="preserve">NOTE #4:</t>
  </si>
  <si>
    <t xml:space="preserve">Model Under </t>
  </si>
  <si>
    <t xml:space="preserve">Educational Store and Forward Satellite</t>
  </si>
  <si>
    <t xml:space="preserve">Investigation:</t>
  </si>
  <si>
    <t xml:space="preserve">1U Cube Satellite</t>
  </si>
  <si>
    <t xml:space="preserve">NOTE #5:</t>
  </si>
  <si>
    <t xml:space="preserve">Model/Case No./Rev No.:</t>
  </si>
  <si>
    <t xml:space="preserve">Ground Station Model/TBD/1.0.1</t>
  </si>
  <si>
    <t xml:space="preserve">Config. Control</t>
  </si>
  <si>
    <t xml:space="preserve">Date Data Last Modified:</t>
  </si>
  <si>
    <t xml:space="preserve">2025 June 06</t>
  </si>
  <si>
    <t xml:space="preserve">LINK MODEL</t>
  </si>
  <si>
    <t xml:space="preserve">NOTE #6</t>
  </si>
  <si>
    <t xml:space="preserve">STATUS</t>
  </si>
  <si>
    <t xml:space="preserve">Date W/S Formulas </t>
  </si>
  <si>
    <t xml:space="preserve">2016 October 20</t>
  </si>
  <si>
    <t xml:space="preserve">NOTE #8:</t>
  </si>
  <si>
    <t xml:space="preserve">Last Modified:</t>
  </si>
  <si>
    <t xml:space="preserve">Introduction,  Instructions for Use,  References,  Revisions:</t>
  </si>
  <si>
    <t xml:space="preserve">  Introduction:</t>
  </si>
  <si>
    <t xml:space="preserve">This spreadsheet system is an attempt to provide a new kind of learning tool.  It is intended, clearly, to be a working link model  in order to allow satellite  </t>
  </si>
  <si>
    <t xml:space="preserve">system designers to design and then document fully the RF radio links associated with Command (uplink)  and Telemetry (downlink) equipment.  It is,</t>
  </si>
  <si>
    <t xml:space="preserve">however, also intended to be a tutorial on the RF portion of a satellite system.  The model makes liberal use of "pop-up" notes and "tools" to enhance the </t>
  </si>
  <si>
    <t xml:space="preserve">understanding (and hopefully the knowledge) of the Link Model Operator (that's you).  After you use the model for awhile, let me know if I have </t>
  </si>
  <si>
    <t xml:space="preserve">been successful. - Jan A. King, W3GEY and VK4GEY; w3gey@amsat.org</t>
  </si>
  <si>
    <t xml:space="preserve">   Instructions for Use:</t>
  </si>
  <si>
    <t xml:space="preserve">Colors:</t>
  </si>
  <si>
    <t xml:space="preserve">  Colors are used in the link model to make it easier to find data and to protect the link model from crashing.  Many of the worksheets</t>
  </si>
  <si>
    <t xml:space="preserve">are interconnected in that equations in one W/S refer forward or back to data located in other worksheets. Loss of this connection could be critical.</t>
  </si>
  <si>
    <t xml:space="preserve">Also, the cells are not yet protected (and may never be) as the system has not yet been finalized. Color can be used to provide "coded" messages to  </t>
  </si>
  <si>
    <t xml:space="preserve">the link model operator's brain, once it has been used for awhile.  This has been found by the designer to be fairly effective (at least with his brain).   </t>
  </si>
  <si>
    <t xml:space="preserve">Color is used for both the text and the cell background.  Some colors have been picked for large field areas where it is not so nice to have the </t>
  </si>
  <si>
    <t xml:space="preserve">Excel cell grid structure showing.  Typically, light grey</t>
  </si>
  <si>
    <t xml:space="preserve">light green</t>
  </si>
  <si>
    <t xml:space="preserve">light yellow</t>
  </si>
  <si>
    <t xml:space="preserve">or white are used this way.</t>
  </si>
  <si>
    <t xml:space="preserve">These colors have been found by our staff psychologist to have a relaxing effect on the operator.  Now let's look at the important uses of color:</t>
  </si>
  <si>
    <t xml:space="preserve">NOTE:</t>
  </si>
  <si>
    <t xml:space="preserve">  This is a "pop-up" note.  You will see a lot of single cells throughout the model that look like this.  Using your mouse, place </t>
  </si>
  <si>
    <t xml:space="preserve"> your cursor on the cell.  You don't need to click.  A note will pop up.  These are either local instructions on how to enter data or use </t>
  </si>
  <si>
    <t xml:space="preserve">data or some form of training note.   You will find that some notes are somewhat larger than the screen.  I've tried hard to avoid this, but</t>
  </si>
  <si>
    <t xml:space="preserve">I haven't been entirely successful.  The problem with this is that if you scroll to see the rest of the note and if the yellow cell scrolls off of </t>
  </si>
  <si>
    <t xml:space="preserve">the screen then the note will close.  Frustration will ensue.  There are two solutions:  1) Reduce the scale of the viewing page from </t>
  </si>
  <si>
    <t xml:space="preserve">100% (the ususal setting) to 75% or 85%.  This should allow you to see all of the note.  2) Alternatively, using the mouse, select from </t>
  </si>
  <si>
    <t xml:space="preserve">the upper toolbar, "View", "Toolbars", and select the one called "Reviewing".  There should now be a checkmark to the left of that option.</t>
  </si>
  <si>
    <t xml:space="preserve">Now, you should find a new toolbar up above the text area of Excel.  The far left icon will say "new comment" if you are making a new   </t>
  </si>
  <si>
    <t xml:space="preserve">one.  But, if you move the curser over the far left icon you will notice the pop-up prompt now says "edit cell."  Now, move the curser </t>
  </si>
  <si>
    <t xml:space="preserve">over the "NOTE:" cell and left click then left click on the same far left icon.  This will allow you to edit the cell BUT it will also FREEZE   </t>
  </si>
  <si>
    <t xml:space="preserve">the cell in the ON condition.  Now, you can move the note around by using the slide bars on the side and bottom of the screen to see  </t>
  </si>
  <si>
    <t xml:space="preserve">all of the note.  It's probably a good idea not to modify the note.  You can close the note by just moving the cursor to an empty cell </t>
  </si>
  <si>
    <t xml:space="preserve">somewhere and left clicking.  It is suggested that you try this process now with the test note above at Cell [D23].  It's been set up </t>
  </si>
  <si>
    <t xml:space="preserve">to frustrate you in just such a way as the real notes might do later on.</t>
  </si>
  <si>
    <t xml:space="preserve">X.XX</t>
  </si>
  <si>
    <t xml:space="preserve">  This is a data entry cell.  The link model operator is expected to enter data.  The blue background means it is a critcal </t>
  </si>
  <si>
    <t xml:space="preserve">data entry cell.  It is anticipated that your system's selected value is quite likely to be different than the default value used in the cell when you</t>
  </si>
  <si>
    <t xml:space="preserve">received this link model.</t>
  </si>
  <si>
    <t xml:space="preserve">  This is also a data entry cell.  This type of cell may not need to be changed as the value you are likely to use may be the same </t>
  </si>
  <si>
    <t xml:space="preserve">  as the default value.</t>
  </si>
  <si>
    <r>
      <rPr>
        <sz val="10"/>
        <color theme="1"/>
        <rFont val="Arial"/>
        <family val="0"/>
        <charset val="1"/>
      </rPr>
      <t xml:space="preserve">  This is a cell containing an equation or a constant that should not be changed.  </t>
    </r>
    <r>
      <rPr>
        <b val="true"/>
        <sz val="10"/>
        <color rgb="FFDD0806"/>
        <rFont val="Arial"/>
        <family val="0"/>
        <charset val="1"/>
      </rPr>
      <t xml:space="preserve">The operator should not modify these cells.</t>
    </r>
    <r>
      <rPr>
        <sz val="10"/>
        <color theme="1"/>
        <rFont val="Arial"/>
        <family val="0"/>
        <charset val="1"/>
      </rPr>
      <t xml:space="preserve">  A</t>
    </r>
  </si>
  <si>
    <t xml:space="preserve">majority of the link model contains this type of cell.</t>
  </si>
  <si>
    <t xml:space="preserve">or</t>
  </si>
  <si>
    <t xml:space="preserve"> These are cells containing important but, intermediate results.  Two colors were used to provide a slight gradation </t>
  </si>
  <si>
    <t xml:space="preserve">of importance.  The orange color is considered to be a result having slightly more significance than the lighter yellow cell.</t>
  </si>
  <si>
    <t xml:space="preserve">  This is a key "bottom line" result.  It is a primary output of a particular W/S.</t>
  </si>
  <si>
    <t xml:space="preserve">X</t>
  </si>
  <si>
    <t xml:space="preserve">  A few cells use conditional fomatting which allow the cell colors to change depending on </t>
  </si>
  <si>
    <t xml:space="preserve">the outcome of the preceeding calculations.  Typically a RED box means the result was not successful in achieving the desired performance.</t>
  </si>
  <si>
    <t xml:space="preserve">A GREEN box means the result did meet or exceed the desired performance.  A YELLOW box means the result achieved the performance </t>
  </si>
  <si>
    <t xml:space="preserve">threshould but, is considered marginal.</t>
  </si>
  <si>
    <t xml:space="preserve">    Sub-Title Box</t>
  </si>
  <si>
    <t xml:space="preserve">  A pink box like this is simply a sub-title for a sub-worksheet.</t>
  </si>
  <si>
    <t xml:space="preserve">  An olive green box is a location where data has been transferred to this worksheet from another and may be transferred to yet another.</t>
  </si>
  <si>
    <t xml:space="preserve">No action need be taken here.  It's purpose is only so that the operator is aware that the data is being transferred from and to other locations.</t>
  </si>
  <si>
    <t xml:space="preserve">Frequency</t>
  </si>
  <si>
    <t xml:space="preserve">  Sometimes an olive green cell will be used to re-emphasize a frequency selection as in the "System Performance Summary" W/S.</t>
  </si>
  <si>
    <t xml:space="preserve"> Non-Coherent FSK</t>
  </si>
  <si>
    <t xml:space="preserve">  Sometimes a tan color cell is used to denote a selected system condition that is non-numeric.</t>
  </si>
  <si>
    <t xml:space="preserve"> Gains and Losses:</t>
  </si>
  <si>
    <t xml:space="preserve">  A positive gain or directivity is always experssed as a positive number.  Sometimes the value may be seen to have a + in front of it.</t>
  </si>
  <si>
    <r>
      <rPr>
        <sz val="10"/>
        <color theme="1"/>
        <rFont val="Arial"/>
        <family val="0"/>
        <charset val="1"/>
      </rPr>
      <t xml:space="preserve">Gains can also be negative (remember, the gain of an antenna is expressed as 10log(P/P</t>
    </r>
    <r>
      <rPr>
        <sz val="8"/>
        <color theme="1"/>
        <rFont val="Arial"/>
        <family val="0"/>
        <charset val="1"/>
      </rPr>
      <t xml:space="preserve">isotropic</t>
    </r>
    <r>
      <rPr>
        <sz val="10"/>
        <color theme="1"/>
        <rFont val="Arial"/>
        <family val="0"/>
        <charset val="1"/>
      </rPr>
      <t xml:space="preserve">).  So, if the gain in a particular direction, is below that of an</t>
    </r>
  </si>
  <si>
    <t xml:space="preserve">isotropic radiator, then the gain will be expressed as a negative number in dBi.  </t>
  </si>
  <si>
    <t xml:space="preserve">Losses in link budgets are commonly found as either positive or negative.  A loss, by it's nature, is a negative quantity but, some believe that if the loss</t>
  </si>
  <si>
    <r>
      <rPr>
        <sz val="10"/>
        <color theme="1"/>
        <rFont val="Arial"/>
        <family val="0"/>
        <charset val="1"/>
      </rPr>
      <t xml:space="preserve">is clearly referred to as such in the budget </t>
    </r>
    <r>
      <rPr>
        <i val="true"/>
        <sz val="10"/>
        <color theme="1"/>
        <rFont val="Arial"/>
        <family val="0"/>
        <charset val="1"/>
      </rPr>
      <t xml:space="preserve">parameter</t>
    </r>
    <r>
      <rPr>
        <sz val="10"/>
        <color theme="1"/>
        <rFont val="Arial"/>
        <family val="0"/>
        <charset val="1"/>
      </rPr>
      <t xml:space="preserve"> column, it can have a positive sign.  That is the case in this link budget.  All losses are shown </t>
    </r>
  </si>
  <si>
    <t xml:space="preserve">as being a positive value.  The argument is symantic.  The question could be asked, "Is a positive loss a negative?  And is a negative loss, positive?  </t>
  </si>
  <si>
    <r>
      <rPr>
        <sz val="10"/>
        <color theme="1"/>
        <rFont val="Arial"/>
        <family val="0"/>
        <charset val="1"/>
      </rPr>
      <t xml:space="preserve">The important thing for the link model operator to know when using this modeling system is that the losses are show as positive values </t>
    </r>
    <r>
      <rPr>
        <b val="true"/>
        <sz val="10"/>
        <color theme="1"/>
        <rFont val="Arial"/>
        <family val="0"/>
        <charset val="1"/>
      </rPr>
      <t xml:space="preserve">BUT</t>
    </r>
    <r>
      <rPr>
        <sz val="10"/>
        <color theme="1"/>
        <rFont val="Arial"/>
        <family val="0"/>
        <charset val="1"/>
      </rPr>
      <t xml:space="preserve">,</t>
    </r>
  </si>
  <si>
    <r>
      <rPr>
        <sz val="10"/>
        <color theme="1"/>
        <rFont val="Arial"/>
        <family val="0"/>
        <charset val="1"/>
      </rPr>
      <t xml:space="preserve">in the equations that sum the gains and losses to yield the result, the gains are </t>
    </r>
    <r>
      <rPr>
        <i val="true"/>
        <sz val="10"/>
        <color theme="1"/>
        <rFont val="Arial"/>
        <family val="0"/>
        <charset val="1"/>
      </rPr>
      <t xml:space="preserve">added</t>
    </r>
    <r>
      <rPr>
        <sz val="10"/>
        <color theme="1"/>
        <rFont val="Arial"/>
        <family val="0"/>
        <charset val="1"/>
      </rPr>
      <t xml:space="preserve"> and the losses are </t>
    </r>
    <r>
      <rPr>
        <i val="true"/>
        <sz val="10"/>
        <color theme="1"/>
        <rFont val="Arial"/>
        <family val="0"/>
        <charset val="1"/>
      </rPr>
      <t xml:space="preserve">subtracted</t>
    </r>
    <r>
      <rPr>
        <sz val="10"/>
        <color theme="1"/>
        <rFont val="Arial"/>
        <family val="0"/>
        <charset val="1"/>
      </rPr>
      <t xml:space="preserve">.  For example, </t>
    </r>
  </si>
  <si>
    <t xml:space="preserve">see the equation in Cell [B11] of the "Uplink" W/S. </t>
  </si>
  <si>
    <t xml:space="preserve">  Speciality W/S vs. Tools:</t>
  </si>
  <si>
    <t xml:space="preserve">  The first 13 W/Ss are all interconnected, in that they all have equations that make use of data </t>
  </si>
  <si>
    <t xml:space="preserve">contained in one or more of the other W/Ss.  These worksheets, taken together, constitute the link model.  The next 5 W/Ss are supplementary </t>
  </si>
  <si>
    <r>
      <rPr>
        <sz val="10"/>
        <color theme="1"/>
        <rFont val="Arial"/>
        <family val="0"/>
        <charset val="1"/>
      </rPr>
      <t xml:space="preserve">to the model and are considered to be </t>
    </r>
    <r>
      <rPr>
        <i val="true"/>
        <sz val="10"/>
        <color theme="1"/>
        <rFont val="Arial"/>
        <family val="0"/>
        <charset val="1"/>
      </rPr>
      <t xml:space="preserve">tools</t>
    </r>
    <r>
      <rPr>
        <sz val="10"/>
        <color theme="1"/>
        <rFont val="Arial"/>
        <family val="0"/>
        <charset val="1"/>
      </rPr>
      <t xml:space="preserve">.  The important distinction is, that tools </t>
    </r>
    <r>
      <rPr>
        <i val="true"/>
        <sz val="10"/>
        <color theme="1"/>
        <rFont val="Arial"/>
        <family val="0"/>
        <charset val="1"/>
      </rPr>
      <t xml:space="preserve">never</t>
    </r>
    <r>
      <rPr>
        <sz val="10"/>
        <color theme="1"/>
        <rFont val="Arial"/>
        <family val="0"/>
        <charset val="1"/>
      </rPr>
      <t xml:space="preserve"> produce results that are automatically linked </t>
    </r>
  </si>
  <si>
    <t xml:space="preserve">into the model itself, whereas within the first 13 W/Ss there is lots of interlinking going on.  The primary process is one where data </t>
  </si>
  <si>
    <r>
      <rPr>
        <sz val="10"/>
        <color theme="1"/>
        <rFont val="Arial"/>
        <family val="0"/>
        <charset val="1"/>
      </rPr>
      <t xml:space="preserve">calculated or selected in one of the S</t>
    </r>
    <r>
      <rPr>
        <i val="true"/>
        <sz val="10"/>
        <color theme="1"/>
        <rFont val="Arial"/>
        <family val="0"/>
        <charset val="1"/>
      </rPr>
      <t xml:space="preserve">peciality</t>
    </r>
    <r>
      <rPr>
        <sz val="10"/>
        <color theme="1"/>
        <rFont val="Arial"/>
        <family val="0"/>
        <charset val="1"/>
      </rPr>
      <t xml:space="preserve"> W/Ss (e.g., "Receivers") becomes just one entry in either the Uplink or the Downlink budget.</t>
    </r>
  </si>
  <si>
    <t xml:space="preserve">The usefulness of a tool is to be able to explore a specific tradeoff without having to worry about that data winding up in the formal</t>
  </si>
  <si>
    <t xml:space="preserve">Uplink or Downlink pages.  </t>
  </si>
  <si>
    <t xml:space="preserve">There is one additional and imporatant comment about tools.  Within the Speciality W/Ss, there are some embedded tools.  The best</t>
  </si>
  <si>
    <r>
      <rPr>
        <sz val="10"/>
        <color theme="1"/>
        <rFont val="Arial"/>
        <family val="0"/>
        <charset val="1"/>
      </rPr>
      <t xml:space="preserve">example of this is in the "Receivers" W/S.  Contained in separate sub-tables is a </t>
    </r>
    <r>
      <rPr>
        <i val="true"/>
        <sz val="10"/>
        <color theme="1"/>
        <rFont val="Arial"/>
        <family val="0"/>
        <charset val="1"/>
      </rPr>
      <t xml:space="preserve">Noise Figure/Noise Temperature Calculator (Tool)</t>
    </r>
    <r>
      <rPr>
        <sz val="10"/>
        <color theme="1"/>
        <rFont val="Arial"/>
        <family val="0"/>
        <charset val="1"/>
      </rPr>
      <t xml:space="preserve"> </t>
    </r>
  </si>
  <si>
    <r>
      <rPr>
        <sz val="10"/>
        <color theme="1"/>
        <rFont val="Arial"/>
        <family val="0"/>
        <charset val="1"/>
      </rPr>
      <t xml:space="preserve">and a </t>
    </r>
    <r>
      <rPr>
        <i val="true"/>
        <sz val="10"/>
        <color theme="1"/>
        <rFont val="Arial"/>
        <family val="0"/>
        <charset val="1"/>
      </rPr>
      <t xml:space="preserve">Ground Station, Antenna or Sky Noise Temperature Calculation Tool</t>
    </r>
    <r>
      <rPr>
        <sz val="10"/>
        <color theme="1"/>
        <rFont val="Arial"/>
        <family val="0"/>
        <charset val="1"/>
      </rPr>
      <t xml:space="preserve">.  </t>
    </r>
  </si>
  <si>
    <t xml:space="preserve">     Proceeding Through the Model:</t>
  </si>
  <si>
    <t xml:space="preserve">  Starting with the "Title Page" W/S, proceed through each Speciality W/S, adding data,  </t>
  </si>
  <si>
    <t xml:space="preserve">in sequence. Then select the next tab at the bottom of the W/S.  The "Uplink", "Downlink" and "System Performance Summary" W/Ss </t>
  </si>
  <si>
    <t xml:space="preserve">contain the final results of the model.  The Tools W/Ss are located beyond the "System Perfomance Summary" W/S and may be </t>
  </si>
  <si>
    <r>
      <rPr>
        <sz val="10"/>
        <color theme="1"/>
        <rFont val="Arial"/>
        <family val="0"/>
        <charset val="1"/>
      </rPr>
      <t xml:space="preserve">explored and used as they may be helpful to you.  Any comments you may have on this model will be greatfully received by me.  </t>
    </r>
    <r>
      <rPr>
        <b val="true"/>
        <sz val="10"/>
        <color theme="1"/>
        <rFont val="Arial"/>
        <family val="0"/>
        <charset val="1"/>
      </rPr>
      <t xml:space="preserve">Thanks!</t>
    </r>
  </si>
  <si>
    <t xml:space="preserve">Jan, VK4GEY.</t>
  </si>
  <si>
    <t xml:space="preserve">   References:</t>
  </si>
  <si>
    <t xml:space="preserve">  The following references were used to prepare this link model:</t>
  </si>
  <si>
    <r>
      <rPr>
        <sz val="10"/>
        <color theme="1"/>
        <rFont val="Arial"/>
        <family val="0"/>
        <charset val="1"/>
      </rPr>
      <t xml:space="preserve">A.R.R.L., </t>
    </r>
    <r>
      <rPr>
        <i val="true"/>
        <sz val="10"/>
        <color theme="1"/>
        <rFont val="Arial"/>
        <family val="0"/>
        <charset val="1"/>
      </rPr>
      <t xml:space="preserve">The ARRL Antenna Handbook, </t>
    </r>
    <r>
      <rPr>
        <sz val="10"/>
        <color theme="1"/>
        <rFont val="Arial"/>
        <family val="0"/>
        <charset val="1"/>
      </rPr>
      <t xml:space="preserve">American Radio Relay League, 1974, pp. 153-155.</t>
    </r>
  </si>
  <si>
    <r>
      <rPr>
        <sz val="10"/>
        <color theme="1"/>
        <rFont val="Arial"/>
        <family val="0"/>
        <charset val="1"/>
      </rPr>
      <t xml:space="preserve">Deloraine, E.M., Westman, H.P., Edie, L.C. </t>
    </r>
    <r>
      <rPr>
        <i val="true"/>
        <sz val="10"/>
        <color theme="1"/>
        <rFont val="Arial"/>
        <family val="0"/>
        <charset val="1"/>
      </rPr>
      <t xml:space="preserve">Reference Data for Radio Engineers, 3rd Edition</t>
    </r>
    <r>
      <rPr>
        <sz val="10"/>
        <color theme="1"/>
        <rFont val="Arial"/>
        <family val="0"/>
        <charset val="1"/>
      </rPr>
      <t xml:space="preserve">, Federal Telephone &amp; Radio Corp., 1949, pp. 362-396.</t>
    </r>
  </si>
  <si>
    <r>
      <rPr>
        <sz val="10"/>
        <color theme="1"/>
        <rFont val="Arial"/>
        <family val="0"/>
        <charset val="1"/>
      </rPr>
      <t xml:space="preserve">Feher, Dr. Kamilo, </t>
    </r>
    <r>
      <rPr>
        <i val="true"/>
        <sz val="10"/>
        <color theme="1"/>
        <rFont val="Arial"/>
        <family val="0"/>
        <charset val="1"/>
      </rPr>
      <t xml:space="preserve">Digital Communications, Satellite/Earth Station Engineering</t>
    </r>
    <r>
      <rPr>
        <sz val="10"/>
        <color theme="1"/>
        <rFont val="Arial"/>
        <family val="0"/>
        <charset val="1"/>
      </rPr>
      <t xml:space="preserve">, Prentice-Hall Books, 1983, Chapter 4.</t>
    </r>
  </si>
  <si>
    <r>
      <rPr>
        <sz val="10"/>
        <color theme="1"/>
        <rFont val="Arial"/>
        <family val="0"/>
        <charset val="1"/>
      </rPr>
      <t xml:space="preserve">Ippolito, L.J.Jr., </t>
    </r>
    <r>
      <rPr>
        <i val="true"/>
        <sz val="10"/>
        <color theme="1"/>
        <rFont val="Arial"/>
        <family val="0"/>
        <charset val="1"/>
      </rPr>
      <t xml:space="preserve">Radiowave Propagation in Satellite Communications, </t>
    </r>
    <r>
      <rPr>
        <sz val="10"/>
        <color theme="1"/>
        <rFont val="Arial"/>
        <family val="0"/>
        <charset val="1"/>
      </rPr>
      <t xml:space="preserve">Van Norstrand Reinhold Co., 1986, Chapters 3 and 7.</t>
    </r>
  </si>
  <si>
    <r>
      <rPr>
        <sz val="10"/>
        <color theme="1"/>
        <rFont val="Arial"/>
        <family val="0"/>
        <charset val="1"/>
      </rPr>
      <t xml:space="preserve">Jordan, E.C. (Edit.), </t>
    </r>
    <r>
      <rPr>
        <i val="true"/>
        <sz val="10"/>
        <color theme="1"/>
        <rFont val="Arial"/>
        <family val="0"/>
        <charset val="1"/>
      </rPr>
      <t xml:space="preserve">Reference Data for Engineers:  Radio, Electronics, Computer, and Communications, 7th Edition</t>
    </r>
    <r>
      <rPr>
        <sz val="10"/>
        <color theme="1"/>
        <rFont val="Arial"/>
        <family val="0"/>
        <charset val="1"/>
      </rPr>
      <t xml:space="preserve">, Howard W. Sams &amp; Co.,</t>
    </r>
  </si>
  <si>
    <t xml:space="preserve">1985, pp. 29-26 - 29-37 and pp. 30-03 - 30-11.</t>
  </si>
  <si>
    <r>
      <rPr>
        <sz val="10"/>
        <color theme="1"/>
        <rFont val="Arial"/>
        <family val="0"/>
        <charset val="1"/>
      </rPr>
      <t xml:space="preserve">Martin, W.L., </t>
    </r>
    <r>
      <rPr>
        <i val="true"/>
        <sz val="10"/>
        <color theme="1"/>
        <rFont val="Arial"/>
        <family val="0"/>
        <charset val="1"/>
      </rPr>
      <t xml:space="preserve">AMMOS and DSN Support of Earth Orbiting and Deep Space Missions, </t>
    </r>
    <r>
      <rPr>
        <sz val="10"/>
        <color theme="1"/>
        <rFont val="Arial"/>
        <family val="0"/>
        <charset val="1"/>
      </rPr>
      <t xml:space="preserve">Jet Propulsion Laboratory, TMOD Directorate, 1996, p.44-46.</t>
    </r>
  </si>
  <si>
    <r>
      <rPr>
        <sz val="10"/>
        <color theme="1"/>
        <rFont val="Arial"/>
        <family val="0"/>
        <charset val="1"/>
      </rPr>
      <t xml:space="preserve">Morgan, W.L. and Gordon, G.D., </t>
    </r>
    <r>
      <rPr>
        <i val="true"/>
        <sz val="10"/>
        <color theme="1"/>
        <rFont val="Arial"/>
        <family val="0"/>
        <charset val="1"/>
      </rPr>
      <t xml:space="preserve">Principles of Communicaitons Satellites</t>
    </r>
    <r>
      <rPr>
        <sz val="10"/>
        <color theme="1"/>
        <rFont val="Arial"/>
        <family val="0"/>
        <charset val="1"/>
      </rPr>
      <t xml:space="preserve">, John Wiley &amp; Sons, Inc., 1993, Chapter 2 and pp.140-143.</t>
    </r>
  </si>
  <si>
    <r>
      <rPr>
        <sz val="10"/>
        <color theme="1"/>
        <rFont val="Arial"/>
        <family val="0"/>
        <charset val="1"/>
      </rPr>
      <t xml:space="preserve">Van Wie, D.G. and Roark, R.C., </t>
    </r>
    <r>
      <rPr>
        <i val="true"/>
        <sz val="10"/>
        <color theme="1"/>
        <rFont val="Arial"/>
        <family val="0"/>
        <charset val="1"/>
      </rPr>
      <t xml:space="preserve">A New Alert Protocol, </t>
    </r>
    <r>
      <rPr>
        <sz val="10"/>
        <color theme="1"/>
        <rFont val="Arial"/>
        <family val="0"/>
        <charset val="1"/>
      </rPr>
      <t xml:space="preserve">Blue Water Design, LLC</t>
    </r>
    <r>
      <rPr>
        <i val="true"/>
        <sz val="10"/>
        <color theme="1"/>
        <rFont val="Arial"/>
        <family val="0"/>
        <charset val="1"/>
      </rPr>
      <t xml:space="preserve">, 2003, </t>
    </r>
    <r>
      <rPr>
        <sz val="10"/>
        <color theme="1"/>
        <rFont val="Arial"/>
        <family val="0"/>
        <charset val="1"/>
      </rPr>
      <t xml:space="preserve">pp. 18-23.</t>
    </r>
  </si>
  <si>
    <r>
      <rPr>
        <sz val="10"/>
        <color theme="1"/>
        <rFont val="Arial"/>
        <family val="0"/>
        <charset val="1"/>
      </rPr>
      <t xml:space="preserve">Jackson, R.B., </t>
    </r>
    <r>
      <rPr>
        <i val="true"/>
        <sz val="10"/>
        <color theme="1"/>
        <rFont val="Arial"/>
        <family val="0"/>
        <charset val="1"/>
      </rPr>
      <t xml:space="preserve">The Canted Turnstile as an Omnidirectional Spacecraft Antenna, </t>
    </r>
    <r>
      <rPr>
        <sz val="10"/>
        <color theme="1"/>
        <rFont val="Arial"/>
        <family val="0"/>
        <charset val="1"/>
      </rPr>
      <t xml:space="preserve">X-712-67-441, NASA/Goddard Space Flight Center, 1967, Entire Document.</t>
    </r>
  </si>
  <si>
    <t xml:space="preserve">    Revisions:</t>
  </si>
  <si>
    <t xml:space="preserve">  The following formal revisons have been made to this Link Model System:</t>
  </si>
  <si>
    <t xml:space="preserve">Version:</t>
  </si>
  <si>
    <t xml:space="preserve">Date:</t>
  </si>
  <si>
    <t xml:space="preserve">                          Adjustments and/or Modifications Made:</t>
  </si>
  <si>
    <r>
      <rPr>
        <sz val="10"/>
        <color rgb="FFDD0806"/>
        <rFont val="Arial"/>
        <family val="0"/>
        <charset val="1"/>
      </rPr>
      <t xml:space="preserve">NEW; </t>
    </r>
    <r>
      <rPr>
        <sz val="10"/>
        <color rgb="FFDD0806"/>
        <rFont val="Symbol"/>
        <family val="0"/>
        <charset val="1"/>
      </rPr>
      <t xml:space="preserve">b</t>
    </r>
    <r>
      <rPr>
        <sz val="10"/>
        <color rgb="FFDD0806"/>
        <rFont val="Arial"/>
        <family val="0"/>
        <charset val="1"/>
      </rPr>
      <t xml:space="preserve">-Test Version</t>
    </r>
  </si>
  <si>
    <t xml:space="preserve">Revised All "Pop-up" Notes; Corrected some cell colors to improve consistancy; Added reference 9; Corrected cells A19 &amp; D19 in "Uplink" W/S.</t>
  </si>
  <si>
    <t xml:space="preserve">2.1.1</t>
  </si>
  <si>
    <t xml:space="preserve">Revised Equation at Cell [B15] of "Uplink Budget" W/S.  Index function should use column H values not column C values. </t>
  </si>
  <si>
    <t xml:space="preserve">2.1.2</t>
  </si>
  <si>
    <t xml:space="preserve">Modified Data for Monopole Antenna Pattern in Monopole Table in "Antenna Patterns" W/S.  Added 3 dB to all Values (0° to 90°)</t>
  </si>
  <si>
    <t xml:space="preserve">2.1.3</t>
  </si>
  <si>
    <t xml:space="preserve">Modified "Receviers" W/S.  Added loss value for cable D.  Modified 2nd Stage to "Communications Receiver" at Ground Station.</t>
  </si>
  <si>
    <t xml:space="preserve">2.1.4</t>
  </si>
  <si>
    <t xml:space="preserve">Added Tubo Code Option to "Modulation-Demodulation Method" W/S.</t>
  </si>
  <si>
    <t xml:space="preserve">Added EZNEC+ and Chart Wizzard Antenna Plots to "Antenna Pattern" W/S.</t>
  </si>
  <si>
    <t xml:space="preserve">2.2.1</t>
  </si>
  <si>
    <t xml:space="preserve">Edited Notes in I.I.R.R W/S.  </t>
  </si>
  <si>
    <t xml:space="preserve">2.2.2</t>
  </si>
  <si>
    <t xml:space="preserve">Edited More Notes Throughout Link Model.  </t>
  </si>
  <si>
    <t xml:space="preserve">Revised Antenna Gain and Antenna Pointing Losses W/Ss to Include a High Gain (Parabolic Reflector) S/C Antenna Option &amp; Iso. Radiator Option.</t>
  </si>
  <si>
    <t xml:space="preserve">2.3.1</t>
  </si>
  <si>
    <r>
      <rPr>
        <sz val="10"/>
        <color theme="1"/>
        <rFont val="Arial"/>
        <family val="0"/>
        <charset val="1"/>
      </rPr>
      <t xml:space="preserve">Modified Notes at Cells [P135] and [V52] of "Receivers" W/S. Added </t>
    </r>
    <r>
      <rPr>
        <b val="true"/>
        <sz val="10"/>
        <color theme="1"/>
        <rFont val="Arial"/>
        <family val="0"/>
        <charset val="1"/>
      </rPr>
      <t xml:space="preserve">T</t>
    </r>
    <r>
      <rPr>
        <b val="true"/>
        <sz val="8"/>
        <color theme="1"/>
        <rFont val="Arial"/>
        <family val="0"/>
        <charset val="1"/>
      </rPr>
      <t xml:space="preserve">o</t>
    </r>
    <r>
      <rPr>
        <sz val="10"/>
        <color theme="1"/>
        <rFont val="Arial"/>
        <family val="0"/>
        <charset val="1"/>
      </rPr>
      <t xml:space="preserve"> reference temperature "readout" at Cell [U56] of "Receivers" W/S.</t>
    </r>
  </si>
  <si>
    <t xml:space="preserve">2.3.2</t>
  </si>
  <si>
    <t xml:space="preserve">Modified Equation at Q62 of "Antenna Gain" W/S.  Equation was "=21/(F55/1000)*H62" and now is "=21/((F55/1000)*H62)." TNX Ignacio Mas. </t>
  </si>
  <si>
    <t xml:space="preserve">Changed "Downlink" to "Uplink" at D22 in "Antenna Gain" W/S. Changed hard coded cells in "Ant. Pointing Losses" W/S for referenced cells. Fixed errors in downlink portion of worksheet.  There were several incorrect references.  Added NOTEs at Line 57 of the "Uplink" W/S and Line 56 of the "Downlink W/S" to remind user about S/N when using coding.  TNX Jeff Capehart W4DFU.  </t>
  </si>
  <si>
    <t xml:space="preserve">Not Released</t>
  </si>
  <si>
    <t xml:space="preserve">Added HEO, GEO and Deep Space Orbit Capability.  Link Model Operator selects options.  Separted Orbit and Frequency into two separate pages.</t>
  </si>
  <si>
    <t xml:space="preserve">2.5.1</t>
  </si>
  <si>
    <t xml:space="preserve">Repaird Bugs in User #2, Delta Longitude, Range, Azimuth and Earth Central Angle; Thank to Michelle Denise, W5NYV</t>
  </si>
  <si>
    <t xml:space="preserve">2.5.2</t>
  </si>
  <si>
    <t xml:space="preserve">Repaired Import of Frequency Values to "Transmitters" and "Receivers" Worksheets; Thanks to Michelle Denise, W5NYV</t>
  </si>
  <si>
    <t xml:space="preserve">2.5.3</t>
  </si>
  <si>
    <t xml:space="preserve">In "Atmos. &amp; Ionos. Losses" W/S; temporarily made Atmos. Loss dependent on Manually Set Elevation Angle.  This needs more work.</t>
  </si>
  <si>
    <t xml:space="preserve">2.5.4</t>
  </si>
  <si>
    <t xml:space="preserve">Revised Beam Roll-off Tool Tab to Include Dish Diameter in Wavelengths and Test for 10 wavelength condition.</t>
  </si>
  <si>
    <t xml:space="preserve">2.5.5</t>
  </si>
  <si>
    <t xml:space="preserve">Revised Antenna Polarization Loss (R = 10^(AR/20); Antenna Pointling Loss, Downlink, Ground Station Table:  Antenna Gains Corrected; TNX to Kelby Davis, AD7VO</t>
  </si>
  <si>
    <t xml:space="preserve">System Orbit Characteristics:</t>
  </si>
  <si>
    <t xml:space="preserve">Orbit Option to be Used in</t>
  </si>
  <si>
    <t xml:space="preserve">Link Model</t>
  </si>
  <si>
    <t xml:space="preserve">(LEO, HEO, GEO, Deep Space)</t>
  </si>
  <si>
    <t xml:space="preserve">Select Orbit Option:</t>
  </si>
  <si>
    <t xml:space="preserve">Slant Range: </t>
  </si>
  <si>
    <t xml:space="preserve">km</t>
  </si>
  <si>
    <t xml:space="preserve">Used in Path Loss Calculation</t>
  </si>
  <si>
    <t xml:space="preserve">Option No.:</t>
  </si>
  <si>
    <t xml:space="preserve">Slant Range:</t>
  </si>
  <si>
    <t xml:space="preserve">LEO</t>
  </si>
  <si>
    <t xml:space="preserve">HEO</t>
  </si>
  <si>
    <t xml:space="preserve">GEO</t>
  </si>
  <si>
    <t xml:space="preserve">Deep Space</t>
  </si>
  <si>
    <t xml:space="preserve">Blue</t>
  </si>
  <si>
    <t xml:space="preserve">= User Data Entry Values</t>
  </si>
  <si>
    <t xml:space="preserve">Red</t>
  </si>
  <si>
    <t xml:space="preserve">= Key Results</t>
  </si>
  <si>
    <r>
      <rPr>
        <b val="true"/>
        <sz val="10"/>
        <color theme="1"/>
        <rFont val="Arial"/>
        <family val="0"/>
        <charset val="1"/>
      </rPr>
      <t xml:space="preserve">NOTE:</t>
    </r>
    <r>
      <rPr>
        <sz val="10"/>
        <color theme="1"/>
        <rFont val="Arial"/>
        <family val="0"/>
        <charset val="1"/>
      </rPr>
      <t xml:space="preserve">  Cells Not Yet Protected</t>
    </r>
  </si>
  <si>
    <t xml:space="preserve">Element Reference Epoch:</t>
  </si>
  <si>
    <t xml:space="preserve">2005, 87.50000</t>
  </si>
  <si>
    <t xml:space="preserve">Black</t>
  </si>
  <si>
    <r>
      <rPr>
        <sz val="10"/>
        <color theme="1"/>
        <rFont val="Arial"/>
        <family val="0"/>
        <charset val="1"/>
      </rPr>
      <t xml:space="preserve">= Computed Values (</t>
    </r>
    <r>
      <rPr>
        <b val="true"/>
        <sz val="10"/>
        <color theme="1"/>
        <rFont val="Arial"/>
        <family val="0"/>
        <charset val="1"/>
      </rPr>
      <t xml:space="preserve">No</t>
    </r>
    <r>
      <rPr>
        <sz val="10"/>
        <color theme="1"/>
        <rFont val="Arial"/>
        <family val="0"/>
        <charset val="1"/>
      </rPr>
      <t xml:space="preserve"> </t>
    </r>
    <r>
      <rPr>
        <b val="true"/>
        <sz val="10"/>
        <color theme="1"/>
        <rFont val="Arial"/>
        <family val="0"/>
        <charset val="1"/>
      </rPr>
      <t xml:space="preserve">Data Entry</t>
    </r>
    <r>
      <rPr>
        <sz val="10"/>
        <color theme="1"/>
        <rFont val="Arial"/>
        <family val="0"/>
        <charset val="1"/>
      </rPr>
      <t xml:space="preserve">)</t>
    </r>
  </si>
  <si>
    <t xml:space="preserve"> Blue</t>
  </si>
  <si>
    <t xml:space="preserve">=Critical User Data Entry Values</t>
  </si>
  <si>
    <t xml:space="preserve">LEO Orbit -  Option #1</t>
  </si>
  <si>
    <t xml:space="preserve">NOTE: </t>
  </si>
  <si>
    <t xml:space="preserve">Low Earth Orbit Properties</t>
  </si>
  <si>
    <t xml:space="preserve">      Slant Range to Spacecraft vs. Elevation Angle</t>
  </si>
  <si>
    <t xml:space="preserve">Parameter:</t>
  </si>
  <si>
    <t xml:space="preserve">Value:</t>
  </si>
  <si>
    <t xml:space="preserve">Unit:</t>
  </si>
  <si>
    <t xml:space="preserve">Earth Radius:</t>
  </si>
  <si>
    <t xml:space="preserve">Height of Apogee (ha):</t>
  </si>
  <si>
    <t xml:space="preserve">Height of Perigee (hp):</t>
  </si>
  <si>
    <t xml:space="preserve">Semi-Major Axis (a):</t>
  </si>
  <si>
    <t xml:space="preserve">Eccentricity (e): </t>
  </si>
  <si>
    <t xml:space="preserve">Inclination (I):</t>
  </si>
  <si>
    <t xml:space="preserve">°</t>
  </si>
  <si>
    <r>
      <rPr>
        <sz val="10"/>
        <color theme="1"/>
        <rFont val="Arial"/>
        <family val="0"/>
        <charset val="1"/>
      </rPr>
      <t xml:space="preserve">Argument of Perigee (</t>
    </r>
    <r>
      <rPr>
        <sz val="10"/>
        <color theme="1"/>
        <rFont val="Symbol"/>
        <family val="0"/>
        <charset val="1"/>
      </rPr>
      <t xml:space="preserve">w):</t>
    </r>
  </si>
  <si>
    <r>
      <rPr>
        <sz val="10"/>
        <color theme="1"/>
        <rFont val="Arial"/>
        <family val="0"/>
        <charset val="1"/>
      </rPr>
      <t xml:space="preserve">R.A.A.N. (</t>
    </r>
    <r>
      <rPr>
        <sz val="10"/>
        <color theme="1"/>
        <rFont val="Symbol"/>
        <family val="0"/>
        <charset val="1"/>
      </rPr>
      <t xml:space="preserve">W):</t>
    </r>
  </si>
  <si>
    <t xml:space="preserve">Mean Anomaly (M):</t>
  </si>
  <si>
    <t xml:space="preserve">Period:</t>
  </si>
  <si>
    <t xml:space="preserve">minutes</t>
  </si>
  <si>
    <r>
      <rPr>
        <sz val="10"/>
        <color theme="1"/>
        <rFont val="Arial"/>
        <family val="0"/>
        <charset val="1"/>
      </rPr>
      <t xml:space="preserve">d</t>
    </r>
    <r>
      <rPr>
        <sz val="10"/>
        <color theme="1"/>
        <rFont val="Symbol"/>
        <family val="0"/>
        <charset val="1"/>
      </rPr>
      <t xml:space="preserve">w/</t>
    </r>
    <r>
      <rPr>
        <sz val="10"/>
        <color theme="1"/>
        <rFont val="Arial"/>
        <family val="0"/>
        <charset val="1"/>
      </rPr>
      <t xml:space="preserve">dt:</t>
    </r>
  </si>
  <si>
    <t xml:space="preserve">deg./day</t>
  </si>
  <si>
    <r>
      <rPr>
        <sz val="10"/>
        <color theme="1"/>
        <rFont val="Arial"/>
        <family val="0"/>
        <charset val="1"/>
      </rPr>
      <t xml:space="preserve">d</t>
    </r>
    <r>
      <rPr>
        <sz val="10"/>
        <color theme="1"/>
        <rFont val="Symbol"/>
        <family val="0"/>
        <charset val="1"/>
      </rPr>
      <t xml:space="preserve">W</t>
    </r>
    <r>
      <rPr>
        <sz val="10"/>
        <color theme="1"/>
        <rFont val="Arial"/>
        <family val="0"/>
        <charset val="1"/>
      </rPr>
      <t xml:space="preserve">/dt:</t>
    </r>
  </si>
  <si>
    <t xml:space="preserve">dM/dt:</t>
  </si>
  <si>
    <t xml:space="preserve">Not Implemented</t>
  </si>
  <si>
    <t xml:space="preserve">Mean Orbit Altitude:</t>
  </si>
  <si>
    <t xml:space="preserve">Mean Orbit Radius:</t>
  </si>
  <si>
    <t xml:space="preserve">Sun Synchronous Inclination:</t>
  </si>
  <si>
    <t xml:space="preserve"> °</t>
  </si>
  <si>
    <r>
      <rPr>
        <sz val="10"/>
        <color theme="1"/>
        <rFont val="Arial"/>
        <family val="0"/>
        <charset val="1"/>
      </rPr>
      <t xml:space="preserve">Elevation Angle (</t>
    </r>
    <r>
      <rPr>
        <b val="true"/>
        <sz val="10"/>
        <color theme="1"/>
        <rFont val="Symbol"/>
        <family val="0"/>
        <charset val="1"/>
      </rPr>
      <t xml:space="preserve">d</t>
    </r>
    <r>
      <rPr>
        <sz val="10"/>
        <color theme="1"/>
        <rFont val="Symbol"/>
        <family val="0"/>
        <charset val="1"/>
      </rPr>
      <t xml:space="preserve">):</t>
    </r>
  </si>
  <si>
    <r>
      <rPr>
        <sz val="10"/>
        <color theme="1"/>
        <rFont val="Arial"/>
        <family val="0"/>
        <charset val="1"/>
      </rPr>
      <t xml:space="preserve">Slant Range (</t>
    </r>
    <r>
      <rPr>
        <b val="true"/>
        <sz val="10"/>
        <color theme="1"/>
        <rFont val="Arial"/>
        <family val="0"/>
        <charset val="1"/>
      </rPr>
      <t xml:space="preserve">S</t>
    </r>
    <r>
      <rPr>
        <sz val="10"/>
        <color theme="1"/>
        <rFont val="Arial"/>
        <family val="0"/>
        <charset val="1"/>
      </rPr>
      <t xml:space="preserve">):</t>
    </r>
  </si>
  <si>
    <t xml:space="preserve">km.</t>
  </si>
  <si>
    <t xml:space="preserve">High Earth Orbit (HEO) - Option #2</t>
  </si>
  <si>
    <t xml:space="preserve">LEO Orbit Geometry</t>
  </si>
  <si>
    <t xml:space="preserve">HEO Orbit Properties</t>
  </si>
  <si>
    <t xml:space="preserve">      S/C Spinning and NADIR-Pointing at Apogee</t>
  </si>
  <si>
    <t xml:space="preserve">Height of Apogee:</t>
  </si>
  <si>
    <t xml:space="preserve">Height of Perigee:</t>
  </si>
  <si>
    <t xml:space="preserve">degrees</t>
  </si>
  <si>
    <t xml:space="preserve">Orbit</t>
  </si>
  <si>
    <t xml:space="preserve">Geometry</t>
  </si>
  <si>
    <t xml:space="preserve">CASE NO. SELECTED:</t>
  </si>
  <si>
    <t xml:space="preserve">km Altitude</t>
  </si>
  <si>
    <t xml:space="preserve">Elevation Angle:</t>
  </si>
  <si>
    <t xml:space="preserve">   Slant Range (S): </t>
  </si>
  <si>
    <t xml:space="preserve">CASE:</t>
  </si>
  <si>
    <t xml:space="preserve">R(km):</t>
  </si>
  <si>
    <t xml:space="preserve">M(deg.):</t>
  </si>
  <si>
    <t xml:space="preserve">altitude (km):</t>
  </si>
  <si>
    <t xml:space="preserve">S/C off-point angle:</t>
  </si>
  <si>
    <t xml:space="preserve">S/C rcvr. ant. temp.(K) </t>
  </si>
  <si>
    <t xml:space="preserve">deg.</t>
  </si>
  <si>
    <t xml:space="preserve">SOME KEY ORBIT &amp; LINK PARAMETERS</t>
  </si>
  <si>
    <r>
      <rPr>
        <sz val="9"/>
        <color theme="1"/>
        <rFont val="Arial"/>
        <family val="0"/>
        <charset val="1"/>
      </rPr>
      <t xml:space="preserve">EARTH ANGULAR DIAMETER (</t>
    </r>
    <r>
      <rPr>
        <sz val="9"/>
        <color theme="1"/>
        <rFont val="Symbol"/>
        <family val="0"/>
        <charset val="1"/>
      </rPr>
      <t xml:space="preserve">g</t>
    </r>
    <r>
      <rPr>
        <sz val="9"/>
        <color theme="1"/>
        <rFont val="Arial"/>
        <family val="0"/>
        <charset val="1"/>
      </rPr>
      <t xml:space="preserve">):</t>
    </r>
  </si>
  <si>
    <r>
      <rPr>
        <sz val="10"/>
        <color theme="1"/>
        <rFont val="Arial"/>
        <family val="0"/>
        <charset val="1"/>
      </rPr>
      <t xml:space="preserve">S/C POINTING VECTOR (</t>
    </r>
    <r>
      <rPr>
        <sz val="10"/>
        <color theme="1"/>
        <rFont val="Symbol"/>
        <family val="0"/>
        <charset val="1"/>
      </rPr>
      <t xml:space="preserve">a</t>
    </r>
    <r>
      <rPr>
        <sz val="10"/>
        <color theme="1"/>
        <rFont val="Arial"/>
        <family val="0"/>
        <charset val="1"/>
      </rPr>
      <t xml:space="preserve">):</t>
    </r>
  </si>
  <si>
    <t xml:space="preserve">WORST CASE SQUINT ANGLE:</t>
  </si>
  <si>
    <t xml:space="preserve">RX ANTENNA POINTING LOSS:</t>
  </si>
  <si>
    <t xml:space="preserve">dB</t>
  </si>
  <si>
    <t xml:space="preserve">TX ANTENNA POINTING LOSS:</t>
  </si>
  <si>
    <t xml:space="preserve">GROUND RCVR Eb/No:</t>
  </si>
  <si>
    <t xml:space="preserve">S/C RCVR Eb/No</t>
  </si>
  <si>
    <t xml:space="preserve">User Defined Case:</t>
  </si>
  <si>
    <t xml:space="preserve">Geostationary Earth Orbit (GEO) - Option #3</t>
  </si>
  <si>
    <t xml:space="preserve">Path Length to User Terminal from Spacecraft</t>
  </si>
  <si>
    <t xml:space="preserve">Comment(s):</t>
  </si>
  <si>
    <t xml:space="preserve">Geostationary Altitude:</t>
  </si>
  <si>
    <t xml:space="preserve">Height Above Geoid</t>
  </si>
  <si>
    <t xml:space="preserve">Equatorial Radius of Earth (Re):</t>
  </si>
  <si>
    <t xml:space="preserve">Geostationary semi major axis</t>
  </si>
  <si>
    <t xml:space="preserve">Accurate to 1/10 meter</t>
  </si>
  <si>
    <t xml:space="preserve">Typical Path Length:</t>
  </si>
  <si>
    <t xml:space="preserve">User at typical Longitude difference from satellite and at mean latitude.</t>
  </si>
  <si>
    <t xml:space="preserve">Shortest Path Length:</t>
  </si>
  <si>
    <t xml:space="preserve">User at same longitude as satellite and at the equator</t>
  </si>
  <si>
    <t xml:space="preserve">Longest Path Length:</t>
  </si>
  <si>
    <t xml:space="preserve">User at  max. longitude difference from satellite and at max. latitude (0.0° User Elevation Angle).</t>
  </si>
  <si>
    <t xml:space="preserve">User #2:</t>
  </si>
  <si>
    <t xml:space="preserve">UPLINK:</t>
  </si>
  <si>
    <t xml:space="preserve">S/C</t>
  </si>
  <si>
    <t xml:space="preserve">DOWNLINK:</t>
  </si>
  <si>
    <t xml:space="preserve">User #1:</t>
  </si>
  <si>
    <t xml:space="preserve">User Latitude:</t>
  </si>
  <si>
    <t xml:space="preserve">+ = North Latitude; - = South Latitude</t>
  </si>
  <si>
    <t xml:space="preserve">User Longitude:</t>
  </si>
  <si>
    <t xml:space="preserve">+ = East Longitude; - = West Longitude</t>
  </si>
  <si>
    <t xml:space="preserve">Spacecraft Slot (Longitude):</t>
  </si>
  <si>
    <r>
      <rPr>
        <sz val="10"/>
        <color theme="1"/>
        <rFont val="Arial"/>
        <family val="0"/>
        <charset val="1"/>
      </rPr>
      <t xml:space="preserve">Enter Slot Postion in Degrees East Longitude (NOTE: </t>
    </r>
    <r>
      <rPr>
        <sz val="10"/>
        <color theme="1"/>
        <rFont val="Symbol"/>
        <family val="0"/>
        <charset val="1"/>
      </rPr>
      <t xml:space="preserve">D </t>
    </r>
    <r>
      <rPr>
        <sz val="10"/>
        <color theme="1"/>
        <rFont val="Arial"/>
        <family val="0"/>
        <charset val="1"/>
      </rPr>
      <t xml:space="preserve">Longitude </t>
    </r>
    <r>
      <rPr>
        <sz val="10"/>
        <color theme="1"/>
        <rFont val="Symbol"/>
        <family val="0"/>
        <charset val="1"/>
      </rPr>
      <t xml:space="preserve">£</t>
    </r>
    <r>
      <rPr>
        <sz val="10"/>
        <color theme="1"/>
        <rFont val="Arial"/>
        <family val="0"/>
        <charset val="1"/>
      </rPr>
      <t xml:space="preserve"> 81.3°) [- = W. Long.; + = E. Long.]</t>
    </r>
  </si>
  <si>
    <t xml:space="preserve">S/C Slot Longitude:</t>
  </si>
  <si>
    <t xml:space="preserve">Same as User #1 as both Users Employ the Same Spacecraft</t>
  </si>
  <si>
    <t xml:space="preserve">Slant Range to User:</t>
  </si>
  <si>
    <t xml:space="preserve">The distance from the GEO satellite to the user.  This Value used in Link Budget Path Loss Calculation.</t>
  </si>
  <si>
    <t xml:space="preserve">User Elevation Angle:</t>
  </si>
  <si>
    <t xml:space="preserve">This is the Elevation Angle to the GEO spacecraft from the User (latitude and longitude) site.</t>
  </si>
  <si>
    <t xml:space="preserve">User Azimuth Angle:</t>
  </si>
  <si>
    <t xml:space="preserve">This is the azimuth angle to the GEO spacecraft from the User (latitude and longitude) site.</t>
  </si>
  <si>
    <t xml:space="preserve">Earth Central Angle:</t>
  </si>
  <si>
    <t xml:space="preserve">The angle measured from Earth center between the sub-satellite point and the ground station location.</t>
  </si>
  <si>
    <r>
      <rPr>
        <b val="true"/>
        <i val="true"/>
        <sz val="12"/>
        <color theme="1"/>
        <rFont val="Arial"/>
        <family val="0"/>
        <charset val="1"/>
      </rPr>
      <t xml:space="preserve">Deep Space Mission - Option #4:</t>
    </r>
    <r>
      <rPr>
        <b val="true"/>
        <sz val="12"/>
        <color theme="1"/>
        <rFont val="Arial"/>
        <family val="0"/>
        <charset val="1"/>
      </rPr>
      <t xml:space="preserve">  </t>
    </r>
    <r>
      <rPr>
        <b val="true"/>
        <sz val="12"/>
        <color rgb="FF0000D4"/>
        <rFont val="Arial"/>
        <family val="0"/>
        <charset val="1"/>
      </rPr>
      <t xml:space="preserve">Range Expressed in Astronomical Units (AU)</t>
    </r>
  </si>
  <si>
    <t xml:space="preserve">Mission Target Object:</t>
  </si>
  <si>
    <t xml:space="preserve">Mars</t>
  </si>
  <si>
    <t xml:space="preserve">Current Range to S/C:</t>
  </si>
  <si>
    <t xml:space="preserve">AU</t>
  </si>
  <si>
    <t xml:space="preserve">             Current Range to S/C:</t>
  </si>
  <si>
    <t xml:space="preserve">UPLINK &amp; DOWNLINK Frequency Choices:</t>
  </si>
  <si>
    <t xml:space="preserve">Orbit Type Selected:</t>
  </si>
  <si>
    <r>
      <rPr>
        <b val="true"/>
        <sz val="10"/>
        <color theme="1"/>
        <rFont val="Arial"/>
        <family val="0"/>
        <charset val="1"/>
      </rPr>
      <t xml:space="preserve">Path Loss = 22.0 + 20 log (S/</t>
    </r>
    <r>
      <rPr>
        <b val="true"/>
        <sz val="10"/>
        <color theme="1"/>
        <rFont val="Symbol"/>
        <family val="0"/>
        <charset val="1"/>
      </rPr>
      <t xml:space="preserve">l)</t>
    </r>
  </si>
  <si>
    <t xml:space="preserve">    Slant Range for Orbit Option Selected:</t>
  </si>
  <si>
    <t xml:space="preserve">Option:</t>
  </si>
  <si>
    <t xml:space="preserve">Frequency:</t>
  </si>
  <si>
    <r>
      <rPr>
        <u val="single"/>
        <sz val="10"/>
        <color theme="1"/>
        <rFont val="Arial"/>
        <family val="0"/>
        <charset val="1"/>
      </rPr>
      <t xml:space="preserve">Wavelength (</t>
    </r>
    <r>
      <rPr>
        <b val="true"/>
        <u val="single"/>
        <sz val="10"/>
        <color theme="1"/>
        <rFont val="Symbol"/>
        <family val="0"/>
        <charset val="1"/>
      </rPr>
      <t xml:space="preserve">l</t>
    </r>
    <r>
      <rPr>
        <u val="single"/>
        <sz val="10"/>
        <color theme="1"/>
        <rFont val="Arial"/>
        <family val="0"/>
        <charset val="1"/>
      </rPr>
      <t xml:space="preserve">):</t>
    </r>
  </si>
  <si>
    <t xml:space="preserve">Path Loss:</t>
  </si>
  <si>
    <t xml:space="preserve">Uplink:</t>
  </si>
  <si>
    <t xml:space="preserve">#1:</t>
  </si>
  <si>
    <t xml:space="preserve">MHz</t>
  </si>
  <si>
    <t xml:space="preserve">meters</t>
  </si>
  <si>
    <t xml:space="preserve">Uplink Frequency Choice:</t>
  </si>
  <si>
    <t xml:space="preserve">#2:</t>
  </si>
  <si>
    <t xml:space="preserve">#3:</t>
  </si>
  <si>
    <t xml:space="preserve">Path Loss for Orbit Selected:</t>
  </si>
  <si>
    <t xml:space="preserve">Operator Selected Option:</t>
  </si>
  <si>
    <t xml:space="preserve">#4:</t>
  </si>
  <si>
    <t xml:space="preserve">Downlink:</t>
  </si>
  <si>
    <t xml:space="preserve">Downlink Frequency Choice:</t>
  </si>
  <si>
    <t xml:space="preserve">System Transmitters &amp; Line Losses:</t>
  </si>
  <si>
    <t xml:space="preserve">Uplink Transmitter System (At Ground Station):</t>
  </si>
  <si>
    <t xml:space="preserve">Block Diagram:</t>
  </si>
  <si>
    <t xml:space="preserve">   Line B</t>
  </si>
  <si>
    <t xml:space="preserve">       Line C</t>
  </si>
  <si>
    <t xml:space="preserve">Antenna Mismatch</t>
  </si>
  <si>
    <t xml:space="preserve">Transmitter Power:</t>
  </si>
  <si>
    <t xml:space="preserve">Watts  =</t>
  </si>
  <si>
    <t xml:space="preserve">dBW   =</t>
  </si>
  <si>
    <t xml:space="preserve">dBm</t>
  </si>
  <si>
    <t xml:space="preserve">Cable or Waveguide ("Line") Losses:</t>
  </si>
  <si>
    <t xml:space="preserve">Line A Length:</t>
  </si>
  <si>
    <t xml:space="preserve">Line B Length:</t>
  </si>
  <si>
    <t xml:space="preserve">Line C Length:</t>
  </si>
  <si>
    <t xml:space="preserve">Total Line Length (Line A+B+C):</t>
  </si>
  <si>
    <t xml:space="preserve">Cable/W. Guide Type:</t>
  </si>
  <si>
    <t xml:space="preserve">Belden 9913</t>
  </si>
  <si>
    <t xml:space="preserve">cable</t>
  </si>
  <si>
    <t xml:space="preserve">Cable/W.Guide Loss/meter:</t>
  </si>
  <si>
    <t xml:space="preserve">At (freq.)</t>
  </si>
  <si>
    <t xml:space="preserve">MHz =</t>
  </si>
  <si>
    <t xml:space="preserve">Other Components in Line:</t>
  </si>
  <si>
    <t xml:space="preserve">No. of In-Line Connectors:</t>
  </si>
  <si>
    <t xml:space="preserve">Connectors  X  0.05 dB/Con.    =</t>
  </si>
  <si>
    <t xml:space="preserve">Filter Insertion Losses:</t>
  </si>
  <si>
    <t xml:space="preserve">Other In-Line Losses:</t>
  </si>
  <si>
    <t xml:space="preserve">Device:</t>
  </si>
  <si>
    <t xml:space="preserve">Antenna Mismatch Losses:</t>
  </si>
  <si>
    <t xml:space="preserve">(See "VSWR Loss Tool" W/S)</t>
  </si>
  <si>
    <t xml:space="preserve">Total Line Losses:</t>
  </si>
  <si>
    <t xml:space="preserve">Total Power Delivered to Antenna:</t>
  </si>
  <si>
    <t xml:space="preserve">dBW</t>
  </si>
  <si>
    <t xml:space="preserve">Downlink Transmitter System (At Spacecraft):</t>
  </si>
  <si>
    <t xml:space="preserve">Line A    </t>
  </si>
  <si>
    <t xml:space="preserve">Line B</t>
  </si>
  <si>
    <t xml:space="preserve">   Line C</t>
  </si>
  <si>
    <t xml:space="preserve">Cable or Waveguide Loss:</t>
  </si>
  <si>
    <t xml:space="preserve">Total Line Length (Lines A+B+C):</t>
  </si>
  <si>
    <t xml:space="preserve">Cable/Guide Type:</t>
  </si>
  <si>
    <t xml:space="preserve">RG-188/AU</t>
  </si>
  <si>
    <t xml:space="preserve">Cable/Guide Loss/meter:</t>
  </si>
  <si>
    <t xml:space="preserve">Connectors  X  0.05 dB    =</t>
  </si>
  <si>
    <t xml:space="preserve">RF Switch Loss + Antenna Insertion Losses</t>
  </si>
  <si>
    <t xml:space="preserve">Total RF Power Delivered to Antenna:</t>
  </si>
  <si>
    <t xml:space="preserve">System Receivers and Line Losses:</t>
  </si>
  <si>
    <t xml:space="preserve">Uplink Receiver System (At Spacecraft):</t>
  </si>
  <si>
    <r>
      <rPr>
        <sz val="10"/>
        <color theme="1"/>
        <rFont val="Arial"/>
        <family val="0"/>
        <charset val="1"/>
      </rPr>
      <t xml:space="preserve">T</t>
    </r>
    <r>
      <rPr>
        <sz val="8"/>
        <color theme="1"/>
        <rFont val="Arial"/>
        <family val="0"/>
        <charset val="1"/>
      </rPr>
      <t xml:space="preserve">LNA</t>
    </r>
  </si>
  <si>
    <r>
      <rPr>
        <sz val="10"/>
        <color theme="1"/>
        <rFont val="Arial"/>
        <family val="0"/>
        <charset val="1"/>
      </rPr>
      <t xml:space="preserve">T</t>
    </r>
    <r>
      <rPr>
        <sz val="8"/>
        <color theme="1"/>
        <rFont val="Arial"/>
        <family val="0"/>
        <charset val="1"/>
      </rPr>
      <t xml:space="preserve">2nd Stage</t>
    </r>
  </si>
  <si>
    <r>
      <rPr>
        <sz val="10"/>
        <color theme="1"/>
        <rFont val="Arial"/>
        <family val="0"/>
        <charset val="1"/>
      </rPr>
      <t xml:space="preserve">L</t>
    </r>
    <r>
      <rPr>
        <sz val="8"/>
        <color theme="1"/>
        <rFont val="Arial"/>
        <family val="0"/>
        <charset val="1"/>
      </rPr>
      <t xml:space="preserve">A          </t>
    </r>
  </si>
  <si>
    <r>
      <rPr>
        <sz val="10"/>
        <color theme="1"/>
        <rFont val="Arial"/>
        <family val="0"/>
        <charset val="1"/>
      </rPr>
      <t xml:space="preserve">       L</t>
    </r>
    <r>
      <rPr>
        <sz val="8"/>
        <color theme="1"/>
        <rFont val="Arial"/>
        <family val="0"/>
        <charset val="1"/>
      </rPr>
      <t xml:space="preserve">B   </t>
    </r>
  </si>
  <si>
    <r>
      <rPr>
        <sz val="10"/>
        <color theme="1"/>
        <rFont val="Arial"/>
        <family val="0"/>
        <charset val="1"/>
      </rPr>
      <t xml:space="preserve">      L</t>
    </r>
    <r>
      <rPr>
        <sz val="8"/>
        <color theme="1"/>
        <rFont val="Arial"/>
        <family val="0"/>
        <charset val="1"/>
      </rPr>
      <t xml:space="preserve">C</t>
    </r>
  </si>
  <si>
    <r>
      <rPr>
        <sz val="10"/>
        <color theme="1"/>
        <rFont val="Arial"/>
        <family val="0"/>
        <charset val="1"/>
      </rPr>
      <t xml:space="preserve">T</t>
    </r>
    <r>
      <rPr>
        <sz val="8"/>
        <color theme="1"/>
        <rFont val="Arial"/>
        <family val="0"/>
        <charset val="1"/>
      </rPr>
      <t xml:space="preserve">o</t>
    </r>
  </si>
  <si>
    <r>
      <rPr>
        <sz val="10"/>
        <color theme="1"/>
        <rFont val="Arial"/>
        <family val="0"/>
        <charset val="1"/>
      </rPr>
      <t xml:space="preserve">      T</t>
    </r>
    <r>
      <rPr>
        <sz val="8"/>
        <color theme="1"/>
        <rFont val="Arial"/>
        <family val="0"/>
        <charset val="1"/>
      </rPr>
      <t xml:space="preserve">o</t>
    </r>
  </si>
  <si>
    <r>
      <rPr>
        <sz val="10"/>
        <color theme="1"/>
        <rFont val="Arial"/>
        <family val="0"/>
        <charset val="1"/>
      </rPr>
      <t xml:space="preserve">System Noise Temperature (T</t>
    </r>
    <r>
      <rPr>
        <sz val="8"/>
        <color theme="1"/>
        <rFont val="Arial"/>
        <family val="0"/>
        <charset val="1"/>
      </rPr>
      <t xml:space="preserve">s</t>
    </r>
    <r>
      <rPr>
        <sz val="10"/>
        <color theme="1"/>
        <rFont val="Arial"/>
        <family val="0"/>
        <charset val="1"/>
      </rPr>
      <t xml:space="preserve">):</t>
    </r>
  </si>
  <si>
    <r>
      <rPr>
        <b val="true"/>
        <sz val="10"/>
        <color theme="1"/>
        <rFont val="Arial"/>
        <family val="0"/>
        <charset val="1"/>
      </rPr>
      <t xml:space="preserve">T</t>
    </r>
    <r>
      <rPr>
        <b val="true"/>
        <sz val="8"/>
        <color theme="1"/>
        <rFont val="Arial"/>
        <family val="0"/>
        <charset val="1"/>
      </rPr>
      <t xml:space="preserve">s</t>
    </r>
    <r>
      <rPr>
        <b val="true"/>
        <sz val="10"/>
        <color theme="1"/>
        <rFont val="Arial"/>
        <family val="0"/>
        <charset val="1"/>
      </rPr>
      <t xml:space="preserve">= (</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a</t>
    </r>
    <r>
      <rPr>
        <b val="true"/>
        <sz val="10"/>
        <color theme="1"/>
        <rFont val="Arial"/>
        <family val="0"/>
        <charset val="1"/>
      </rPr>
      <t xml:space="preserve"> + (1-</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o + </t>
    </r>
    <r>
      <rPr>
        <b val="true"/>
        <sz val="10"/>
        <color theme="1"/>
        <rFont val="Arial"/>
        <family val="0"/>
        <charset val="1"/>
      </rPr>
      <t xml:space="preserve">T</t>
    </r>
    <r>
      <rPr>
        <b val="true"/>
        <sz val="8"/>
        <color theme="1"/>
        <rFont val="Arial"/>
        <family val="0"/>
        <charset val="1"/>
      </rPr>
      <t xml:space="preserve">LNA +</t>
    </r>
    <r>
      <rPr>
        <b val="true"/>
        <sz val="10"/>
        <color theme="1"/>
        <rFont val="Arial"/>
        <family val="0"/>
        <charset val="1"/>
      </rPr>
      <t xml:space="preserve"> T</t>
    </r>
    <r>
      <rPr>
        <b val="true"/>
        <sz val="8"/>
        <color theme="1"/>
        <rFont val="Arial"/>
        <family val="0"/>
        <charset val="1"/>
      </rPr>
      <t xml:space="preserve">2ndStage</t>
    </r>
    <r>
      <rPr>
        <b val="true"/>
        <sz val="10"/>
        <color theme="1"/>
        <rFont val="Arial"/>
        <family val="0"/>
        <charset val="1"/>
      </rPr>
      <t xml:space="preserve">/G</t>
    </r>
    <r>
      <rPr>
        <b val="true"/>
        <sz val="8"/>
        <color theme="1"/>
        <rFont val="Arial"/>
        <family val="0"/>
        <charset val="1"/>
      </rPr>
      <t xml:space="preserve">LNA</t>
    </r>
  </si>
  <si>
    <t xml:space="preserve">Where:</t>
  </si>
  <si>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 Antenna Temperature or Sky Temperature (°K)</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</si>
  <si>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 System Line Temperature (Physical Temperature) (°K) </t>
    </r>
    <r>
      <rPr>
        <sz val="10"/>
        <color theme="1"/>
        <rFont val="Symbol"/>
        <family val="0"/>
        <charset val="1"/>
      </rPr>
      <t xml:space="preserve">º</t>
    </r>
    <r>
      <rPr>
        <sz val="10"/>
        <color theme="1"/>
        <rFont val="Arial"/>
        <family val="0"/>
        <charset val="1"/>
      </rPr>
      <t xml:space="preserve"> System Reference Temperature</t>
    </r>
  </si>
  <si>
    <r>
      <rPr>
        <sz val="10"/>
        <color theme="1"/>
        <rFont val="Arial"/>
        <family val="0"/>
        <charset val="1"/>
      </rPr>
      <t xml:space="preserve">T</t>
    </r>
    <r>
      <rPr>
        <sz val="8"/>
        <color theme="1"/>
        <rFont val="Arial"/>
        <family val="0"/>
        <charset val="1"/>
      </rPr>
      <t xml:space="preserve">LNA=</t>
    </r>
    <r>
      <rPr>
        <sz val="10"/>
        <color theme="1"/>
        <rFont val="Arial"/>
        <family val="0"/>
        <charset val="1"/>
      </rPr>
      <t xml:space="preserve"> Noise Temperature of the Low Noise Amplifier (°K)</t>
    </r>
  </si>
  <si>
    <r>
      <rPr>
        <sz val="10"/>
        <color theme="1"/>
        <rFont val="Arial"/>
        <family val="0"/>
        <charset val="1"/>
      </rPr>
      <t xml:space="preserve">T</t>
    </r>
    <r>
      <rPr>
        <sz val="8"/>
        <color theme="1"/>
        <rFont val="Arial"/>
        <family val="0"/>
        <charset val="1"/>
      </rPr>
      <t xml:space="preserve">2nd Stage</t>
    </r>
    <r>
      <rPr>
        <sz val="10"/>
        <color theme="1"/>
        <rFont val="Arial"/>
        <family val="0"/>
        <charset val="1"/>
      </rPr>
      <t xml:space="preserve"> </t>
    </r>
    <r>
      <rPr>
        <sz val="10"/>
        <color theme="1"/>
        <rFont val="Symbol"/>
        <family val="0"/>
        <charset val="1"/>
      </rPr>
      <t xml:space="preserve">=</t>
    </r>
    <r>
      <rPr>
        <sz val="10"/>
        <color theme="1"/>
        <rFont val="Arial"/>
        <family val="0"/>
        <charset val="1"/>
      </rPr>
      <t xml:space="preserve">  Noise Temperature of Next Stage Amplifier or Mixer (°K)</t>
    </r>
  </si>
  <si>
    <r>
      <rPr>
        <sz val="10"/>
        <color theme="1"/>
        <rFont val="Arial"/>
        <family val="0"/>
        <charset val="1"/>
      </rPr>
      <t xml:space="preserve">G</t>
    </r>
    <r>
      <rPr>
        <sz val="8"/>
        <color theme="1"/>
        <rFont val="Arial"/>
        <family val="0"/>
        <charset val="1"/>
      </rPr>
      <t xml:space="preserve">LNA</t>
    </r>
    <r>
      <rPr>
        <sz val="10"/>
        <color theme="1"/>
        <rFont val="Arial"/>
        <family val="0"/>
        <charset val="1"/>
      </rPr>
      <t xml:space="preserve"> = The gain of the LNA in linear (non-dB) units</t>
    </r>
  </si>
  <si>
    <t xml:space="preserve">NOTE:  </t>
  </si>
  <si>
    <r>
      <rPr>
        <sz val="10"/>
        <color theme="1"/>
        <rFont val="Noto Sans Symbols"/>
        <family val="0"/>
        <charset val="1"/>
      </rPr>
      <t xml:space="preserve">a</t>
    </r>
    <r>
      <rPr>
        <sz val="10"/>
        <color theme="1"/>
        <rFont val="Arial"/>
        <family val="0"/>
        <charset val="1"/>
      </rPr>
      <t xml:space="preserve"> =</t>
    </r>
    <r>
      <rPr>
        <sz val="10"/>
        <color theme="1"/>
        <rFont val="Symbol"/>
        <family val="0"/>
        <charset val="1"/>
      </rPr>
      <t xml:space="preserve"> </t>
    </r>
    <r>
      <rPr>
        <sz val="10"/>
        <color theme="1"/>
        <rFont val="Arial"/>
        <family val="0"/>
        <charset val="1"/>
      </rPr>
      <t xml:space="preserve">Feed Line Coefficient =  10^ -((L</t>
    </r>
    <r>
      <rPr>
        <sz val="8"/>
        <color theme="1"/>
        <rFont val="Arial"/>
        <family val="0"/>
        <charset val="1"/>
      </rPr>
      <t xml:space="preserve">A</t>
    </r>
    <r>
      <rPr>
        <sz val="10"/>
        <color theme="1"/>
        <rFont val="Arial"/>
        <family val="0"/>
        <charset val="1"/>
      </rPr>
      <t xml:space="preserve">/10)+(L</t>
    </r>
    <r>
      <rPr>
        <sz val="8"/>
        <color theme="1"/>
        <rFont val="Arial"/>
        <family val="0"/>
        <charset val="1"/>
      </rPr>
      <t xml:space="preserve">B</t>
    </r>
    <r>
      <rPr>
        <sz val="10"/>
        <color theme="1"/>
        <rFont val="Arial"/>
        <family val="0"/>
        <charset val="1"/>
      </rPr>
      <t xml:space="preserve">/10)+(L</t>
    </r>
    <r>
      <rPr>
        <sz val="8"/>
        <color theme="1"/>
        <rFont val="Arial"/>
        <family val="0"/>
        <charset val="1"/>
      </rPr>
      <t xml:space="preserve">C</t>
    </r>
    <r>
      <rPr>
        <sz val="10"/>
        <color theme="1"/>
        <rFont val="Arial"/>
        <family val="0"/>
        <charset val="1"/>
      </rPr>
      <t xml:space="preserve">/10)+(L</t>
    </r>
    <r>
      <rPr>
        <sz val="8"/>
        <color theme="1"/>
        <rFont val="Arial"/>
        <family val="0"/>
        <charset val="1"/>
      </rPr>
      <t xml:space="preserve">BPF</t>
    </r>
    <r>
      <rPr>
        <sz val="10"/>
        <color theme="1"/>
        <rFont val="Arial"/>
        <family val="0"/>
        <charset val="1"/>
      </rPr>
      <t xml:space="preserve">/10)+(L</t>
    </r>
    <r>
      <rPr>
        <sz val="8"/>
        <color theme="1"/>
        <rFont val="Arial"/>
        <family val="0"/>
        <charset val="1"/>
      </rPr>
      <t xml:space="preserve">other</t>
    </r>
    <r>
      <rPr>
        <sz val="10"/>
        <color theme="1"/>
        <rFont val="Arial"/>
        <family val="0"/>
        <charset val="1"/>
      </rPr>
      <t xml:space="preserve">/10))</t>
    </r>
  </si>
  <si>
    <r>
      <rPr>
        <sz val="10"/>
        <color theme="1"/>
        <rFont val="Arial"/>
        <family val="0"/>
        <charset val="1"/>
      </rPr>
      <t xml:space="preserve">L</t>
    </r>
    <r>
      <rPr>
        <sz val="8"/>
        <color theme="1"/>
        <rFont val="Arial"/>
        <family val="0"/>
        <charset val="1"/>
      </rPr>
      <t xml:space="preserve">A</t>
    </r>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 All Cable or Waveguide Losses (expressed in dB)</t>
    </r>
  </si>
  <si>
    <r>
      <rPr>
        <sz val="10"/>
        <color theme="1"/>
        <rFont val="Arial"/>
        <family val="0"/>
        <charset val="1"/>
      </rPr>
      <t xml:space="preserve">L</t>
    </r>
    <r>
      <rPr>
        <sz val="8"/>
        <color theme="1"/>
        <rFont val="Arial"/>
        <family val="0"/>
        <charset val="1"/>
      </rPr>
      <t xml:space="preserve">BPF</t>
    </r>
    <r>
      <rPr>
        <sz val="10"/>
        <color theme="1"/>
        <rFont val="Arial"/>
        <family val="0"/>
        <charset val="1"/>
      </rPr>
      <t xml:space="preserve"> = Insertion Loss of any bandpass fiter used in front of LNA (expressed in dB)</t>
    </r>
  </si>
  <si>
    <r>
      <rPr>
        <sz val="10"/>
        <color theme="1"/>
        <rFont val="Arial"/>
        <family val="0"/>
        <charset val="1"/>
      </rPr>
      <t xml:space="preserve">L</t>
    </r>
    <r>
      <rPr>
        <sz val="8"/>
        <color theme="1"/>
        <rFont val="Arial"/>
        <family val="0"/>
        <charset val="1"/>
      </rPr>
      <t xml:space="preserve">other</t>
    </r>
    <r>
      <rPr>
        <sz val="10"/>
        <color theme="1"/>
        <rFont val="Arial"/>
        <family val="0"/>
        <charset val="1"/>
      </rPr>
      <t xml:space="preserve"> = Insertion Loss of any other In-Line device in front of LNA (expressed in dB)</t>
    </r>
  </si>
  <si>
    <t xml:space="preserve">Cable or Waveguide "Line" Losses:</t>
  </si>
  <si>
    <t xml:space="preserve">dB at frequency </t>
  </si>
  <si>
    <t xml:space="preserve">Line A Loss:</t>
  </si>
  <si>
    <r>
      <rPr>
        <sz val="10"/>
        <color theme="1"/>
        <rFont val="Arial"/>
        <family val="0"/>
        <charset val="1"/>
      </rPr>
      <t xml:space="preserve">L</t>
    </r>
    <r>
      <rPr>
        <sz val="8"/>
        <color theme="1"/>
        <rFont val="Arial"/>
        <family val="0"/>
        <charset val="1"/>
      </rPr>
      <t xml:space="preserve">A</t>
    </r>
    <r>
      <rPr>
        <sz val="10"/>
        <color theme="1"/>
        <rFont val="Arial"/>
        <family val="0"/>
        <charset val="1"/>
      </rPr>
      <t xml:space="preserve"> = </t>
    </r>
  </si>
  <si>
    <t xml:space="preserve">Line B Loss:</t>
  </si>
  <si>
    <r>
      <rPr>
        <sz val="10"/>
        <color theme="1"/>
        <rFont val="Arial"/>
        <family val="0"/>
        <charset val="1"/>
      </rPr>
      <t xml:space="preserve">L</t>
    </r>
    <r>
      <rPr>
        <sz val="8"/>
        <color theme="1"/>
        <rFont val="Arial"/>
        <family val="0"/>
        <charset val="1"/>
      </rPr>
      <t xml:space="preserve">B</t>
    </r>
    <r>
      <rPr>
        <sz val="10"/>
        <color theme="1"/>
        <rFont val="Arial"/>
        <family val="0"/>
        <charset val="1"/>
      </rPr>
      <t xml:space="preserve"> = </t>
    </r>
  </si>
  <si>
    <t xml:space="preserve">Line C Loss:</t>
  </si>
  <si>
    <r>
      <rPr>
        <sz val="10"/>
        <color theme="1"/>
        <rFont val="Arial"/>
        <family val="0"/>
        <charset val="1"/>
      </rPr>
      <t xml:space="preserve">L</t>
    </r>
    <r>
      <rPr>
        <sz val="8"/>
        <color theme="1"/>
        <rFont val="Arial"/>
        <family val="0"/>
        <charset val="1"/>
      </rPr>
      <t xml:space="preserve">C</t>
    </r>
    <r>
      <rPr>
        <sz val="10"/>
        <color theme="1"/>
        <rFont val="Arial"/>
        <family val="0"/>
        <charset val="1"/>
      </rPr>
      <t xml:space="preserve"> = </t>
    </r>
  </si>
  <si>
    <t xml:space="preserve">Bandpass Filter Insertion Loss:</t>
  </si>
  <si>
    <r>
      <rPr>
        <sz val="10"/>
        <color theme="1"/>
        <rFont val="Arial"/>
        <family val="0"/>
        <charset val="1"/>
      </rPr>
      <t xml:space="preserve">L</t>
    </r>
    <r>
      <rPr>
        <sz val="8"/>
        <color theme="1"/>
        <rFont val="Arial"/>
        <family val="0"/>
        <charset val="1"/>
      </rPr>
      <t xml:space="preserve">BPF</t>
    </r>
    <r>
      <rPr>
        <sz val="10"/>
        <color theme="1"/>
        <rFont val="Arial"/>
        <family val="0"/>
        <charset val="1"/>
      </rPr>
      <t xml:space="preserve"> =</t>
    </r>
  </si>
  <si>
    <t xml:space="preserve">Insertion Loss of Other In-Line Devices:</t>
  </si>
  <si>
    <r>
      <rPr>
        <sz val="10"/>
        <color theme="1"/>
        <rFont val="Arial"/>
        <family val="0"/>
        <charset val="1"/>
      </rPr>
      <t xml:space="preserve">L</t>
    </r>
    <r>
      <rPr>
        <sz val="8"/>
        <color theme="1"/>
        <rFont val="Arial"/>
        <family val="0"/>
        <charset val="1"/>
      </rPr>
      <t xml:space="preserve">other</t>
    </r>
    <r>
      <rPr>
        <sz val="10"/>
        <color theme="1"/>
        <rFont val="Arial"/>
        <family val="0"/>
        <charset val="1"/>
      </rPr>
      <t xml:space="preserve"> = </t>
    </r>
  </si>
  <si>
    <t xml:space="preserve">No. of In-Line Connectors: </t>
  </si>
  <si>
    <t xml:space="preserve">X .05 dB/Con.=</t>
  </si>
  <si>
    <t xml:space="preserve">Other In-Line Device Type:</t>
  </si>
  <si>
    <t xml:space="preserve">Noise Temperature/Noise Figure Calculator (Tool):</t>
  </si>
  <si>
    <t xml:space="preserve">Total In-Line Losses from Antenna to LNA:</t>
  </si>
  <si>
    <r>
      <rPr>
        <sz val="10"/>
        <color theme="1"/>
        <rFont val="Arial"/>
        <family val="0"/>
        <charset val="1"/>
      </rPr>
      <t xml:space="preserve">NF</t>
    </r>
    <r>
      <rPr>
        <sz val="8"/>
        <color theme="1"/>
        <rFont val="Arial"/>
        <family val="0"/>
        <charset val="1"/>
      </rPr>
      <t xml:space="preserve">dB</t>
    </r>
    <r>
      <rPr>
        <sz val="10"/>
        <color theme="1"/>
        <rFont val="Arial"/>
        <family val="0"/>
        <charset val="1"/>
      </rPr>
      <t xml:space="preserve"> = 10 LOG</t>
    </r>
    <r>
      <rPr>
        <sz val="8"/>
        <color theme="1"/>
        <rFont val="Arial"/>
        <family val="0"/>
        <charset val="1"/>
      </rPr>
      <t xml:space="preserve">10</t>
    </r>
    <r>
      <rPr>
        <sz val="10"/>
        <color theme="1"/>
        <rFont val="Arial"/>
        <family val="0"/>
        <charset val="1"/>
      </rPr>
      <t xml:space="preserve">[1+(T/T</t>
    </r>
    <r>
      <rPr>
        <sz val="8"/>
        <color theme="1"/>
        <rFont val="Arial"/>
        <family val="0"/>
        <charset val="1"/>
      </rPr>
      <t xml:space="preserve">o</t>
    </r>
    <r>
      <rPr>
        <sz val="10"/>
        <color theme="1"/>
        <rFont val="Arial"/>
        <family val="0"/>
        <charset val="1"/>
      </rPr>
      <t xml:space="preserve">)] </t>
    </r>
  </si>
  <si>
    <t xml:space="preserve">Transmission Line Coefficient:</t>
  </si>
  <si>
    <r>
      <rPr>
        <sz val="10"/>
        <color theme="1"/>
        <rFont val="Noto Sans Symbols"/>
        <family val="0"/>
        <charset val="1"/>
      </rPr>
      <t xml:space="preserve">a</t>
    </r>
    <r>
      <rPr>
        <sz val="10"/>
        <color theme="1"/>
        <rFont val="Arial"/>
        <family val="0"/>
        <charset val="1"/>
      </rPr>
      <t xml:space="preserve"> = </t>
    </r>
  </si>
  <si>
    <r>
      <rPr>
        <sz val="10"/>
        <color theme="1"/>
        <rFont val="Arial"/>
        <family val="0"/>
        <charset val="1"/>
      </rPr>
      <t xml:space="preserve">T = T</t>
    </r>
    <r>
      <rPr>
        <sz val="8"/>
        <color theme="1"/>
        <rFont val="Arial"/>
        <family val="0"/>
        <charset val="1"/>
      </rPr>
      <t xml:space="preserve">o</t>
    </r>
    <r>
      <rPr>
        <sz val="10"/>
        <color theme="1"/>
        <rFont val="Arial"/>
        <family val="0"/>
        <charset val="1"/>
      </rPr>
      <t xml:space="preserve">[10^(NF</t>
    </r>
    <r>
      <rPr>
        <sz val="8"/>
        <color theme="1"/>
        <rFont val="Arial"/>
        <family val="0"/>
        <charset val="1"/>
      </rPr>
      <t xml:space="preserve">dB</t>
    </r>
    <r>
      <rPr>
        <sz val="10"/>
        <color theme="1"/>
        <rFont val="Arial"/>
        <family val="0"/>
        <charset val="1"/>
      </rPr>
      <t xml:space="preserve">/10)-1]</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</si>
  <si>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t>
    </r>
  </si>
  <si>
    <t xml:space="preserve">K</t>
  </si>
  <si>
    <t xml:space="preserve">Antenna or "Sky" Temperature:</t>
  </si>
  <si>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t>
    </r>
  </si>
  <si>
    <t xml:space="preserve">Spacecraft Temperature:</t>
  </si>
  <si>
    <r>
      <rPr>
        <sz val="10"/>
        <color theme="1"/>
        <rFont val="Arial"/>
        <family val="0"/>
        <charset val="1"/>
      </rPr>
      <t xml:space="preserve">NF</t>
    </r>
    <r>
      <rPr>
        <sz val="8"/>
        <color theme="1"/>
        <rFont val="Arial"/>
        <family val="0"/>
        <charset val="1"/>
      </rPr>
      <t xml:space="preserve">dB </t>
    </r>
    <r>
      <rPr>
        <sz val="10"/>
        <color theme="1"/>
        <rFont val="Arial"/>
        <family val="0"/>
        <charset val="1"/>
      </rPr>
      <t xml:space="preserve">=</t>
    </r>
  </si>
  <si>
    <t xml:space="preserve">T =</t>
  </si>
  <si>
    <t xml:space="preserve">LNA Temperature:</t>
  </si>
  <si>
    <r>
      <rPr>
        <sz val="10"/>
        <color theme="1"/>
        <rFont val="Arial"/>
        <family val="0"/>
        <charset val="1"/>
      </rPr>
      <t xml:space="preserve">T</t>
    </r>
    <r>
      <rPr>
        <sz val="8"/>
        <color theme="1"/>
        <rFont val="Arial"/>
        <family val="0"/>
        <charset val="1"/>
      </rPr>
      <t xml:space="preserve">LNA</t>
    </r>
    <r>
      <rPr>
        <sz val="10"/>
        <color theme="1"/>
        <rFont val="Arial"/>
        <family val="0"/>
        <charset val="1"/>
      </rPr>
      <t xml:space="preserve"> =</t>
    </r>
  </si>
  <si>
    <t xml:space="preserve">OR</t>
  </si>
  <si>
    <t xml:space="preserve">LNA Gain:</t>
  </si>
  <si>
    <r>
      <rPr>
        <sz val="10"/>
        <color theme="1"/>
        <rFont val="Arial"/>
        <family val="0"/>
        <charset val="1"/>
      </rPr>
      <t xml:space="preserve">G</t>
    </r>
    <r>
      <rPr>
        <sz val="8"/>
        <color theme="1"/>
        <rFont val="Arial"/>
        <family val="0"/>
        <charset val="1"/>
      </rPr>
      <t xml:space="preserve">LNA</t>
    </r>
    <r>
      <rPr>
        <sz val="10"/>
        <color theme="1"/>
        <rFont val="Arial"/>
        <family val="0"/>
        <charset val="1"/>
      </rPr>
      <t xml:space="preserve"> =</t>
    </r>
  </si>
  <si>
    <r>
      <rPr>
        <sz val="10"/>
        <color theme="1"/>
        <rFont val="Arial"/>
        <family val="0"/>
        <charset val="1"/>
      </rPr>
      <t xml:space="preserve">NF</t>
    </r>
    <r>
      <rPr>
        <sz val="8"/>
        <color theme="1"/>
        <rFont val="Arial"/>
        <family val="0"/>
        <charset val="1"/>
      </rPr>
      <t xml:space="preserve">dB  </t>
    </r>
    <r>
      <rPr>
        <sz val="10"/>
        <color theme="1"/>
        <rFont val="Arial"/>
        <family val="0"/>
        <charset val="1"/>
      </rPr>
      <t xml:space="preserve">=</t>
    </r>
  </si>
  <si>
    <t xml:space="preserve">2nd Stage Temperature:</t>
  </si>
  <si>
    <r>
      <rPr>
        <sz val="10"/>
        <color theme="1"/>
        <rFont val="Arial"/>
        <family val="0"/>
        <charset val="1"/>
      </rPr>
      <t xml:space="preserve">T</t>
    </r>
    <r>
      <rPr>
        <sz val="8"/>
        <color theme="1"/>
        <rFont val="Arial"/>
        <family val="0"/>
        <charset val="1"/>
      </rPr>
      <t xml:space="preserve">2ndStage</t>
    </r>
    <r>
      <rPr>
        <sz val="10"/>
        <color theme="1"/>
        <rFont val="Arial"/>
        <family val="0"/>
        <charset val="1"/>
      </rPr>
      <t xml:space="preserve"> =</t>
    </r>
  </si>
  <si>
    <t xml:space="preserve">Enter Data Here:</t>
  </si>
  <si>
    <t xml:space="preserve">Result is Here</t>
  </si>
  <si>
    <t xml:space="preserve">System Noise Temperature:</t>
  </si>
  <si>
    <r>
      <rPr>
        <sz val="10"/>
        <color theme="1"/>
        <rFont val="Arial"/>
        <family val="0"/>
        <charset val="1"/>
      </rPr>
      <t xml:space="preserve">T</t>
    </r>
    <r>
      <rPr>
        <sz val="8"/>
        <color theme="1"/>
        <rFont val="Arial"/>
        <family val="0"/>
        <charset val="1"/>
      </rPr>
      <t xml:space="preserve">s</t>
    </r>
    <r>
      <rPr>
        <sz val="10"/>
        <color theme="1"/>
        <rFont val="Arial"/>
        <family val="0"/>
        <charset val="1"/>
      </rPr>
      <t xml:space="preserve"> =</t>
    </r>
  </si>
  <si>
    <t xml:space="preserve">Downlink Receiver System (At Ground Station):</t>
  </si>
  <si>
    <r>
      <rPr>
        <sz val="10"/>
        <color theme="1"/>
        <rFont val="Arial"/>
        <family val="0"/>
        <charset val="1"/>
      </rPr>
      <t xml:space="preserve">T</t>
    </r>
    <r>
      <rPr>
        <sz val="8"/>
        <color theme="1"/>
        <rFont val="Arial"/>
        <family val="0"/>
        <charset val="1"/>
      </rPr>
      <t xml:space="preserve">ComRcvr</t>
    </r>
  </si>
  <si>
    <r>
      <rPr>
        <b val="true"/>
        <sz val="10"/>
        <color theme="1"/>
        <rFont val="Arial"/>
        <family val="0"/>
        <charset val="1"/>
      </rPr>
      <t xml:space="preserve">T</t>
    </r>
    <r>
      <rPr>
        <b val="true"/>
        <sz val="8"/>
        <color theme="1"/>
        <rFont val="Arial"/>
        <family val="0"/>
        <charset val="1"/>
      </rPr>
      <t xml:space="preserve">s</t>
    </r>
    <r>
      <rPr>
        <b val="true"/>
        <sz val="10"/>
        <color theme="1"/>
        <rFont val="Arial"/>
        <family val="0"/>
        <charset val="1"/>
      </rPr>
      <t xml:space="preserve">= (</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a</t>
    </r>
    <r>
      <rPr>
        <b val="true"/>
        <sz val="10"/>
        <color theme="1"/>
        <rFont val="Arial"/>
        <family val="0"/>
        <charset val="1"/>
      </rPr>
      <t xml:space="preserve"> + (1-</t>
    </r>
    <r>
      <rPr>
        <b val="true"/>
        <sz val="10"/>
        <color theme="1"/>
        <rFont val="Symbol"/>
        <family val="0"/>
        <charset val="1"/>
      </rPr>
      <t xml:space="preserve">a</t>
    </r>
    <r>
      <rPr>
        <b val="true"/>
        <sz val="10"/>
        <color theme="1"/>
        <rFont val="Arial"/>
        <family val="0"/>
        <charset val="1"/>
      </rPr>
      <t xml:space="preserve">)T</t>
    </r>
    <r>
      <rPr>
        <b val="true"/>
        <sz val="8"/>
        <color theme="1"/>
        <rFont val="Arial"/>
        <family val="0"/>
        <charset val="1"/>
      </rPr>
      <t xml:space="preserve">o + </t>
    </r>
    <r>
      <rPr>
        <b val="true"/>
        <sz val="10"/>
        <color theme="1"/>
        <rFont val="Arial"/>
        <family val="0"/>
        <charset val="1"/>
      </rPr>
      <t xml:space="preserve">T</t>
    </r>
    <r>
      <rPr>
        <b val="true"/>
        <sz val="8"/>
        <color theme="1"/>
        <rFont val="Arial"/>
        <family val="0"/>
        <charset val="1"/>
      </rPr>
      <t xml:space="preserve">LNA +</t>
    </r>
    <r>
      <rPr>
        <b val="true"/>
        <sz val="10"/>
        <color theme="1"/>
        <rFont val="Arial"/>
        <family val="0"/>
        <charset val="1"/>
      </rPr>
      <t xml:space="preserve"> T</t>
    </r>
    <r>
      <rPr>
        <b val="true"/>
        <sz val="8"/>
        <color theme="1"/>
        <rFont val="Arial"/>
        <family val="0"/>
        <charset val="1"/>
      </rPr>
      <t xml:space="preserve">ComRcv</t>
    </r>
    <r>
      <rPr>
        <b val="true"/>
        <sz val="10"/>
        <color theme="1"/>
        <rFont val="Arial"/>
        <family val="0"/>
        <charset val="1"/>
      </rPr>
      <t xml:space="preserve">r/(G</t>
    </r>
    <r>
      <rPr>
        <b val="true"/>
        <sz val="8"/>
        <color theme="1"/>
        <rFont val="Arial"/>
        <family val="0"/>
        <charset val="1"/>
      </rPr>
      <t xml:space="preserve">LNA</t>
    </r>
    <r>
      <rPr>
        <b val="true"/>
        <sz val="10"/>
        <color theme="1"/>
        <rFont val="Arial"/>
        <family val="0"/>
        <charset val="1"/>
      </rPr>
      <t xml:space="preserve">/L</t>
    </r>
    <r>
      <rPr>
        <b val="true"/>
        <sz val="8"/>
        <color theme="1"/>
        <rFont val="Arial"/>
        <family val="0"/>
        <charset val="1"/>
      </rPr>
      <t xml:space="preserve">D</t>
    </r>
    <r>
      <rPr>
        <b val="true"/>
        <sz val="10"/>
        <color theme="1"/>
        <rFont val="Arial"/>
        <family val="0"/>
        <charset val="1"/>
      </rPr>
      <t xml:space="preserve">)</t>
    </r>
  </si>
  <si>
    <r>
      <rPr>
        <sz val="10"/>
        <color theme="1"/>
        <rFont val="Arial"/>
        <family val="0"/>
        <charset val="1"/>
      </rPr>
      <t xml:space="preserve">T</t>
    </r>
    <r>
      <rPr>
        <sz val="8"/>
        <color theme="1"/>
        <rFont val="Arial"/>
        <family val="0"/>
        <charset val="1"/>
      </rPr>
      <t xml:space="preserve">a</t>
    </r>
    <r>
      <rPr>
        <sz val="10"/>
        <color theme="1"/>
        <rFont val="Arial"/>
        <family val="0"/>
        <charset val="1"/>
      </rPr>
      <t xml:space="preserve"> =Antenna Temperature or Sky Temperature (°K)</t>
    </r>
  </si>
  <si>
    <r>
      <rPr>
        <sz val="10"/>
        <color theme="1"/>
        <rFont val="Arial"/>
        <family val="0"/>
        <charset val="1"/>
      </rPr>
      <t xml:space="preserve">T</t>
    </r>
    <r>
      <rPr>
        <sz val="8"/>
        <color theme="1"/>
        <rFont val="Arial"/>
        <family val="0"/>
        <charset val="1"/>
      </rPr>
      <t xml:space="preserve">o</t>
    </r>
    <r>
      <rPr>
        <sz val="10"/>
        <color theme="1"/>
        <rFont val="Arial"/>
        <family val="0"/>
        <charset val="1"/>
      </rPr>
      <t xml:space="preserve"> = System Line Temperature (Physical Temperature) (°K)</t>
    </r>
  </si>
  <si>
    <r>
      <rPr>
        <sz val="10"/>
        <color theme="1"/>
        <rFont val="Arial"/>
        <family val="0"/>
        <charset val="1"/>
      </rPr>
      <t xml:space="preserve">T</t>
    </r>
    <r>
      <rPr>
        <sz val="8"/>
        <color theme="1"/>
        <rFont val="Arial"/>
        <family val="0"/>
        <charset val="1"/>
      </rPr>
      <t xml:space="preserve">ComRcvr</t>
    </r>
    <r>
      <rPr>
        <sz val="10"/>
        <color theme="1"/>
        <rFont val="Arial"/>
        <family val="0"/>
        <charset val="1"/>
      </rPr>
      <t xml:space="preserve"> =  Noise Temperature of Communications Receiver Front End (°K)</t>
    </r>
  </si>
  <si>
    <r>
      <rPr>
        <sz val="10"/>
        <color theme="1"/>
        <rFont val="Noto Sans Symbols"/>
        <family val="0"/>
        <charset val="1"/>
      </rPr>
      <t xml:space="preserve">a</t>
    </r>
    <r>
      <rPr>
        <sz val="10"/>
        <color theme="1"/>
        <rFont val="Arial"/>
        <family val="0"/>
        <charset val="1"/>
      </rPr>
      <t xml:space="preserve"> </t>
    </r>
    <r>
      <rPr>
        <sz val="10"/>
        <color theme="1"/>
        <rFont val="Symbol"/>
        <family val="0"/>
        <charset val="1"/>
      </rPr>
      <t xml:space="preserve">º </t>
    </r>
    <r>
      <rPr>
        <sz val="10"/>
        <color theme="1"/>
        <rFont val="Arial"/>
        <family val="0"/>
        <charset val="1"/>
      </rPr>
      <t xml:space="preserve">Feed Line Coefficient =  10^ -((L</t>
    </r>
    <r>
      <rPr>
        <sz val="8"/>
        <color theme="1"/>
        <rFont val="Arial"/>
        <family val="0"/>
        <charset val="1"/>
      </rPr>
      <t xml:space="preserve">A</t>
    </r>
    <r>
      <rPr>
        <sz val="10"/>
        <color theme="1"/>
        <rFont val="Arial"/>
        <family val="0"/>
        <charset val="1"/>
      </rPr>
      <t xml:space="preserve">/10)+(L</t>
    </r>
    <r>
      <rPr>
        <sz val="8"/>
        <color theme="1"/>
        <rFont val="Arial"/>
        <family val="0"/>
        <charset val="1"/>
      </rPr>
      <t xml:space="preserve">B</t>
    </r>
    <r>
      <rPr>
        <sz val="10"/>
        <color theme="1"/>
        <rFont val="Arial"/>
        <family val="0"/>
        <charset val="1"/>
      </rPr>
      <t xml:space="preserve">/10)+(L</t>
    </r>
    <r>
      <rPr>
        <sz val="8"/>
        <color theme="1"/>
        <rFont val="Arial"/>
        <family val="0"/>
        <charset val="1"/>
      </rPr>
      <t xml:space="preserve">C</t>
    </r>
    <r>
      <rPr>
        <sz val="10"/>
        <color theme="1"/>
        <rFont val="Arial"/>
        <family val="0"/>
        <charset val="1"/>
      </rPr>
      <t xml:space="preserve">/10)+(L</t>
    </r>
    <r>
      <rPr>
        <sz val="8"/>
        <color theme="1"/>
        <rFont val="Arial"/>
        <family val="0"/>
        <charset val="1"/>
      </rPr>
      <t xml:space="preserve">BPF</t>
    </r>
    <r>
      <rPr>
        <sz val="10"/>
        <color theme="1"/>
        <rFont val="Arial"/>
        <family val="0"/>
        <charset val="1"/>
      </rPr>
      <t xml:space="preserve">/10)+(L</t>
    </r>
    <r>
      <rPr>
        <sz val="8"/>
        <color theme="1"/>
        <rFont val="Arial"/>
        <family val="0"/>
        <charset val="1"/>
      </rPr>
      <t xml:space="preserve">other</t>
    </r>
    <r>
      <rPr>
        <sz val="10"/>
        <color theme="1"/>
        <rFont val="Arial"/>
        <family val="0"/>
        <charset val="1"/>
      </rPr>
      <t xml:space="preserve">/10))</t>
    </r>
  </si>
  <si>
    <t xml:space="preserve">RG-8U</t>
  </si>
  <si>
    <t xml:space="preserve">dB (at freq.) </t>
  </si>
  <si>
    <t xml:space="preserve">Ground Station,  Antenna or Sky Noise Temperature Calculation Tool:  </t>
  </si>
  <si>
    <t xml:space="preserve">X 0.05 dB/con.=</t>
  </si>
  <si>
    <t xml:space="preserve">Galactic Noise Component:</t>
  </si>
  <si>
    <t xml:space="preserve">Receiver Frequency:  </t>
  </si>
  <si>
    <t xml:space="preserve">Coldest Galactic Noise Temp.:</t>
  </si>
  <si>
    <t xml:space="preserve">Warmest Galactic Noise Temp:</t>
  </si>
  <si>
    <t xml:space="preserve">Ground Station Feedline Temperature:</t>
  </si>
  <si>
    <t xml:space="preserve">Terrestrial Noise Component:</t>
  </si>
  <si>
    <t xml:space="preserve">Receiver Bandwidth:</t>
  </si>
  <si>
    <t xml:space="preserve">KHz</t>
  </si>
  <si>
    <t xml:space="preserve">Estimated or Measured Noise Level:</t>
  </si>
  <si>
    <t xml:space="preserve">Cable/Waveguide D Length:</t>
  </si>
  <si>
    <t xml:space="preserve">meteres</t>
  </si>
  <si>
    <t xml:space="preserve">Noise Source Effective Temperature:</t>
  </si>
  <si>
    <t xml:space="preserve">Cable/Waveguide D Type:</t>
  </si>
  <si>
    <t xml:space="preserve">Belden 9913 cable</t>
  </si>
  <si>
    <t xml:space="preserve">Minimum Sky Noise  Temp:</t>
  </si>
  <si>
    <t xml:space="preserve">Cable/Waveguide D Loss/meter:</t>
  </si>
  <si>
    <t xml:space="preserve">dB/m</t>
  </si>
  <si>
    <t xml:space="preserve">Maximum Sky Noise Temp:</t>
  </si>
  <si>
    <t xml:space="preserve">Cable/Waveguide D Loss:</t>
  </si>
  <si>
    <t xml:space="preserve">Communications Receiver Front End Temperature</t>
  </si>
  <si>
    <r>
      <rPr>
        <sz val="10"/>
        <color theme="1"/>
        <rFont val="Arial"/>
        <family val="0"/>
        <charset val="1"/>
      </rPr>
      <t xml:space="preserve">T</t>
    </r>
    <r>
      <rPr>
        <sz val="8"/>
        <color theme="1"/>
        <rFont val="Arial"/>
        <family val="0"/>
        <charset val="1"/>
      </rPr>
      <t xml:space="preserve">ComRcvr</t>
    </r>
    <r>
      <rPr>
        <sz val="10"/>
        <color theme="1"/>
        <rFont val="Arial"/>
        <family val="0"/>
        <charset val="1"/>
      </rPr>
      <t xml:space="preserve"> =</t>
    </r>
  </si>
  <si>
    <t xml:space="preserve">System Antenna Gains (Directivities):</t>
  </si>
  <si>
    <t xml:space="preserve">Uplink Antenna System:</t>
  </si>
  <si>
    <t xml:space="preserve">   Ground Station:</t>
  </si>
  <si>
    <t xml:space="preserve">Uplink</t>
  </si>
  <si>
    <t xml:space="preserve">Wavelength:</t>
  </si>
  <si>
    <t xml:space="preserve">Operator Selects Option 1 to 4 Here</t>
  </si>
  <si>
    <t xml:space="preserve">Polarization:</t>
  </si>
  <si>
    <t xml:space="preserve">RHCP</t>
  </si>
  <si>
    <t xml:space="preserve">OPTION:</t>
  </si>
  <si>
    <t xml:space="preserve">Yagi</t>
  </si>
  <si>
    <r>
      <rPr>
        <sz val="10"/>
        <color theme="1"/>
        <rFont val="Arial"/>
        <family val="0"/>
        <charset val="1"/>
      </rPr>
      <t xml:space="preserve">Boom Length (</t>
    </r>
    <r>
      <rPr>
        <sz val="10"/>
        <color theme="1"/>
        <rFont val="Symbol"/>
        <family val="0"/>
        <charset val="1"/>
      </rPr>
      <t xml:space="preserve">l</t>
    </r>
    <r>
      <rPr>
        <sz val="10"/>
        <color theme="1"/>
        <rFont val="Arial"/>
        <family val="0"/>
        <charset val="1"/>
      </rPr>
      <t xml:space="preserve">): </t>
    </r>
  </si>
  <si>
    <t xml:space="preserve">Optimum Elements (n):</t>
  </si>
  <si>
    <t xml:space="preserve">per Plane</t>
  </si>
  <si>
    <t xml:space="preserve">(in V and in H)</t>
  </si>
  <si>
    <t xml:space="preserve">Maximum Gain:</t>
  </si>
  <si>
    <t xml:space="preserve">dBiC</t>
  </si>
  <si>
    <t xml:space="preserve">Beamwidth:</t>
  </si>
  <si>
    <t xml:space="preserve">       Antenna Length:</t>
  </si>
  <si>
    <t xml:space="preserve">Helix</t>
  </si>
  <si>
    <t xml:space="preserve">Turns (n):</t>
  </si>
  <si>
    <r>
      <rPr>
        <sz val="10"/>
        <color theme="1"/>
        <rFont val="Arial"/>
        <family val="0"/>
        <charset val="1"/>
      </rPr>
      <t xml:space="preserve">Turn Spacing (</t>
    </r>
    <r>
      <rPr>
        <sz val="10"/>
        <color theme="1"/>
        <rFont val="Symbol"/>
        <family val="0"/>
        <charset val="1"/>
      </rPr>
      <t xml:space="preserve">l</t>
    </r>
    <r>
      <rPr>
        <sz val="10"/>
        <color theme="1"/>
        <rFont val="Arial"/>
        <family val="0"/>
        <charset val="1"/>
      </rPr>
      <t xml:space="preserve">):</t>
    </r>
  </si>
  <si>
    <r>
      <rPr>
        <sz val="10"/>
        <color theme="1"/>
        <rFont val="Arial"/>
        <family val="0"/>
        <charset val="1"/>
      </rPr>
      <t xml:space="preserve">Circumference (</t>
    </r>
    <r>
      <rPr>
        <sz val="10"/>
        <color theme="1"/>
        <rFont val="Symbol"/>
        <family val="0"/>
        <charset val="1"/>
      </rPr>
      <t xml:space="preserve">l</t>
    </r>
    <r>
      <rPr>
        <sz val="10"/>
        <color theme="1"/>
        <rFont val="Arial"/>
        <family val="0"/>
        <charset val="1"/>
      </rPr>
      <t xml:space="preserve">):</t>
    </r>
  </si>
  <si>
    <t xml:space="preserve">Gain:</t>
  </si>
  <si>
    <t xml:space="preserve">Antenna Length:</t>
  </si>
  <si>
    <t xml:space="preserve">Parabolic Reflector</t>
  </si>
  <si>
    <t xml:space="preserve">Diameter:</t>
  </si>
  <si>
    <t xml:space="preserve">Aperture Efficiency:</t>
  </si>
  <si>
    <t xml:space="preserve">User Defined </t>
  </si>
  <si>
    <t xml:space="preserve">KLM (22x22 Element)</t>
  </si>
  <si>
    <t xml:space="preserve">(Example)</t>
  </si>
  <si>
    <t xml:space="preserve">     Spacecraft:</t>
  </si>
  <si>
    <t xml:space="preserve">Operator Selects Option 1 to 7 Here</t>
  </si>
  <si>
    <t xml:space="preserve">Circular Turnstyle</t>
  </si>
  <si>
    <t xml:space="preserve">Monopole</t>
  </si>
  <si>
    <t xml:space="preserve">dBiL</t>
  </si>
  <si>
    <r>
      <rPr>
        <sz val="10"/>
        <color theme="1"/>
        <rFont val="Arial"/>
        <family val="0"/>
        <charset val="1"/>
      </rPr>
      <t xml:space="preserve">No Radiation in Back Hemisphere </t>
    </r>
    <r>
      <rPr>
        <b val="true"/>
        <sz val="10"/>
        <color theme="1"/>
        <rFont val="Arial"/>
        <family val="0"/>
        <charset val="1"/>
      </rPr>
      <t xml:space="preserve">AND</t>
    </r>
    <r>
      <rPr>
        <sz val="10"/>
        <color theme="1"/>
        <rFont val="Arial"/>
        <family val="0"/>
        <charset val="1"/>
      </rPr>
      <t xml:space="preserve"> Null on Axis ("Tip Null")</t>
    </r>
  </si>
  <si>
    <t xml:space="preserve">Dipole</t>
  </si>
  <si>
    <t xml:space="preserve">Null On Axis; Both Poles</t>
  </si>
  <si>
    <t xml:space="preserve">Canted Turnstyle</t>
  </si>
  <si>
    <t xml:space="preserve">(typical)</t>
  </si>
  <si>
    <t xml:space="preserve">Circular Pol. On Axis; RHCP one pole, LHCP Opposite Pole, Linear in Equatorial Plane</t>
  </si>
  <si>
    <t xml:space="preserve">Quadrifilar Helix</t>
  </si>
  <si>
    <r>
      <rPr>
        <sz val="10"/>
        <color theme="1"/>
        <rFont val="Arial"/>
        <family val="0"/>
        <charset val="1"/>
      </rPr>
      <t xml:space="preserve">Loop (</t>
    </r>
    <r>
      <rPr>
        <sz val="10"/>
        <color theme="1"/>
        <rFont val="Symbol"/>
        <family val="0"/>
        <charset val="1"/>
      </rPr>
      <t xml:space="preserve">l</t>
    </r>
    <r>
      <rPr>
        <sz val="10"/>
        <color theme="1"/>
        <rFont val="Arial"/>
        <family val="0"/>
        <charset val="1"/>
      </rPr>
      <t xml:space="preserve">):</t>
    </r>
  </si>
  <si>
    <t xml:space="preserve">    1/2</t>
  </si>
  <si>
    <t xml:space="preserve">No Radiation in Back Hemisphere; Excellent Axial Ratio Performance Off-Axis</t>
  </si>
  <si>
    <t xml:space="preserve">Patch </t>
  </si>
  <si>
    <t xml:space="preserve">dBi (L or C)</t>
  </si>
  <si>
    <t xml:space="preserve">Low Radiation in Back Hemisphere; High On-Axis Gain; Can be Maded Linear or Circularly Polarized</t>
  </si>
  <si>
    <t xml:space="preserve">To Be Used if a High Gain Antenna is Required on S/C.</t>
  </si>
  <si>
    <t xml:space="preserve">Dish Diameter:</t>
  </si>
  <si>
    <t xml:space="preserve">Dish Aperture Efficiency:</t>
  </si>
  <si>
    <t xml:space="preserve">Deployable Turnstyle</t>
  </si>
  <si>
    <t xml:space="preserve">dBi</t>
  </si>
  <si>
    <t xml:space="preserve">These are just estimations for now but should be relatively close to our deployable turnstyle antenna.</t>
  </si>
  <si>
    <t xml:space="preserve">UPLINK</t>
  </si>
  <si>
    <t xml:space="preserve">DOWNLINK</t>
  </si>
  <si>
    <t xml:space="preserve">     Downlink Antenna System:</t>
  </si>
  <si>
    <t xml:space="preserve">Spacecraft:</t>
  </si>
  <si>
    <t xml:space="preserve"> Downlink</t>
  </si>
  <si>
    <t xml:space="preserve">Operator Selects Option 1 to 5 Here</t>
  </si>
  <si>
    <t xml:space="preserve">No Radiation in Back Hemisphere &amp; Null on Axis ("Tip Null")</t>
  </si>
  <si>
    <t xml:space="preserve">No Radiation in Back Hemisphere</t>
  </si>
  <si>
    <t xml:space="preserve">Other (User Defined)</t>
  </si>
  <si>
    <t xml:space="preserve">Patch (Example)</t>
  </si>
  <si>
    <t xml:space="preserve">      Antenna Length:</t>
  </si>
  <si>
    <t xml:space="preserve">     Antenna Length:</t>
  </si>
  <si>
    <t xml:space="preserve">Look-Up Table</t>
  </si>
  <si>
    <t xml:space="preserve">Optimum Yagi Antenna Performance:</t>
  </si>
  <si>
    <t xml:space="preserve">Boom</t>
  </si>
  <si>
    <t xml:space="preserve">Optimum</t>
  </si>
  <si>
    <t xml:space="preserve">Maximum</t>
  </si>
  <si>
    <r>
      <rPr>
        <sz val="10"/>
        <color theme="1"/>
        <rFont val="Arial"/>
        <family val="0"/>
        <charset val="1"/>
      </rPr>
      <t xml:space="preserve">Length (</t>
    </r>
    <r>
      <rPr>
        <sz val="10"/>
        <color theme="1"/>
        <rFont val="Symbol"/>
        <family val="0"/>
        <charset val="1"/>
      </rPr>
      <t xml:space="preserve">l</t>
    </r>
    <r>
      <rPr>
        <sz val="10"/>
        <color theme="1"/>
        <rFont val="Arial"/>
        <family val="0"/>
        <charset val="1"/>
      </rPr>
      <t xml:space="preserve">):</t>
    </r>
  </si>
  <si>
    <t xml:space="preserve">No. Elements (n):</t>
  </si>
  <si>
    <t xml:space="preserve">Gain (dBi):</t>
  </si>
  <si>
    <r>
      <rPr>
        <sz val="10"/>
        <color theme="1"/>
        <rFont val="Arial"/>
        <family val="0"/>
        <charset val="1"/>
      </rPr>
      <t xml:space="preserve">         Data Taken from </t>
    </r>
    <r>
      <rPr>
        <i val="true"/>
        <sz val="10"/>
        <color theme="1"/>
        <rFont val="Arial"/>
        <family val="0"/>
        <charset val="1"/>
      </rPr>
      <t xml:space="preserve">ARRL Antenna Book</t>
    </r>
  </si>
  <si>
    <t xml:space="preserve">System Antenna Pointing Losses:</t>
  </si>
  <si>
    <t xml:space="preserve">Spacecraft</t>
  </si>
  <si>
    <t xml:space="preserve">Antenna</t>
  </si>
  <si>
    <t xml:space="preserve">[Types 1 thru 5]</t>
  </si>
  <si>
    <t xml:space="preserve">Ground Station</t>
  </si>
  <si>
    <t xml:space="preserve">[Type 1,2,3 or 4]</t>
  </si>
  <si>
    <t xml:space="preserve">Figure 1</t>
  </si>
  <si>
    <t xml:space="preserve">Figure 2</t>
  </si>
  <si>
    <t xml:space="preserve">Antenna Loss Determination:</t>
  </si>
  <si>
    <t xml:space="preserve">(See Also Figure 8)</t>
  </si>
  <si>
    <t xml:space="preserve">This Option was Selected on the Previous Page</t>
  </si>
  <si>
    <r>
      <rPr>
        <b val="true"/>
        <sz val="10"/>
        <color theme="1"/>
        <rFont val="Arial"/>
        <family val="0"/>
        <charset val="1"/>
      </rPr>
      <t xml:space="preserve">Esimated Pointing Error (θ</t>
    </r>
    <r>
      <rPr>
        <b val="true"/>
        <sz val="8"/>
        <color theme="1"/>
        <rFont val="Arial"/>
        <family val="0"/>
        <charset val="1"/>
      </rPr>
      <t xml:space="preserve">1)</t>
    </r>
    <r>
      <rPr>
        <b val="true"/>
        <sz val="10"/>
        <color theme="1"/>
        <rFont val="Arial"/>
        <family val="0"/>
        <charset val="1"/>
      </rPr>
      <t xml:space="preserve">:</t>
    </r>
  </si>
  <si>
    <t xml:space="preserve">Approx. Antenna Pointing Loss:</t>
  </si>
  <si>
    <t xml:space="preserve">    Antenna Roll-Off</t>
  </si>
  <si>
    <t xml:space="preserve">Antenna  </t>
  </si>
  <si>
    <t xml:space="preserve">Calculation Formulas</t>
  </si>
  <si>
    <t xml:space="preserve">Coordinate System:</t>
  </si>
  <si>
    <t xml:space="preserve">See Figures 1and 3</t>
  </si>
  <si>
    <t xml:space="preserve">monopole</t>
  </si>
  <si>
    <t xml:space="preserve">See Figures 1and 4</t>
  </si>
  <si>
    <t xml:space="preserve">dipole</t>
  </si>
  <si>
    <t xml:space="preserve">See Figures 1, 5 &amp; 8</t>
  </si>
  <si>
    <t xml:space="preserve">canted turnstyle</t>
  </si>
  <si>
    <t xml:space="preserve">See Figures 1and 6</t>
  </si>
  <si>
    <t xml:space="preserve">quadrifilar helix</t>
  </si>
  <si>
    <t xml:space="preserve">dBi (C or L)</t>
  </si>
  <si>
    <t xml:space="preserve">See Figures 1and 7</t>
  </si>
  <si>
    <t xml:space="preserve">patch antenna</t>
  </si>
  <si>
    <t xml:space="preserve">[For S/C Hi Gain Option]</t>
  </si>
  <si>
    <t xml:space="preserve">Dish Boresight Aligned with +Z Axis</t>
  </si>
  <si>
    <t xml:space="preserve">parabolic reflector</t>
  </si>
  <si>
    <t xml:space="preserve">[Isotropic Radiator]</t>
  </si>
  <si>
    <t xml:space="preserve">Link Model Operator to Provide</t>
  </si>
  <si>
    <t xml:space="preserve">user defined</t>
  </si>
  <si>
    <t xml:space="preserve">Angle between S/C antenna symmetry axis</t>
  </si>
  <si>
    <t xml:space="preserve">      Approx. Antenna</t>
  </si>
  <si>
    <r>
      <rPr>
        <b val="true"/>
        <sz val="10"/>
        <color theme="1"/>
        <rFont val="Arial"/>
        <family val="0"/>
        <charset val="1"/>
      </rPr>
      <t xml:space="preserve">and vector from S/C to gnd. station (θ</t>
    </r>
    <r>
      <rPr>
        <b val="true"/>
        <sz val="8"/>
        <color theme="1"/>
        <rFont val="Arial"/>
        <family val="0"/>
        <charset val="1"/>
      </rPr>
      <t xml:space="preserve">2</t>
    </r>
    <r>
      <rPr>
        <b val="true"/>
        <sz val="10"/>
        <color theme="1"/>
        <rFont val="Arial"/>
        <family val="0"/>
        <charset val="1"/>
      </rPr>
      <t xml:space="preserve">):</t>
    </r>
  </si>
  <si>
    <t xml:space="preserve">      Pointing Loss:</t>
  </si>
  <si>
    <t xml:space="preserve">Downlink Antenna System:</t>
  </si>
  <si>
    <t xml:space="preserve">Downlink</t>
  </si>
  <si>
    <t xml:space="preserve">See Figures 2 and 3</t>
  </si>
  <si>
    <t xml:space="preserve">See Figures 2 and 4</t>
  </si>
  <si>
    <t xml:space="preserve">See Figures 2, 5 &amp; 8</t>
  </si>
  <si>
    <t xml:space="preserve">See Figures 2 and 6</t>
  </si>
  <si>
    <t xml:space="preserve">See Figures 2 and 7</t>
  </si>
  <si>
    <r>
      <rPr>
        <b val="true"/>
        <sz val="10"/>
        <color theme="1"/>
        <rFont val="Arial"/>
        <family val="0"/>
        <charset val="1"/>
      </rPr>
      <t xml:space="preserve">and vector from S/C to gnd. station (θ</t>
    </r>
    <r>
      <rPr>
        <b val="true"/>
        <sz val="8"/>
        <color theme="1"/>
        <rFont val="Arial"/>
        <family val="0"/>
        <charset val="1"/>
      </rPr>
      <t xml:space="preserve">3</t>
    </r>
    <r>
      <rPr>
        <b val="true"/>
        <sz val="10"/>
        <color theme="1"/>
        <rFont val="Arial"/>
        <family val="0"/>
        <charset val="1"/>
      </rPr>
      <t xml:space="preserve">):</t>
    </r>
  </si>
  <si>
    <t xml:space="preserve">This Option was Selected on the  Previous Page</t>
  </si>
  <si>
    <r>
      <rPr>
        <b val="true"/>
        <sz val="10"/>
        <color theme="1"/>
        <rFont val="Arial"/>
        <family val="0"/>
        <charset val="1"/>
      </rPr>
      <t xml:space="preserve">Esimated Pointing Error (θ</t>
    </r>
    <r>
      <rPr>
        <b val="true"/>
        <sz val="8"/>
        <color theme="1"/>
        <rFont val="Arial"/>
        <family val="0"/>
        <charset val="1"/>
      </rPr>
      <t xml:space="preserve">4)</t>
    </r>
    <r>
      <rPr>
        <b val="true"/>
        <sz val="10"/>
        <color theme="1"/>
        <rFont val="Arial"/>
        <family val="0"/>
        <charset val="1"/>
      </rPr>
      <t xml:space="preserve">:</t>
    </r>
  </si>
  <si>
    <t xml:space="preserve">System Polarization Loss and Cross Polarization Isolation:</t>
  </si>
  <si>
    <t xml:space="preserve">Power Emitted (or Received) with Antenna Aligned with Major Axis</t>
  </si>
  <si>
    <t xml:space="preserve">         Axial Ratio  ≡ 10*LOG  </t>
  </si>
  <si>
    <t xml:space="preserve">Power Emitted (or Received) with Antenna Aligned with Minor Axis</t>
  </si>
  <si>
    <t xml:space="preserve">         Circular</t>
  </si>
  <si>
    <t xml:space="preserve">         Elliptical</t>
  </si>
  <si>
    <t xml:space="preserve">           Linear</t>
  </si>
  <si>
    <t xml:space="preserve">Right Hand or Left Hand</t>
  </si>
  <si>
    <t xml:space="preserve">Vertical or Horizontal</t>
  </si>
  <si>
    <r>
      <rPr>
        <sz val="10"/>
        <color theme="1"/>
        <rFont val="Arial"/>
        <family val="0"/>
        <charset val="1"/>
      </rPr>
      <t xml:space="preserve">    Axial Ratio = </t>
    </r>
    <r>
      <rPr>
        <sz val="14"/>
        <color theme="1"/>
        <rFont val="Arial"/>
        <family val="0"/>
        <charset val="1"/>
      </rPr>
      <t xml:space="preserve">∞</t>
    </r>
  </si>
  <si>
    <t xml:space="preserve">Transmit Antenna</t>
  </si>
  <si>
    <r>
      <rPr>
        <sz val="10"/>
        <color theme="1"/>
        <rFont val="Arial"/>
        <family val="0"/>
        <charset val="1"/>
      </rPr>
      <t xml:space="preserve">      Axial Ratio = </t>
    </r>
    <r>
      <rPr>
        <sz val="14"/>
        <color theme="1"/>
        <rFont val="Arial"/>
        <family val="0"/>
        <charset val="1"/>
      </rPr>
      <t xml:space="preserve">∞</t>
    </r>
  </si>
  <si>
    <t xml:space="preserve">Receive Antenna</t>
  </si>
  <si>
    <t xml:space="preserve">  Operator selects uplink antenna characteristics in blue boxes.</t>
  </si>
  <si>
    <t xml:space="preserve">         Polarization Loss Calculation:</t>
  </si>
  <si>
    <t xml:space="preserve">Co-Polarization Loss:</t>
  </si>
  <si>
    <t xml:space="preserve">Axial ratio of Tx Antenna (Ant. #1) in dB =</t>
  </si>
  <si>
    <t xml:space="preserve">[dB]</t>
  </si>
  <si>
    <t xml:space="preserve">          Polarization Angle (θ) ≡</t>
  </si>
  <si>
    <t xml:space="preserve">Axial ratio (Ant. #1) =</t>
  </si>
  <si>
    <t xml:space="preserve">[   ]</t>
  </si>
  <si>
    <t xml:space="preserve">    Angle between transmit and receive</t>
  </si>
  <si>
    <t xml:space="preserve">Axial ratio of Rx Antenna (Ant. #2) in dB =</t>
  </si>
  <si>
    <t xml:space="preserve">                        major axes.</t>
  </si>
  <si>
    <t xml:space="preserve">Axial ratio (Ant. #2) =</t>
  </si>
  <si>
    <t xml:space="preserve">Polarization Angle θ between antennas =</t>
  </si>
  <si>
    <t xml:space="preserve">[degrees]</t>
  </si>
  <si>
    <t xml:space="preserve">[Radians]</t>
  </si>
  <si>
    <t xml:space="preserve">Polarization Loss =</t>
  </si>
  <si>
    <t xml:space="preserve">Polarization Loss = </t>
  </si>
  <si>
    <t xml:space="preserve">Polarization Loss Equation:</t>
  </si>
  <si>
    <t xml:space="preserve">Cross Polarization Coupling/Isolation:</t>
  </si>
  <si>
    <r>
      <rPr>
        <b val="true"/>
        <sz val="10"/>
        <color theme="1"/>
        <rFont val="Arial"/>
        <family val="0"/>
        <charset val="1"/>
      </rPr>
      <t xml:space="preserve">           P</t>
    </r>
    <r>
      <rPr>
        <b val="true"/>
        <sz val="8"/>
        <color theme="1"/>
        <rFont val="Arial"/>
        <family val="0"/>
        <charset val="1"/>
      </rPr>
      <t xml:space="preserve">L</t>
    </r>
  </si>
  <si>
    <t xml:space="preserve">=  0.5*(1+((1-r_1^2)*(1-r_2^2)*COS(2*θ)+4*r_1*r_2)/((1+r_1^2)*(1+r_2^2)))</t>
  </si>
  <si>
    <t xml:space="preserve">Cross Pol. Power Fraction =</t>
  </si>
  <si>
    <t xml:space="preserve">Cross Polarization Isolation = </t>
  </si>
  <si>
    <t xml:space="preserve">  </t>
  </si>
  <si>
    <t xml:space="preserve">       DOWNLINK:</t>
  </si>
  <si>
    <t xml:space="preserve">Example Calculations:</t>
  </si>
  <si>
    <t xml:space="preserve">Tx Ant.</t>
  </si>
  <si>
    <t xml:space="preserve">Rx Ant.</t>
  </si>
  <si>
    <t xml:space="preserve">θ</t>
  </si>
  <si>
    <t xml:space="preserve">Pol. Loss</t>
  </si>
  <si>
    <t xml:space="preserve">A.R. #1:</t>
  </si>
  <si>
    <t xml:space="preserve">A.R. #2:</t>
  </si>
  <si>
    <t xml:space="preserve">(degrees)</t>
  </si>
  <si>
    <t xml:space="preserve">(dB)</t>
  </si>
  <si>
    <t xml:space="preserve">Tx Circular,</t>
  </si>
  <si>
    <t xml:space="preserve">Rx Variable:</t>
  </si>
  <si>
    <t xml:space="preserve">NOTE:  A linearly polarized antenna may be </t>
  </si>
  <si>
    <t xml:space="preserve">represented by an Axial Ratio value of 30 dB.</t>
  </si>
  <si>
    <t xml:space="preserve">Tx &amp; Rx Elliptical:</t>
  </si>
  <si>
    <t xml:space="preserve">NOTE:  This is a typical small satellite case.</t>
  </si>
  <si>
    <t xml:space="preserve">Tx &amp; Rx Linear:</t>
  </si>
  <si>
    <t xml:space="preserve">Tx Elliptical,</t>
  </si>
  <si>
    <t xml:space="preserve">Rx Linear</t>
  </si>
  <si>
    <t xml:space="preserve">NOTE:     This is also a typical small satellite case.</t>
  </si>
  <si>
    <t xml:space="preserve">Atmospheric and Ionospheric Losses:</t>
  </si>
  <si>
    <t xml:space="preserve">Loss due to Atmospheric Gases:</t>
  </si>
  <si>
    <t xml:space="preserve">Link Losses Resulting from Signals Passing Through Atmospheric Gases:</t>
  </si>
  <si>
    <t xml:space="preserve">Uplink and Downlink:</t>
  </si>
  <si>
    <t xml:space="preserve">Loss:</t>
  </si>
  <si>
    <t xml:space="preserve">Losses due to atmospheric gases (Nitrogen, Oxygen, Carbon Dioxide, Hydrogen, etc.) </t>
  </si>
  <si>
    <t xml:space="preserve">are nearly independent of atmospheric temperature, mean density and relative humidity</t>
  </si>
  <si>
    <t xml:space="preserve">at frequencies below 2 GHz.  Atmospheric absorption depends strongly upon the total number of molecules </t>
  </si>
  <si>
    <t xml:space="preserve">distributed along the path between the spacecraft and the ground station.  This, in turn,</t>
  </si>
  <si>
    <t xml:space="preserve">means that the losses from or to the satellite are elevation angle dependent.  </t>
  </si>
  <si>
    <t xml:space="preserve">The table to the left is a look-up table.  The minimum elevation angle selected in the</t>
  </si>
  <si>
    <t xml:space="preserve">"Orbit" worksheet is matched against the closest fit from the table and the </t>
  </si>
  <si>
    <t xml:space="preserve">result is given at Cell [D23] and is automatically inserted into the uplink and downlink budgets.</t>
  </si>
  <si>
    <r>
      <rPr>
        <sz val="10"/>
        <color theme="1"/>
        <rFont val="Arial"/>
        <family val="0"/>
        <charset val="1"/>
      </rPr>
      <t xml:space="preserve">The data used here  is taken from "</t>
    </r>
    <r>
      <rPr>
        <i val="true"/>
        <sz val="10"/>
        <color theme="1"/>
        <rFont val="Arial"/>
        <family val="0"/>
        <charset val="1"/>
      </rPr>
      <t xml:space="preserve">Radiowave Propagation in Satellite Communications</t>
    </r>
    <r>
      <rPr>
        <sz val="10"/>
        <color theme="1"/>
        <rFont val="Arial"/>
        <family val="0"/>
        <charset val="1"/>
      </rPr>
      <t xml:space="preserve">" by</t>
    </r>
  </si>
  <si>
    <t xml:space="preserve">Louis J. Ippolito, Jr., Van Nostrand-Reinhold, 1986, pp. 33-34, Tables 3-3a-c.</t>
  </si>
  <si>
    <t xml:space="preserve">One additional interpolated value is added at 2.5° elevation angle.  This was not taken</t>
  </si>
  <si>
    <t xml:space="preserve">from Ippolito's text.</t>
  </si>
  <si>
    <t xml:space="preserve">Min. Elev. Angle:</t>
  </si>
  <si>
    <t xml:space="preserve">If you are using uplink or downlink frequencies above 2 GHz, refer to the referenced text given above</t>
  </si>
  <si>
    <t xml:space="preserve">Loss Determined:</t>
  </si>
  <si>
    <t xml:space="preserve">to determine the appropriate atmosperic losses.  At millimeter wave frequencies the losses can be much higher.</t>
  </si>
  <si>
    <t xml:space="preserve">Link Losses Resulting from Signals Passing Through the Ionosphere:</t>
  </si>
  <si>
    <t xml:space="preserve">Loss due to Ionosphere:</t>
  </si>
  <si>
    <t xml:space="preserve">Radio waves passing through the ionosphere at VHF, UHF and Microwave frequencies are influenced  </t>
  </si>
  <si>
    <t xml:space="preserve">   Loss Determined:</t>
  </si>
  <si>
    <t xml:space="preserve">far less by this layer of ionized particles than at frequencies in the HF, MF and LF portions of the </t>
  </si>
  <si>
    <t xml:space="preserve">radio spectrum.  While there is certainly some correlation between the elevation angle to a </t>
  </si>
  <si>
    <t xml:space="preserve">satellite and the signal absorption or scintillation experienced, this dependency is nearly masked </t>
  </si>
  <si>
    <t xml:space="preserve">out by the time variability of effects.  </t>
  </si>
  <si>
    <t xml:space="preserve">There is, however, a frequency depencency that can be quantified, on average.  As transmitter frequencies   </t>
  </si>
  <si>
    <t xml:space="preserve">go below 100 MHz there are times when the attenuation can increase to as much as tens of dB,</t>
  </si>
  <si>
    <t xml:space="preserve">especially at low elevation angles.  The ionosphere certainly limits the lowest frequency at which </t>
  </si>
  <si>
    <t xml:space="preserve">satellite communications is feasible.  Below 20 MHz, during solar maximum space signals are usually</t>
  </si>
  <si>
    <t xml:space="preserve">Link Model Operator Estimate Inserted Here.</t>
  </si>
  <si>
    <r>
      <rPr>
        <sz val="10"/>
        <color theme="1"/>
        <rFont val="Arial"/>
        <family val="0"/>
        <charset val="1"/>
      </rPr>
      <t xml:space="preserve">fully absorbed or reflected by the layers of the ionosphere (D, E, F</t>
    </r>
    <r>
      <rPr>
        <sz val="8"/>
        <color theme="1"/>
        <rFont val="Arial"/>
        <family val="0"/>
        <charset val="1"/>
      </rPr>
      <t xml:space="preserve">1</t>
    </r>
    <r>
      <rPr>
        <sz val="10"/>
        <color theme="1"/>
        <rFont val="Arial"/>
        <family val="0"/>
        <charset val="1"/>
      </rPr>
      <t xml:space="preserve"> and F</t>
    </r>
    <r>
      <rPr>
        <sz val="8"/>
        <color theme="1"/>
        <rFont val="Arial"/>
        <family val="0"/>
        <charset val="1"/>
      </rPr>
      <t xml:space="preserve">2</t>
    </r>
    <r>
      <rPr>
        <sz val="10"/>
        <color theme="1"/>
        <rFont val="Arial"/>
        <family val="0"/>
        <charset val="1"/>
      </rPr>
      <t xml:space="preserve">).  </t>
    </r>
  </si>
  <si>
    <t xml:space="preserve">The values provided in this table are approximate mean values for low earth station elevation angles.</t>
  </si>
  <si>
    <t xml:space="preserve">It is proposed that these values can be conservatively used in satellite link analyses.  The higher order </t>
  </si>
  <si>
    <t xml:space="preserve">    Loss Determined:</t>
  </si>
  <si>
    <t xml:space="preserve">statistics of these loss parameters would be interesting to review, however, this effort is more</t>
  </si>
  <si>
    <t xml:space="preserve">than is necessary for the development of an effective link budget.</t>
  </si>
  <si>
    <t xml:space="preserve">The losses determined here for the uplink and downlink are based on the operator-selected frequency</t>
  </si>
  <si>
    <t xml:space="preserve">choice made in the "Orbit" worksheet.  If the "User Defined" option is selected by the   </t>
  </si>
  <si>
    <t xml:space="preserve">link model operator, then the operator must estimate the appropriate ionospheric loss value and manually</t>
  </si>
  <si>
    <t xml:space="preserve">insert it in either Cell [D34] or Cell [D47] accordingly.</t>
  </si>
  <si>
    <t xml:space="preserve">Proceed to the "Modulation-Demodulation Method" W/S.</t>
  </si>
  <si>
    <t xml:space="preserve">If the "Link Model Operator" has selected a</t>
  </si>
  <si>
    <t xml:space="preserve">user option for the frequency, then an </t>
  </si>
  <si>
    <t xml:space="preserve">estimate of the ionospheric losses must be</t>
  </si>
  <si>
    <t xml:space="preserve">provided by the operator.</t>
  </si>
  <si>
    <t xml:space="preserve">Modulation/Demodulation Method:</t>
  </si>
  <si>
    <t xml:space="preserve">           NOTE:</t>
  </si>
  <si>
    <t xml:space="preserve">Select Here:</t>
  </si>
  <si>
    <t xml:space="preserve">Choice Made:</t>
  </si>
  <si>
    <t xml:space="preserve">Result:</t>
  </si>
  <si>
    <t xml:space="preserve">         UPLINK:</t>
  </si>
  <si>
    <t xml:space="preserve">Modulation, Coding &amp; BER Option:</t>
  </si>
  <si>
    <r>
      <rPr>
        <b val="true"/>
        <sz val="10"/>
        <color theme="1"/>
        <rFont val="Arial"/>
        <family val="0"/>
        <charset val="1"/>
      </rPr>
      <t xml:space="preserve">E</t>
    </r>
    <r>
      <rPr>
        <b val="true"/>
        <sz val="8"/>
        <color theme="1"/>
        <rFont val="Arial"/>
        <family val="0"/>
        <charset val="1"/>
      </rPr>
      <t xml:space="preserve">b</t>
    </r>
    <r>
      <rPr>
        <b val="true"/>
        <sz val="10"/>
        <color theme="1"/>
        <rFont val="Arial"/>
        <family val="0"/>
        <charset val="1"/>
      </rPr>
      <t xml:space="preserve">/N</t>
    </r>
    <r>
      <rPr>
        <b val="true"/>
        <sz val="8"/>
        <color theme="1"/>
        <rFont val="Arial"/>
        <family val="0"/>
        <charset val="1"/>
      </rPr>
      <t xml:space="preserve">o</t>
    </r>
    <r>
      <rPr>
        <b val="true"/>
        <sz val="10"/>
        <color theme="1"/>
        <rFont val="Arial"/>
        <family val="0"/>
        <charset val="1"/>
      </rPr>
      <t xml:space="preserve">:</t>
    </r>
  </si>
  <si>
    <t xml:space="preserve">  Command Link</t>
  </si>
  <si>
    <t xml:space="preserve">Threshold</t>
  </si>
  <si>
    <t xml:space="preserve">Modulation Type:</t>
  </si>
  <si>
    <t xml:space="preserve">Coding:</t>
  </si>
  <si>
    <t xml:space="preserve">Bit Error Rate Spec:</t>
  </si>
  <si>
    <t xml:space="preserve">Required Eb/No (dB):</t>
  </si>
  <si>
    <t xml:space="preserve">AFSK/FM</t>
  </si>
  <si>
    <t xml:space="preserve">None</t>
  </si>
  <si>
    <t xml:space="preserve">G3RUH FSK</t>
  </si>
  <si>
    <t xml:space="preserve">Non-Coherent FSK</t>
  </si>
  <si>
    <t xml:space="preserve">Coherent FSK</t>
  </si>
  <si>
    <t xml:space="preserve">GMSK</t>
  </si>
  <si>
    <t xml:space="preserve">BPSK</t>
  </si>
  <si>
    <t xml:space="preserve">QPSK</t>
  </si>
  <si>
    <t xml:space="preserve">Convolutional R=1/2, K=7</t>
  </si>
  <si>
    <t xml:space="preserve">Conv. R=1/2,K=7 &amp; R.S. (255,223)</t>
  </si>
  <si>
    <t xml:space="preserve">Conv. R=1/6,K=15 &amp; R.S. (255,223)</t>
  </si>
  <si>
    <t xml:space="preserve">LoRa</t>
  </si>
  <si>
    <t xml:space="preserve">Spread Spectrum (SF 7, 500 kHz, CR 4:5)</t>
  </si>
  <si>
    <t xml:space="preserve">Operator Estimate of Implementation Loss</t>
  </si>
  <si>
    <t xml:space="preserve">Implementation Loss Estimate:</t>
  </si>
  <si>
    <t xml:space="preserve">     DOWNLINK:</t>
  </si>
  <si>
    <t xml:space="preserve">  Telemetry Link:</t>
  </si>
  <si>
    <t xml:space="preserve">Turbo Code (Parallel w. Interleaver)</t>
  </si>
  <si>
    <t xml:space="preserve">Uplink Command Budget:</t>
  </si>
  <si>
    <t xml:space="preserve">Units:</t>
  </si>
  <si>
    <t xml:space="preserve">Comments:</t>
  </si>
  <si>
    <t xml:space="preserve">Ground Station:</t>
  </si>
  <si>
    <t xml:space="preserve">Ground Station Transmitter Power Output:</t>
  </si>
  <si>
    <t xml:space="preserve">watts</t>
  </si>
  <si>
    <t xml:space="preserve">This value is transferred from "Transmitters" W/S, Cell [E15].</t>
  </si>
  <si>
    <t xml:space="preserve">NOTE:  Click " + " above column J to restore comment column.</t>
  </si>
  <si>
    <t xml:space="preserve">In dBW:</t>
  </si>
  <si>
    <t xml:space="preserve">Transmitter power expressed in dB above one watt</t>
  </si>
  <si>
    <t xml:space="preserve">In dBm:</t>
  </si>
  <si>
    <t xml:space="preserve">Transmitter power expressed in dB above one milliwatt</t>
  </si>
  <si>
    <t xml:space="preserve">Ground Stn. Total Transmission Line Losses:</t>
  </si>
  <si>
    <t xml:space="preserve">This value is transferred from "Transmitters" W/S, Cell [I33]</t>
  </si>
  <si>
    <t xml:space="preserve">Antenna Gain:</t>
  </si>
  <si>
    <t xml:space="preserve">This value is selected at "Antenna Gain" W/S, Cell [E11]</t>
  </si>
  <si>
    <t xml:space="preserve">Ground Station EIRP:</t>
  </si>
  <si>
    <t xml:space="preserve">Ground Station Effective Isotropic Radiated Power (EIRP) [EIRP=Pt x Ltl x Ga]</t>
  </si>
  <si>
    <t xml:space="preserve">Uplink Path:</t>
  </si>
  <si>
    <t xml:space="preserve">Ground Station Antenna Pointing Loss:</t>
  </si>
  <si>
    <t xml:space="preserve">This value is calculated in the "Antenna Pointing Losses" W/S, and transferred from Cell [K43]</t>
  </si>
  <si>
    <t xml:space="preserve">Gnd-to-S/C Antenna Polarization Losses:</t>
  </si>
  <si>
    <t xml:space="preserve">This value is calculated in the "Polarization Loss" W/S and is transferred from Cell [F40].</t>
  </si>
  <si>
    <r>
      <rPr>
        <sz val="10"/>
        <color theme="1"/>
        <rFont val="Arial"/>
        <family val="0"/>
        <charset val="1"/>
      </rPr>
      <t xml:space="preserve">Lp = 22 + 20LOG(D/</t>
    </r>
    <r>
      <rPr>
        <sz val="10"/>
        <color theme="1"/>
        <rFont val="Symbol"/>
        <family val="0"/>
        <charset val="1"/>
      </rPr>
      <t xml:space="preserve">l</t>
    </r>
    <r>
      <rPr>
        <sz val="10"/>
        <color theme="1"/>
        <rFont val="Arial"/>
        <family val="0"/>
        <charset val="1"/>
      </rPr>
      <t xml:space="preserve">); Transferred from "Frequency" W/S</t>
    </r>
  </si>
  <si>
    <t xml:space="preserve">Atmospheric Losses:</t>
  </si>
  <si>
    <t xml:space="preserve">This value is transferred from "Atmos. &amp; Ionos. Losses" W/S, Cell [D23]</t>
  </si>
  <si>
    <t xml:space="preserve">Ionospheric Losses:</t>
  </si>
  <si>
    <t xml:space="preserve">This value is transferred from "Atmos. &amp; Ionos. Losses" W/S, Cell [D47:D50]</t>
  </si>
  <si>
    <t xml:space="preserve">Rain Losses:</t>
  </si>
  <si>
    <t xml:space="preserve">This value should be estimated by the link model operator and place into Cell [B18]</t>
  </si>
  <si>
    <t xml:space="preserve">Isotropic Signal Level at Spacecraft:</t>
  </si>
  <si>
    <t xml:space="preserve">This is the signal level received in space in the vacinity of the spacecraft using an omnidirectional antenna.</t>
  </si>
  <si>
    <t xml:space="preserve">Spacecraft (Eb/No Method):</t>
  </si>
  <si>
    <t xml:space="preserve">                                          ------- Eb/No Method -------</t>
  </si>
  <si>
    <t xml:space="preserve">Spacecraft Antenna Pointing Loss:</t>
  </si>
  <si>
    <t xml:space="preserve">This value is transferred from "Antenna Pointing Losses" W/S, Cell [K63]</t>
  </si>
  <si>
    <t xml:space="preserve">Spacecraft Antenna Gain:</t>
  </si>
  <si>
    <t xml:space="preserve">This value is selected at "Antenna Gain" W/S, Cell [E24]</t>
  </si>
  <si>
    <t xml:space="preserve">Spacecraft Total Transmission Line Losses:</t>
  </si>
  <si>
    <t xml:space="preserve">This value is transferred from the "Receivers" W/S, Cell [J52] </t>
  </si>
  <si>
    <t xml:space="preserve">Spacecraft Effective Noise Temperature:</t>
  </si>
  <si>
    <t xml:space="preserve">This value is calculated in the "Receivers" W/S and Transferred from Cell [J67]</t>
  </si>
  <si>
    <t xml:space="preserve">Spacecraft Figure of Merrit (G/T):</t>
  </si>
  <si>
    <t xml:space="preserve">dB/K</t>
  </si>
  <si>
    <r>
      <rPr>
        <sz val="10"/>
        <color theme="1"/>
        <rFont val="Arial"/>
        <family val="0"/>
        <charset val="1"/>
      </rPr>
      <t xml:space="preserve">G/T = Ga-L</t>
    </r>
    <r>
      <rPr>
        <sz val="8"/>
        <color theme="1"/>
        <rFont val="Arial"/>
        <family val="0"/>
        <charset val="1"/>
      </rPr>
      <t xml:space="preserve">tl</t>
    </r>
    <r>
      <rPr>
        <sz val="10"/>
        <color theme="1"/>
        <rFont val="Arial"/>
        <family val="0"/>
        <charset val="1"/>
      </rPr>
      <t xml:space="preserve">-10log(T</t>
    </r>
    <r>
      <rPr>
        <sz val="8"/>
        <color theme="1"/>
        <rFont val="Arial"/>
        <family val="0"/>
        <charset val="1"/>
      </rPr>
      <t xml:space="preserve">s</t>
    </r>
    <r>
      <rPr>
        <sz val="10"/>
        <color theme="1"/>
        <rFont val="Arial"/>
        <family val="0"/>
        <charset val="1"/>
      </rPr>
      <t xml:space="preserve">).  This is the uptimate measure of the receiver's performance.</t>
    </r>
  </si>
  <si>
    <t xml:space="preserve">S/C Signal-to-Noise Power Density (S/No):</t>
  </si>
  <si>
    <t xml:space="preserve">dBHz</t>
  </si>
  <si>
    <t xml:space="preserve">Boltzman's Constant:</t>
  </si>
  <si>
    <t xml:space="preserve">dBW/K/Hz</t>
  </si>
  <si>
    <t xml:space="preserve">System Desired Data Rate:</t>
  </si>
  <si>
    <t xml:space="preserve">bps</t>
  </si>
  <si>
    <r>
      <rPr>
        <sz val="10"/>
        <color theme="1"/>
        <rFont val="Arial"/>
        <family val="0"/>
        <charset val="1"/>
      </rPr>
      <t xml:space="preserve">Operator selects this value. </t>
    </r>
    <r>
      <rPr>
        <sz val="10"/>
        <color rgb="FFDD0806"/>
        <rFont val="Arial"/>
        <family val="0"/>
        <charset val="1"/>
      </rPr>
      <t xml:space="preserve">Be Careful!</t>
    </r>
    <r>
      <rPr>
        <sz val="10"/>
        <color theme="1"/>
        <rFont val="Arial"/>
        <family val="0"/>
        <charset val="1"/>
      </rPr>
      <t xml:space="preserve">  This is the data rate, not the symbol rate.</t>
    </r>
  </si>
  <si>
    <t xml:space="preserve">In dBHz:</t>
  </si>
  <si>
    <t xml:space="preserve">This is simply = 10log(R); R= data rate</t>
  </si>
  <si>
    <t xml:space="preserve">Command System Eb/No:</t>
  </si>
  <si>
    <t xml:space="preserve">Demodulation Method Seleted:</t>
  </si>
  <si>
    <t xml:space="preserve">Values selected in "Modulation-Demodulation W/S, Cell [E3]</t>
  </si>
  <si>
    <t xml:space="preserve">Forward Error Correction Coding Used:</t>
  </si>
  <si>
    <t xml:space="preserve">Value selected in "Modulation-Demodulation" W/S, also Cell [E3]</t>
  </si>
  <si>
    <t xml:space="preserve">System Allowed or Specified Bit-Error-Rate:</t>
  </si>
  <si>
    <t xml:space="preserve">The selected value is transferred from the "Modulation-Demodulation W/S, Cells [E6:E23]</t>
  </si>
  <si>
    <t xml:space="preserve">Demodulator Implementation Loss:</t>
  </si>
  <si>
    <t xml:space="preserve">This value is transferred from the "Modulation-Demodulation W/S, Cell[E25]</t>
  </si>
  <si>
    <t xml:space="preserve">Telemetry System Required Eb/No:</t>
  </si>
  <si>
    <t xml:space="preserve">The selected value is transferred from the "Modulation-Demodulation W/S, Cells [F6:F23]</t>
  </si>
  <si>
    <t xml:space="preserve">Eb/No Threshold:</t>
  </si>
  <si>
    <t xml:space="preserve">This is the result of the "Modulation-Demodulation" W/S and is transferred from Cell [H32]</t>
  </si>
  <si>
    <t xml:space="preserve">System Link Margin:</t>
  </si>
  <si>
    <t xml:space="preserve">Spacecraft Alternative Signal Analysis Method (SNR Computation):</t>
  </si>
  <si>
    <t xml:space="preserve"> NOTE:</t>
  </si>
  <si>
    <r>
      <rPr>
        <i val="true"/>
        <sz val="10"/>
        <color rgb="FFDD0806"/>
        <rFont val="Arial"/>
        <family val="0"/>
        <charset val="1"/>
      </rPr>
      <t xml:space="preserve">                               </t>
    </r>
    <r>
      <rPr>
        <b val="true"/>
        <i val="true"/>
        <sz val="10"/>
        <color rgb="FFDD0806"/>
        <rFont val="Arial"/>
        <family val="0"/>
        <charset val="1"/>
      </rPr>
      <t xml:space="preserve"> ---------- SNR Method ------------</t>
    </r>
  </si>
  <si>
    <r>
      <rPr>
        <sz val="10"/>
        <color theme="1"/>
        <rFont val="Arial"/>
        <family val="0"/>
        <charset val="1"/>
      </rPr>
      <t xml:space="preserve">G/T = Ga-L</t>
    </r>
    <r>
      <rPr>
        <sz val="8"/>
        <color theme="1"/>
        <rFont val="Arial"/>
        <family val="0"/>
        <charset val="1"/>
      </rPr>
      <t xml:space="preserve">tl</t>
    </r>
    <r>
      <rPr>
        <sz val="10"/>
        <color theme="1"/>
        <rFont val="Arial"/>
        <family val="0"/>
        <charset val="1"/>
      </rPr>
      <t xml:space="preserve">-10log(T</t>
    </r>
    <r>
      <rPr>
        <sz val="8"/>
        <color theme="1"/>
        <rFont val="Arial"/>
        <family val="0"/>
        <charset val="1"/>
      </rPr>
      <t xml:space="preserve">s</t>
    </r>
    <r>
      <rPr>
        <sz val="10"/>
        <color theme="1"/>
        <rFont val="Arial"/>
        <family val="0"/>
        <charset val="1"/>
      </rPr>
      <t xml:space="preserve">). This is the ultimate measure of the receiver's performance.</t>
    </r>
  </si>
  <si>
    <t xml:space="preserve">Signal Power at Spacecraft LNA Input:</t>
  </si>
  <si>
    <r>
      <rPr>
        <sz val="10"/>
        <color theme="1"/>
        <rFont val="Arial"/>
        <family val="0"/>
        <charset val="1"/>
      </rPr>
      <t xml:space="preserve">Ps = P</t>
    </r>
    <r>
      <rPr>
        <sz val="8"/>
        <color theme="1"/>
        <rFont val="Arial"/>
        <family val="0"/>
        <charset val="1"/>
      </rPr>
      <t xml:space="preserve">iso</t>
    </r>
    <r>
      <rPr>
        <sz val="10"/>
        <color theme="1"/>
        <rFont val="Arial"/>
        <family val="0"/>
        <charset val="1"/>
      </rPr>
      <t xml:space="preserve">+G</t>
    </r>
    <r>
      <rPr>
        <sz val="8"/>
        <color theme="1"/>
        <rFont val="Arial"/>
        <family val="0"/>
        <charset val="1"/>
      </rPr>
      <t xml:space="preserve">a</t>
    </r>
    <r>
      <rPr>
        <sz val="10"/>
        <color theme="1"/>
        <rFont val="Arial"/>
        <family val="0"/>
        <charset val="1"/>
      </rPr>
      <t xml:space="preserve">-L</t>
    </r>
    <r>
      <rPr>
        <sz val="8"/>
        <color theme="1"/>
        <rFont val="Arial"/>
        <family val="0"/>
        <charset val="1"/>
      </rPr>
      <t xml:space="preserve">pl</t>
    </r>
    <r>
      <rPr>
        <sz val="10"/>
        <color theme="1"/>
        <rFont val="Arial"/>
        <family val="0"/>
        <charset val="1"/>
      </rPr>
      <t xml:space="preserve">-L</t>
    </r>
    <r>
      <rPr>
        <sz val="8"/>
        <color theme="1"/>
        <rFont val="Arial"/>
        <family val="0"/>
        <charset val="1"/>
      </rPr>
      <t xml:space="preserve">tl;  </t>
    </r>
    <r>
      <rPr>
        <sz val="10"/>
        <color theme="1"/>
        <rFont val="Arial"/>
        <family val="0"/>
        <charset val="1"/>
      </rPr>
      <t xml:space="preserve">This is the signal power that has arrived at the ground station receiver.</t>
    </r>
  </si>
  <si>
    <t xml:space="preserve">Spacecraft Receiver Bandwidth:</t>
  </si>
  <si>
    <t xml:space="preserve">Hz</t>
  </si>
  <si>
    <t xml:space="preserve">Signal Spectrum Must Pass Through This Data Filter.</t>
  </si>
  <si>
    <t xml:space="preserve">Spacecraft Receiver Noise Power (Pn = kTB)</t>
  </si>
  <si>
    <t xml:space="preserve">Pn = K + 10log(Ts) + 10log(B).  This is the total noise power arriving at the ground station receiver.</t>
  </si>
  <si>
    <t xml:space="preserve">Signal-to-Noise Power Ratio at G.S. Rcvr:</t>
  </si>
  <si>
    <t xml:space="preserve">Ps/Pn = Ps(in dBW) - Pn(in dBW)</t>
  </si>
  <si>
    <t xml:space="preserve">Analog or Digital System Required S/N:</t>
  </si>
  <si>
    <t xml:space="preserve">If system is digital, use values from "Modulation-Demodulation" W/S.  If analog, use appropriate value from text book.</t>
  </si>
  <si>
    <t xml:space="preserve">System Link Margin</t>
  </si>
  <si>
    <t xml:space="preserve">Downlink Telemetry Budget:</t>
  </si>
  <si>
    <t xml:space="preserve">Spacecraft Transmitter Power Output:</t>
  </si>
  <si>
    <t xml:space="preserve">This value is transferred from "Transmitters" W/S, Cell [E50]</t>
  </si>
  <si>
    <t xml:space="preserve">NOTE:  Click " + " above column K to restore comment column.</t>
  </si>
  <si>
    <t xml:space="preserve">This value is transferred from "Transmitters" W/S, Cell [I68]</t>
  </si>
  <si>
    <t xml:space="preserve">This value is selected at "Antenna Gain" W/S, Cell [E41]</t>
  </si>
  <si>
    <t xml:space="preserve">Spacecraft EIRP:</t>
  </si>
  <si>
    <t xml:space="preserve">Spacecraft Effective Isotropic Radiated Power (EIRP) [EIRP=Pt x Ltl x Ga]</t>
  </si>
  <si>
    <t xml:space="preserve">Downlink Path:</t>
  </si>
  <si>
    <t xml:space="preserve">This value is calculated in the "Antenna Pointing Losses" W/S, and trasferred from Cell [K85]</t>
  </si>
  <si>
    <t xml:space="preserve">S/C-to-Ground Antenna Polarization Loss:</t>
  </si>
  <si>
    <t xml:space="preserve">This value is calculated in the "Polarization Loss" W/S and is transferred from Cell [F60].</t>
  </si>
  <si>
    <t xml:space="preserve">Atmospheric Loss:</t>
  </si>
  <si>
    <t xml:space="preserve">Ionospheric Loss:</t>
  </si>
  <si>
    <t xml:space="preserve">Rain Loss:</t>
  </si>
  <si>
    <t xml:space="preserve">Isotropic Signal Level at Ground Station:</t>
  </si>
  <si>
    <t xml:space="preserve">This is the signal level received at the Earth in the vacinity of the ground station using an omnidirectional antenna.</t>
  </si>
  <si>
    <t xml:space="preserve">Ground Station  (EbNo Method):</t>
  </si>
  <si>
    <t xml:space="preserve">This value is transferred from "Antenna Pointing Losses" W/S, Cell [K102]</t>
  </si>
  <si>
    <t xml:space="preserve">Ground Station Antenna Gain:</t>
  </si>
  <si>
    <t xml:space="preserve">This value is selected at "Antenna Gain" W/S, Cell [E58]</t>
  </si>
  <si>
    <t xml:space="preserve">Ground Station Total Transmission Line Losses:</t>
  </si>
  <si>
    <t xml:space="preserve">This value is transferred from the "Receivers" W/S, Cell [J123] </t>
  </si>
  <si>
    <t xml:space="preserve">Ground Station Effective Noise Temperature:</t>
  </si>
  <si>
    <t xml:space="preserve">This value is calculated in the "Receivers" W/S and Transferred from Cell [J138]</t>
  </si>
  <si>
    <t xml:space="preserve">Ground Station Figure of Merrit (G/T):</t>
  </si>
  <si>
    <t xml:space="preserve">G.S. Signal-to-Noise Power Density (S/No):</t>
  </si>
  <si>
    <t xml:space="preserve">Telemetry System Eb/No for the Downlink:</t>
  </si>
  <si>
    <t xml:space="preserve">Values selected in "Modulation-Demodulation W/S, Cell [E30]</t>
  </si>
  <si>
    <t xml:space="preserve">Value selected in "Modulation-Demodulation" W/S, also Cell [E30]</t>
  </si>
  <si>
    <t xml:space="preserve">The selected value is transferred from the "Modulation-Demodulation W/S, Cells [E33:E50]</t>
  </si>
  <si>
    <t xml:space="preserve">This value is transferred from  the "Modulation-Demodulation W/S, Cell[E52]</t>
  </si>
  <si>
    <t xml:space="preserve">The selected value is transferred from the "Modulation-Demodulation W/S, Cells [F33:F50]</t>
  </si>
  <si>
    <t xml:space="preserve">Ground Station Alternative Signal Analysis Method (SNR Computation):</t>
  </si>
  <si>
    <t xml:space="preserve">Signal Power at Ground Station LNA Input:</t>
  </si>
  <si>
    <t xml:space="preserve">Ground Station Receiver Bandwidth (B):</t>
  </si>
  <si>
    <t xml:space="preserve">Signal Spectrum Must Pass Through This Data Filter</t>
  </si>
  <si>
    <t xml:space="preserve">G.S. Receiver Noise Power (Pn = kTB)</t>
  </si>
  <si>
    <t xml:space="preserve">System Performance Summary:</t>
  </si>
  <si>
    <t xml:space="preserve">      COMMAND</t>
  </si>
  <si>
    <t xml:space="preserve">        TELEMETRY</t>
  </si>
  <si>
    <r>
      <rPr>
        <b val="true"/>
        <sz val="12"/>
        <color theme="1"/>
        <rFont val="Arial"/>
        <family val="0"/>
        <charset val="1"/>
      </rPr>
      <t xml:space="preserve">  </t>
    </r>
    <r>
      <rPr>
        <b val="true"/>
        <sz val="10"/>
        <color theme="1"/>
        <rFont val="Arial"/>
        <family val="0"/>
        <charset val="1"/>
      </rPr>
      <t xml:space="preserve">UPLINK SYSTEM:</t>
    </r>
  </si>
  <si>
    <t xml:space="preserve">DOWNLINK SYSTEM:</t>
  </si>
  <si>
    <r>
      <rPr>
        <sz val="10"/>
        <color theme="1"/>
        <rFont val="Arial"/>
        <family val="0"/>
        <charset val="1"/>
      </rPr>
      <t xml:space="preserve">E</t>
    </r>
    <r>
      <rPr>
        <sz val="8"/>
        <color theme="1"/>
        <rFont val="Arial"/>
        <family val="0"/>
        <charset val="1"/>
      </rPr>
      <t xml:space="preserve">b</t>
    </r>
    <r>
      <rPr>
        <sz val="10"/>
        <color theme="1"/>
        <rFont val="Arial"/>
        <family val="0"/>
        <charset val="1"/>
      </rPr>
      <t xml:space="preserve">/No Method:</t>
    </r>
  </si>
  <si>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 </t>
    </r>
  </si>
  <si>
    <t xml:space="preserve">Link Margin:</t>
  </si>
  <si>
    <t xml:space="preserve">    R =</t>
  </si>
  <si>
    <t xml:space="preserve">   Modulation Method:</t>
  </si>
  <si>
    <t xml:space="preserve">S/N Method:</t>
  </si>
  <si>
    <t xml:space="preserve">    S/N =</t>
  </si>
  <si>
    <t xml:space="preserve">   F.E.C. Encoder Type:</t>
  </si>
  <si>
    <r>
      <rPr>
        <b val="true"/>
        <sz val="12"/>
        <color theme="1"/>
        <rFont val="Noto Sans Symbols"/>
        <family val="0"/>
        <charset val="1"/>
      </rPr>
      <t xml:space="preserve">    h</t>
    </r>
    <r>
      <rPr>
        <sz val="8"/>
        <color theme="1"/>
        <rFont val="Arial"/>
        <family val="0"/>
        <charset val="1"/>
      </rPr>
      <t xml:space="preserve">Tx </t>
    </r>
    <r>
      <rPr>
        <sz val="10"/>
        <color theme="1"/>
        <rFont val="Arial"/>
        <family val="0"/>
        <charset val="1"/>
      </rPr>
      <t xml:space="preserve">=</t>
    </r>
  </si>
  <si>
    <t xml:space="preserve"> F.E.C. Decoder Type:</t>
  </si>
  <si>
    <t xml:space="preserve">Tx DC Pwr:</t>
  </si>
  <si>
    <t xml:space="preserve">Tx Dissipation:</t>
  </si>
  <si>
    <t xml:space="preserve">  Line A</t>
  </si>
  <si>
    <t xml:space="preserve">Spec. B.E.R.:</t>
  </si>
  <si>
    <r>
      <rPr>
        <sz val="10"/>
        <color theme="1"/>
        <rFont val="Arial"/>
        <family val="0"/>
        <charset val="1"/>
      </rPr>
      <t xml:space="preserve">    P</t>
    </r>
    <r>
      <rPr>
        <sz val="8"/>
        <color theme="1"/>
        <rFont val="Arial"/>
        <family val="0"/>
        <charset val="1"/>
      </rPr>
      <t xml:space="preserve">Tx </t>
    </r>
    <r>
      <rPr>
        <sz val="10"/>
        <color theme="1"/>
        <rFont val="Arial"/>
        <family val="0"/>
        <charset val="1"/>
      </rPr>
      <t xml:space="preserve">=</t>
    </r>
  </si>
  <si>
    <t xml:space="preserve">  Demodulator Type:</t>
  </si>
  <si>
    <r>
      <rPr>
        <sz val="10"/>
        <color theme="1"/>
        <rFont val="Arial"/>
        <family val="0"/>
        <charset val="1"/>
      </rPr>
      <t xml:space="preserve">    L</t>
    </r>
    <r>
      <rPr>
        <sz val="8"/>
        <color theme="1"/>
        <rFont val="Arial"/>
        <family val="0"/>
        <charset val="1"/>
      </rPr>
      <t xml:space="preserve">A</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</si>
  <si>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TXbpf</t>
    </r>
    <r>
      <rPr>
        <sz val="10"/>
        <color theme="1"/>
        <rFont val="Arial"/>
        <family val="0"/>
        <charset val="1"/>
      </rPr>
      <t xml:space="preserve"> =</t>
    </r>
  </si>
  <si>
    <t xml:space="preserve">  Line B</t>
  </si>
  <si>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t>
    </r>
  </si>
  <si>
    <r>
      <rPr>
        <sz val="10"/>
        <color theme="1"/>
        <rFont val="Arial"/>
        <family val="0"/>
        <charset val="1"/>
      </rPr>
      <t xml:space="preserve">   B</t>
    </r>
    <r>
      <rPr>
        <sz val="8"/>
        <color theme="1"/>
        <rFont val="Arial"/>
        <family val="0"/>
        <charset val="1"/>
      </rPr>
      <t xml:space="preserve">Rbpf</t>
    </r>
    <r>
      <rPr>
        <sz val="10"/>
        <color theme="1"/>
        <rFont val="Arial"/>
        <family val="0"/>
        <charset val="1"/>
      </rPr>
      <t xml:space="preserve"> = </t>
    </r>
  </si>
  <si>
    <t xml:space="preserve">(Used Only in S/N Calc.)</t>
  </si>
  <si>
    <r>
      <rPr>
        <sz val="10"/>
        <color theme="1"/>
        <rFont val="Arial"/>
        <family val="0"/>
        <charset val="1"/>
      </rPr>
      <t xml:space="preserve">   L</t>
    </r>
    <r>
      <rPr>
        <sz val="8"/>
        <color theme="1"/>
        <rFont val="Arial"/>
        <family val="0"/>
        <charset val="1"/>
      </rPr>
      <t xml:space="preserve">Tother</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</si>
  <si>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t>
    </r>
  </si>
  <si>
    <t xml:space="preserve">  Line C</t>
  </si>
  <si>
    <r>
      <rPr>
        <sz val="10"/>
        <color theme="1"/>
        <rFont val="Arial"/>
        <family val="0"/>
        <charset val="1"/>
      </rPr>
      <t xml:space="preserve"> L</t>
    </r>
    <r>
      <rPr>
        <sz val="8"/>
        <color theme="1"/>
        <rFont val="Arial"/>
        <family val="0"/>
        <charset val="1"/>
      </rPr>
      <t xml:space="preserve">total line</t>
    </r>
    <r>
      <rPr>
        <sz val="10"/>
        <color theme="1"/>
        <rFont val="Arial"/>
        <family val="0"/>
        <charset val="1"/>
      </rPr>
      <t xml:space="preserve"> =</t>
    </r>
  </si>
  <si>
    <t xml:space="preserve">    G/T =</t>
  </si>
  <si>
    <r>
      <rPr>
        <sz val="10"/>
        <color theme="1"/>
        <rFont val="Arial"/>
        <family val="0"/>
        <charset val="1"/>
      </rPr>
      <t xml:space="preserve">    G</t>
    </r>
    <r>
      <rPr>
        <sz val="8"/>
        <color theme="1"/>
        <rFont val="Arial"/>
        <family val="0"/>
        <charset val="1"/>
      </rPr>
      <t xml:space="preserve">T</t>
    </r>
    <r>
      <rPr>
        <sz val="10"/>
        <color theme="1"/>
        <rFont val="Arial"/>
        <family val="0"/>
        <charset val="1"/>
      </rPr>
      <t xml:space="preserve"> = </t>
    </r>
  </si>
  <si>
    <r>
      <rPr>
        <sz val="10"/>
        <color theme="1"/>
        <rFont val="Arial"/>
        <family val="0"/>
        <charset val="1"/>
      </rPr>
      <t xml:space="preserve">    T</t>
    </r>
    <r>
      <rPr>
        <sz val="8"/>
        <color theme="1"/>
        <rFont val="Arial"/>
        <family val="0"/>
        <charset val="1"/>
      </rPr>
      <t xml:space="preserve">sys</t>
    </r>
    <r>
      <rPr>
        <sz val="10"/>
        <color theme="1"/>
        <rFont val="Arial"/>
        <family val="0"/>
        <charset val="1"/>
      </rPr>
      <t xml:space="preserve"> =</t>
    </r>
  </si>
  <si>
    <r>
      <rPr>
        <sz val="10"/>
        <color theme="1"/>
        <rFont val="Arial"/>
        <family val="0"/>
        <charset val="1"/>
      </rPr>
      <t xml:space="preserve">EIRP</t>
    </r>
    <r>
      <rPr>
        <sz val="8"/>
        <color theme="1"/>
        <rFont val="Arial"/>
        <family val="0"/>
        <charset val="1"/>
      </rPr>
      <t xml:space="preserve">S/C</t>
    </r>
    <r>
      <rPr>
        <sz val="10"/>
        <color theme="1"/>
        <rFont val="Arial"/>
        <family val="0"/>
        <charset val="1"/>
      </rPr>
      <t xml:space="preserve"> =</t>
    </r>
  </si>
  <si>
    <r>
      <rPr>
        <sz val="10"/>
        <color theme="1"/>
        <rFont val="Arial"/>
        <family val="0"/>
        <charset val="1"/>
      </rPr>
      <t xml:space="preserve">T</t>
    </r>
    <r>
      <rPr>
        <sz val="8"/>
        <color theme="1"/>
        <rFont val="Arial"/>
        <family val="0"/>
        <charset val="1"/>
      </rPr>
      <t xml:space="preserve">2nd Amp</t>
    </r>
    <r>
      <rPr>
        <sz val="10"/>
        <color theme="1"/>
        <rFont val="Arial"/>
        <family val="0"/>
        <charset val="1"/>
      </rPr>
      <t xml:space="preserve"> =</t>
    </r>
  </si>
  <si>
    <t xml:space="preserve">     Total Link Losses:</t>
  </si>
  <si>
    <r>
      <rPr>
        <sz val="10"/>
        <color theme="1"/>
        <rFont val="Arial"/>
        <family val="0"/>
        <charset val="1"/>
      </rPr>
      <t xml:space="preserve">    L</t>
    </r>
    <r>
      <rPr>
        <sz val="8"/>
        <color theme="1"/>
        <rFont val="Arial"/>
        <family val="0"/>
        <charset val="1"/>
      </rPr>
      <t xml:space="preserve">P</t>
    </r>
    <r>
      <rPr>
        <sz val="10"/>
        <color theme="1"/>
        <rFont val="Arial"/>
        <family val="0"/>
        <charset val="1"/>
      </rPr>
      <t xml:space="preserve"> =</t>
    </r>
  </si>
  <si>
    <r>
      <rPr>
        <sz val="10"/>
        <color theme="1"/>
        <rFont val="Arial"/>
        <family val="0"/>
        <charset val="1"/>
      </rPr>
      <t xml:space="preserve">    G</t>
    </r>
    <r>
      <rPr>
        <sz val="8"/>
        <color theme="1"/>
        <rFont val="Arial"/>
        <family val="0"/>
        <charset val="1"/>
      </rPr>
      <t xml:space="preserve">LNA</t>
    </r>
    <r>
      <rPr>
        <sz val="10"/>
        <color theme="1"/>
        <rFont val="Arial"/>
        <family val="0"/>
        <charset val="1"/>
      </rPr>
      <t xml:space="preserve"> =</t>
    </r>
  </si>
  <si>
    <r>
      <rPr>
        <sz val="10"/>
        <color theme="1"/>
        <rFont val="Arial"/>
        <family val="0"/>
        <charset val="1"/>
      </rPr>
      <t xml:space="preserve">    T</t>
    </r>
    <r>
      <rPr>
        <sz val="8"/>
        <color theme="1"/>
        <rFont val="Arial"/>
        <family val="0"/>
        <charset val="1"/>
      </rPr>
      <t xml:space="preserve">LNA</t>
    </r>
    <r>
      <rPr>
        <sz val="10"/>
        <color theme="1"/>
        <rFont val="Arial"/>
        <family val="0"/>
        <charset val="1"/>
      </rPr>
      <t xml:space="preserve"> =</t>
    </r>
    <r>
      <rPr>
        <sz val="8"/>
        <color theme="1"/>
        <rFont val="Arial"/>
        <family val="0"/>
        <charset val="1"/>
      </rPr>
      <t xml:space="preserve"> </t>
    </r>
  </si>
  <si>
    <r>
      <rPr>
        <sz val="10"/>
        <color theme="1"/>
        <rFont val="Arial"/>
        <family val="0"/>
        <charset val="1"/>
      </rPr>
      <t xml:space="preserve">    G</t>
    </r>
    <r>
      <rPr>
        <sz val="8"/>
        <color theme="1"/>
        <rFont val="Arial"/>
        <family val="0"/>
        <charset val="1"/>
      </rPr>
      <t xml:space="preserve">R</t>
    </r>
    <r>
      <rPr>
        <sz val="10"/>
        <color theme="1"/>
        <rFont val="Arial"/>
        <family val="0"/>
        <charset val="1"/>
      </rPr>
      <t xml:space="preserve"> =</t>
    </r>
  </si>
  <si>
    <r>
      <rPr>
        <sz val="10"/>
        <color theme="1"/>
        <rFont val="Arial"/>
        <family val="0"/>
        <charset val="1"/>
      </rPr>
      <t xml:space="preserve">L</t>
    </r>
    <r>
      <rPr>
        <sz val="8"/>
        <color theme="1"/>
        <rFont val="Arial"/>
        <family val="0"/>
        <charset val="1"/>
      </rPr>
      <t xml:space="preserve">total line </t>
    </r>
    <r>
      <rPr>
        <sz val="10"/>
        <color theme="1"/>
        <rFont val="Arial"/>
        <family val="0"/>
        <charset val="1"/>
      </rPr>
      <t xml:space="preserve">= </t>
    </r>
  </si>
  <si>
    <t xml:space="preserve">Line A</t>
  </si>
  <si>
    <r>
      <rPr>
        <sz val="10"/>
        <color theme="1"/>
        <rFont val="Arial"/>
        <family val="0"/>
        <charset val="1"/>
      </rPr>
      <t xml:space="preserve">  L</t>
    </r>
    <r>
      <rPr>
        <sz val="8"/>
        <color theme="1"/>
        <rFont val="Arial"/>
        <family val="0"/>
        <charset val="1"/>
      </rPr>
      <t xml:space="preserve">Rbpf</t>
    </r>
    <r>
      <rPr>
        <sz val="10"/>
        <color theme="1"/>
        <rFont val="Arial"/>
        <family val="0"/>
        <charset val="1"/>
      </rPr>
      <t xml:space="preserve"> =</t>
    </r>
  </si>
  <si>
    <t xml:space="preserve">Line C</t>
  </si>
  <si>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</si>
  <si>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B</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</si>
  <si>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Rother</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</si>
  <si>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Tother</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</si>
  <si>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C=</t>
    </r>
  </si>
  <si>
    <r>
      <rPr>
        <sz val="10"/>
        <color theme="1"/>
        <rFont val="Arial"/>
        <family val="0"/>
        <charset val="1"/>
      </rPr>
      <t xml:space="preserve">   L</t>
    </r>
    <r>
      <rPr>
        <sz val="8"/>
        <color theme="1"/>
        <rFont val="Arial"/>
        <family val="0"/>
        <charset val="1"/>
      </rPr>
      <t xml:space="preserve">Rbpf </t>
    </r>
    <r>
      <rPr>
        <sz val="10"/>
        <color theme="1"/>
        <rFont val="Arial"/>
        <family val="0"/>
        <charset val="1"/>
      </rPr>
      <t xml:space="preserve">=</t>
    </r>
  </si>
  <si>
    <r>
      <rPr>
        <sz val="10"/>
        <color theme="1"/>
        <rFont val="Arial"/>
        <family val="0"/>
        <charset val="1"/>
      </rPr>
      <t xml:space="preserve">   G</t>
    </r>
    <r>
      <rPr>
        <sz val="8"/>
        <color theme="1"/>
        <rFont val="Arial"/>
        <family val="0"/>
        <charset val="1"/>
      </rPr>
      <t xml:space="preserve">R</t>
    </r>
    <r>
      <rPr>
        <sz val="10"/>
        <color theme="1"/>
        <rFont val="Arial"/>
        <family val="0"/>
        <charset val="1"/>
      </rPr>
      <t xml:space="preserve"> =</t>
    </r>
  </si>
  <si>
    <t xml:space="preserve">  Polarization:</t>
  </si>
  <si>
    <r>
      <rPr>
        <sz val="10"/>
        <color theme="1"/>
        <rFont val="Arial"/>
        <family val="0"/>
        <charset val="1"/>
      </rPr>
      <t xml:space="preserve">   L</t>
    </r>
    <r>
      <rPr>
        <sz val="8"/>
        <color theme="1"/>
        <rFont val="Arial"/>
        <family val="0"/>
        <charset val="1"/>
      </rPr>
      <t xml:space="preserve">total</t>
    </r>
    <r>
      <rPr>
        <sz val="10"/>
        <color theme="1"/>
        <rFont val="Arial"/>
        <family val="0"/>
        <charset val="1"/>
      </rPr>
      <t xml:space="preserve"> =</t>
    </r>
  </si>
  <si>
    <r>
      <rPr>
        <sz val="10"/>
        <color theme="1"/>
        <rFont val="Arial"/>
        <family val="0"/>
        <charset val="1"/>
      </rPr>
      <t xml:space="preserve">    L</t>
    </r>
    <r>
      <rPr>
        <sz val="8"/>
        <color theme="1"/>
        <rFont val="Arial"/>
        <family val="0"/>
        <charset val="1"/>
      </rPr>
      <t xml:space="preserve">p</t>
    </r>
    <r>
      <rPr>
        <sz val="10"/>
        <color theme="1"/>
        <rFont val="Arial"/>
        <family val="0"/>
        <charset val="1"/>
      </rPr>
      <t xml:space="preserve"> =</t>
    </r>
  </si>
  <si>
    <r>
      <rPr>
        <sz val="10"/>
        <color theme="1"/>
        <rFont val="Arial"/>
        <family val="0"/>
        <charset val="1"/>
      </rPr>
      <t xml:space="preserve">    T</t>
    </r>
    <r>
      <rPr>
        <sz val="8"/>
        <color theme="1"/>
        <rFont val="Arial"/>
        <family val="0"/>
        <charset val="1"/>
      </rPr>
      <t xml:space="preserve">LNA</t>
    </r>
    <r>
      <rPr>
        <sz val="10"/>
        <color theme="1"/>
        <rFont val="Arial"/>
        <family val="0"/>
        <charset val="1"/>
      </rPr>
      <t xml:space="preserve"> =</t>
    </r>
  </si>
  <si>
    <t xml:space="preserve">    Total Link Losses:</t>
  </si>
  <si>
    <r>
      <rPr>
        <sz val="10"/>
        <color theme="1"/>
        <rFont val="Arial"/>
        <family val="0"/>
        <charset val="1"/>
      </rPr>
      <t xml:space="preserve">  EIRP</t>
    </r>
    <r>
      <rPr>
        <sz val="8"/>
        <color theme="1"/>
        <rFont val="Arial"/>
        <family val="0"/>
        <charset val="1"/>
      </rPr>
      <t xml:space="preserve">gs </t>
    </r>
    <r>
      <rPr>
        <sz val="10"/>
        <color theme="1"/>
        <rFont val="Arial"/>
        <family val="0"/>
        <charset val="1"/>
      </rPr>
      <t xml:space="preserve">=</t>
    </r>
  </si>
  <si>
    <r>
      <rPr>
        <sz val="10"/>
        <color theme="1"/>
        <rFont val="Arial"/>
        <family val="0"/>
        <charset val="1"/>
      </rPr>
      <t xml:space="preserve">  T</t>
    </r>
    <r>
      <rPr>
        <sz val="8"/>
        <color theme="1"/>
        <rFont val="Arial"/>
        <family val="0"/>
        <charset val="1"/>
      </rPr>
      <t xml:space="preserve">2nd amp</t>
    </r>
    <r>
      <rPr>
        <sz val="10"/>
        <color theme="1"/>
        <rFont val="Arial"/>
        <family val="0"/>
        <charset val="1"/>
      </rPr>
      <t xml:space="preserve"> =</t>
    </r>
  </si>
  <si>
    <r>
      <rPr>
        <sz val="10"/>
        <color theme="1"/>
        <rFont val="Arial"/>
        <family val="0"/>
        <charset val="1"/>
      </rPr>
      <t xml:space="preserve">    G</t>
    </r>
    <r>
      <rPr>
        <sz val="8"/>
        <color theme="1"/>
        <rFont val="Arial"/>
        <family val="0"/>
        <charset val="1"/>
      </rPr>
      <t xml:space="preserve">T </t>
    </r>
    <r>
      <rPr>
        <sz val="10"/>
        <color theme="1"/>
        <rFont val="Arial"/>
        <family val="0"/>
        <charset val="1"/>
      </rPr>
      <t xml:space="preserve">=</t>
    </r>
  </si>
  <si>
    <t xml:space="preserve"> Polarization:</t>
  </si>
  <si>
    <r>
      <rPr>
        <sz val="10"/>
        <color theme="1"/>
        <rFont val="Arial"/>
        <family val="0"/>
        <charset val="1"/>
      </rPr>
      <t xml:space="preserve">L</t>
    </r>
    <r>
      <rPr>
        <sz val="8"/>
        <color theme="1"/>
        <rFont val="Arial"/>
        <family val="0"/>
        <charset val="1"/>
      </rPr>
      <t xml:space="preserve">total line </t>
    </r>
    <r>
      <rPr>
        <sz val="10"/>
        <color theme="1"/>
        <rFont val="Arial"/>
        <family val="0"/>
        <charset val="1"/>
      </rPr>
      <t xml:space="preserve">=</t>
    </r>
  </si>
  <si>
    <r>
      <rPr>
        <sz val="10"/>
        <color theme="1"/>
        <rFont val="Arial"/>
        <family val="0"/>
        <charset val="1"/>
      </rPr>
      <t xml:space="preserve">    L</t>
    </r>
    <r>
      <rPr>
        <sz val="8"/>
        <color theme="1"/>
        <rFont val="Arial"/>
        <family val="0"/>
        <charset val="1"/>
      </rPr>
      <t xml:space="preserve">C</t>
    </r>
    <r>
      <rPr>
        <sz val="10"/>
        <color theme="1"/>
        <rFont val="Arial"/>
        <family val="0"/>
        <charset val="1"/>
      </rPr>
      <t xml:space="preserve"> = </t>
    </r>
  </si>
  <si>
    <r>
      <rPr>
        <sz val="10"/>
        <color theme="1"/>
        <rFont val="Arial"/>
        <family val="0"/>
        <charset val="1"/>
      </rPr>
      <t xml:space="preserve">   L</t>
    </r>
    <r>
      <rPr>
        <sz val="8"/>
        <color theme="1"/>
        <rFont val="Arial"/>
        <family val="0"/>
        <charset val="1"/>
      </rPr>
      <t xml:space="preserve">Tother =</t>
    </r>
  </si>
  <si>
    <r>
      <rPr>
        <sz val="10"/>
        <color theme="1"/>
        <rFont val="Arial"/>
        <family val="0"/>
        <charset val="1"/>
      </rPr>
      <t xml:space="preserve">    B</t>
    </r>
    <r>
      <rPr>
        <sz val="8"/>
        <color theme="1"/>
        <rFont val="Arial"/>
        <family val="0"/>
        <charset val="1"/>
      </rPr>
      <t xml:space="preserve">Rbpf  </t>
    </r>
    <r>
      <rPr>
        <sz val="10"/>
        <color theme="1"/>
        <rFont val="Arial"/>
        <family val="0"/>
        <charset val="1"/>
      </rPr>
      <t xml:space="preserve">=</t>
    </r>
  </si>
  <si>
    <t xml:space="preserve">(Used only in S/N Calc.)</t>
  </si>
  <si>
    <r>
      <rPr>
        <sz val="10"/>
        <color theme="1"/>
        <rFont val="Arial"/>
        <family val="0"/>
        <charset val="1"/>
      </rPr>
      <t xml:space="preserve">    L</t>
    </r>
    <r>
      <rPr>
        <sz val="8"/>
        <color theme="1"/>
        <rFont val="Arial"/>
        <family val="0"/>
        <charset val="1"/>
      </rPr>
      <t xml:space="preserve">Tbpf =</t>
    </r>
  </si>
  <si>
    <t xml:space="preserve">     Demodulator Type:</t>
  </si>
  <si>
    <r>
      <rPr>
        <sz val="10"/>
        <color theme="1"/>
        <rFont val="Arial"/>
        <family val="0"/>
        <charset val="1"/>
      </rPr>
      <t xml:space="preserve">    L</t>
    </r>
    <r>
      <rPr>
        <sz val="8"/>
        <color theme="1"/>
        <rFont val="Arial"/>
        <family val="0"/>
        <charset val="1"/>
      </rPr>
      <t xml:space="preserve">A </t>
    </r>
    <r>
      <rPr>
        <sz val="10"/>
        <color theme="1"/>
        <rFont val="Arial"/>
        <family val="0"/>
        <charset val="1"/>
      </rPr>
      <t xml:space="preserve">=</t>
    </r>
  </si>
  <si>
    <r>
      <rPr>
        <sz val="10"/>
        <color theme="1"/>
        <rFont val="Arial"/>
        <family val="0"/>
        <charset val="1"/>
      </rPr>
      <t xml:space="preserve">    P</t>
    </r>
    <r>
      <rPr>
        <sz val="8"/>
        <color theme="1"/>
        <rFont val="Arial"/>
        <family val="0"/>
        <charset val="1"/>
      </rPr>
      <t xml:space="preserve">Tx</t>
    </r>
    <r>
      <rPr>
        <sz val="10"/>
        <color theme="1"/>
        <rFont val="Arial"/>
        <family val="0"/>
        <charset val="1"/>
      </rPr>
      <t xml:space="preserve"> =</t>
    </r>
  </si>
  <si>
    <t xml:space="preserve">   F.E.C. Decoder Type:</t>
  </si>
  <si>
    <t xml:space="preserve">  Modulation Method:</t>
  </si>
  <si>
    <t xml:space="preserve">     F.E.C. Encoder Type:</t>
  </si>
  <si>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Method:</t>
    </r>
  </si>
  <si>
    <r>
      <rPr>
        <sz val="10"/>
        <color theme="1"/>
        <rFont val="Arial"/>
        <family val="0"/>
        <charset val="1"/>
      </rPr>
      <t xml:space="preserve">  E</t>
    </r>
    <r>
      <rPr>
        <sz val="8"/>
        <color theme="1"/>
        <rFont val="Arial"/>
        <family val="0"/>
        <charset val="1"/>
      </rPr>
      <t xml:space="preserve">b</t>
    </r>
    <r>
      <rPr>
        <sz val="10"/>
        <color theme="1"/>
        <rFont val="Arial"/>
        <family val="0"/>
        <charset val="1"/>
      </rPr>
      <t xml:space="preserve">/N</t>
    </r>
    <r>
      <rPr>
        <sz val="8"/>
        <color theme="1"/>
        <rFont val="Arial"/>
        <family val="0"/>
        <charset val="1"/>
      </rPr>
      <t xml:space="preserve">o</t>
    </r>
    <r>
      <rPr>
        <sz val="10"/>
        <color theme="1"/>
        <rFont val="Arial"/>
        <family val="0"/>
        <charset val="1"/>
      </rPr>
      <t xml:space="preserve"> =</t>
    </r>
  </si>
  <si>
    <t xml:space="preserve">    R = </t>
  </si>
  <si>
    <t xml:space="preserve"> S/N Method:</t>
  </si>
  <si>
    <t xml:space="preserve">   S/N =</t>
  </si>
  <si>
    <t xml:space="preserve">Link Margin: </t>
  </si>
  <si>
    <t xml:space="preserve">Commonly Used Spacecraft Antenna Radiation Patterns</t>
  </si>
  <si>
    <t xml:space="preserve">Spacecraft Antennas:</t>
  </si>
  <si>
    <t xml:space="preserve">Monopole:</t>
  </si>
  <si>
    <t xml:space="preserve">S/C Angle wrt Symmetry Axis (θ)°:</t>
  </si>
  <si>
    <t xml:space="preserve">Antenna Gain (dBi):</t>
  </si>
  <si>
    <t xml:space="preserve">Monopole Polar Radiation Plot</t>
  </si>
  <si>
    <t xml:space="preserve">HERE</t>
  </si>
  <si>
    <t xml:space="preserve">No Signal</t>
  </si>
  <si>
    <t xml:space="preserve">MONOPOLE  ELEVATION PATTERN</t>
  </si>
  <si>
    <t xml:space="preserve">Peak Gain:</t>
  </si>
  <si>
    <t xml:space="preserve">(-3dB gain loss)</t>
  </si>
  <si>
    <t xml:space="preserve">Peak Gain at:</t>
  </si>
  <si>
    <t xml:space="preserve">Elevation</t>
  </si>
  <si>
    <t xml:space="preserve">Outer Ring:</t>
  </si>
  <si>
    <t xml:space="preserve">(Add this value to 0.0 dB)</t>
  </si>
  <si>
    <t xml:space="preserve">Azimuth Cut:</t>
  </si>
  <si>
    <t xml:space="preserve">Dipole:</t>
  </si>
  <si>
    <t xml:space="preserve">DIPOLE ELEVATION  PATTERN</t>
  </si>
  <si>
    <t xml:space="preserve">LHCP</t>
  </si>
  <si>
    <t xml:space="preserve">Turnstyle:</t>
  </si>
  <si>
    <t xml:space="preserve">(Or Canted Turnstyle)</t>
  </si>
  <si>
    <t xml:space="preserve">Quadrifilar:</t>
  </si>
  <si>
    <r>
      <rPr>
        <sz val="10"/>
        <color theme="1"/>
        <rFont val="Arial"/>
        <family val="0"/>
        <charset val="1"/>
      </rPr>
      <t xml:space="preserve">S/C </t>
    </r>
    <r>
      <rPr>
        <sz val="10"/>
        <color theme="1"/>
        <rFont val="Symbol"/>
        <family val="0"/>
        <charset val="1"/>
      </rPr>
      <t xml:space="preserve">Ð</t>
    </r>
    <r>
      <rPr>
        <sz val="10"/>
        <color theme="1"/>
        <rFont val="Arial"/>
        <family val="0"/>
        <charset val="1"/>
      </rPr>
      <t xml:space="preserve"> wrt Symmetry Axis (θ)°:</t>
    </r>
  </si>
  <si>
    <t xml:space="preserve">Quadrifilar Polar Radiation Plot</t>
  </si>
  <si>
    <t xml:space="preserve">Patch:</t>
  </si>
  <si>
    <t xml:space="preserve">   S/C Angle w.r.t.Symmetry Axis (θ)°:</t>
  </si>
  <si>
    <t xml:space="preserve">Patch Antenna Polar Radiation Plot</t>
  </si>
  <si>
    <t xml:space="preserve">"Design a Dish"</t>
  </si>
  <si>
    <r>
      <rPr>
        <b val="true"/>
        <sz val="14"/>
        <color theme="1"/>
        <rFont val="Arial"/>
        <family val="0"/>
        <charset val="1"/>
      </rPr>
      <t xml:space="preserve">                     </t>
    </r>
    <r>
      <rPr>
        <b val="true"/>
        <sz val="14"/>
        <color rgb="FFDD0806"/>
        <rFont val="Arial"/>
        <family val="0"/>
        <charset val="1"/>
      </rPr>
      <t xml:space="preserve"> Antenna Beam Roll-Off Tool </t>
    </r>
  </si>
  <si>
    <t xml:space="preserve">   Beam Roll-Off &amp; Sidelobe Positions Based on Sin² (θ)/ θ² Formulation</t>
  </si>
  <si>
    <t xml:space="preserve">J. A. King</t>
  </si>
  <si>
    <t xml:space="preserve">GHz</t>
  </si>
  <si>
    <t xml:space="preserve">   (See Plot at Next Worksheet)</t>
  </si>
  <si>
    <t xml:space="preserve">Antenna Dia.:</t>
  </si>
  <si>
    <t xml:space="preserve">Meters</t>
  </si>
  <si>
    <t xml:space="preserve">%</t>
  </si>
  <si>
    <t xml:space="preserve">Half Power</t>
  </si>
  <si>
    <t xml:space="preserve">(P/2) Beamwidth:</t>
  </si>
  <si>
    <r>
      <rPr>
        <b val="true"/>
        <sz val="10"/>
        <color theme="1"/>
        <rFont val="Arial"/>
        <family val="0"/>
        <charset val="1"/>
      </rPr>
      <t xml:space="preserve">=2</t>
    </r>
    <r>
      <rPr>
        <b val="true"/>
        <sz val="10"/>
        <color theme="1"/>
        <rFont val="Symbol"/>
        <family val="0"/>
        <charset val="1"/>
      </rPr>
      <t xml:space="preserve">q </t>
    </r>
    <r>
      <rPr>
        <b val="true"/>
        <sz val="10"/>
        <color theme="1"/>
        <rFont val="Arial"/>
        <family val="0"/>
        <charset val="1"/>
      </rPr>
      <t xml:space="preserve">(Beamwidth@ -3dB Roll-Off)</t>
    </r>
  </si>
  <si>
    <t xml:space="preserve">m</t>
  </si>
  <si>
    <t xml:space="preserve">Dish Size?</t>
  </si>
  <si>
    <t xml:space="preserve">Dish Diameter in Wavelengths:</t>
  </si>
  <si>
    <t xml:space="preserve">λ</t>
  </si>
  <si>
    <t xml:space="preserve">NOTE:  Do not modify or use cells to left of table.</t>
  </si>
  <si>
    <r>
      <rPr>
        <b val="true"/>
        <sz val="10"/>
        <color theme="1"/>
        <rFont val="Arial"/>
        <family val="0"/>
        <charset val="1"/>
      </rPr>
      <t xml:space="preserve">Pwr (</t>
    </r>
    <r>
      <rPr>
        <b val="true"/>
        <sz val="10"/>
        <color theme="1"/>
        <rFont val="Symbol"/>
        <family val="0"/>
        <charset val="1"/>
      </rPr>
      <t xml:space="preserve">q)</t>
    </r>
    <r>
      <rPr>
        <b val="true"/>
        <sz val="10"/>
        <color theme="1"/>
        <rFont val="Arial"/>
        <family val="0"/>
        <charset val="1"/>
      </rPr>
      <t xml:space="preserve"> w.r.t. Peak Gain:</t>
    </r>
  </si>
  <si>
    <r>
      <rPr>
        <b val="true"/>
        <sz val="10"/>
        <color theme="1"/>
        <rFont val="Noto Sans Symbols"/>
        <family val="0"/>
        <charset val="1"/>
      </rPr>
      <t xml:space="preserve">q </t>
    </r>
    <r>
      <rPr>
        <b val="true"/>
        <sz val="10"/>
        <color theme="1"/>
        <rFont val="Arial"/>
        <family val="0"/>
        <charset val="1"/>
      </rPr>
      <t xml:space="preserve">(degrees):</t>
    </r>
  </si>
  <si>
    <t xml:space="preserve">Main Lobe</t>
  </si>
  <si>
    <t xml:space="preserve">(Half Power B.W.)/2</t>
  </si>
  <si>
    <t xml:space="preserve">First Null</t>
  </si>
  <si>
    <t xml:space="preserve">First Sidelobe</t>
  </si>
  <si>
    <t xml:space="preserve">2nd Null</t>
  </si>
  <si>
    <t xml:space="preserve">2nd Sidelobe</t>
  </si>
  <si>
    <t xml:space="preserve">3rd Null</t>
  </si>
  <si>
    <t xml:space="preserve">3rd Sidelobe</t>
  </si>
  <si>
    <t xml:space="preserve">4th Null</t>
  </si>
  <si>
    <t xml:space="preserve">4th Sidelobe</t>
  </si>
  <si>
    <t xml:space="preserve">Transmission Line Loss Tools and Tables:</t>
  </si>
  <si>
    <t xml:space="preserve">     Ground Station Systems:</t>
  </si>
  <si>
    <t xml:space="preserve">Best Internet Cable Loss Calculator:</t>
  </si>
  <si>
    <t xml:space="preserve">http://www.ocarc.ca/coax.htm</t>
  </si>
  <si>
    <t xml:space="preserve">2nd Best Internet Cable Loss Calculator:</t>
  </si>
  <si>
    <t xml:space="preserve">http://www.timesmicrowave.com/cgi-bin/calculate.pl</t>
  </si>
  <si>
    <t xml:space="preserve">Coax Cable Loss Tables:</t>
  </si>
  <si>
    <t xml:space="preserve">http://www.radio-ware.com/products/techinfo/coax.loss.htm</t>
  </si>
  <si>
    <t xml:space="preserve">http://www.meteorscatter.net/cable.htm</t>
  </si>
  <si>
    <t xml:space="preserve">Wave Guide Loss Table:</t>
  </si>
  <si>
    <t xml:space="preserve">http://www.advancedmicrowave.com/products/product_frame.htm</t>
  </si>
  <si>
    <t xml:space="preserve">Wave Guide Primer:</t>
  </si>
  <si>
    <t xml:space="preserve">http://www.microwaves101.com/encyclopedia/waveguide.cfm#frequency</t>
  </si>
  <si>
    <t xml:space="preserve">Spacecraft Systems:</t>
  </si>
  <si>
    <r>
      <rPr>
        <b val="true"/>
        <sz val="10"/>
        <color theme="1"/>
        <rFont val="Arial"/>
        <family val="0"/>
        <charset val="1"/>
      </rPr>
      <t xml:space="preserve">RG-188 A/U:</t>
    </r>
    <r>
      <rPr>
        <sz val="10"/>
        <color theme="1"/>
        <rFont val="Arial"/>
        <family val="0"/>
        <charset val="1"/>
      </rPr>
      <t xml:space="preserve">  A PTFE (Teflon)-wrapped "clean" cable for general purpose spacecraft transmission lines.</t>
    </r>
  </si>
  <si>
    <t xml:space="preserve">Losses are quite high per unit length as the cable diameter is only 0.098" (2.49 mm).  Still, the losses are acceptable</t>
  </si>
  <si>
    <t xml:space="preserve">for short cable runs.  The shield is silver plated copper (19 strands, each #33AWG).  Typically used with SMA or SMC connectors.</t>
  </si>
  <si>
    <t xml:space="preserve">This is the most commonly used cable for short coax runs in very small spacecraft but, connector installation is moderately difficult.</t>
  </si>
  <si>
    <t xml:space="preserve">Band:</t>
  </si>
  <si>
    <t xml:space="preserve">       Frequency:</t>
  </si>
  <si>
    <t xml:space="preserve">Attenuation (dB/100 m):</t>
  </si>
  <si>
    <t xml:space="preserve">Attenuation (dB/m):</t>
  </si>
  <si>
    <t xml:space="preserve">dB/100m</t>
  </si>
  <si>
    <t xml:space="preserve">-</t>
  </si>
  <si>
    <t xml:space="preserve">Cable Length:</t>
  </si>
  <si>
    <t xml:space="preserve">Cable Loss:</t>
  </si>
  <si>
    <t xml:space="preserve">Data courtesy K1TTT, W3LPL,PE1OYF, DJ5RH</t>
  </si>
  <si>
    <r>
      <rPr>
        <b val="true"/>
        <sz val="10"/>
        <color theme="1"/>
        <rFont val="Arial"/>
        <family val="0"/>
        <charset val="1"/>
      </rPr>
      <t xml:space="preserve">RG-142 A/U:</t>
    </r>
    <r>
      <rPr>
        <sz val="10"/>
        <color theme="1"/>
        <rFont val="Arial"/>
        <family val="0"/>
        <charset val="1"/>
      </rPr>
      <t xml:space="preserve">  An FEP (Teflon) solid covered "clean" cable for general purpose spacecraft transmission lines.</t>
    </r>
  </si>
  <si>
    <t xml:space="preserve">Losses are moderate per unit length as the cable diameter is  0.195" (4.95 mm).  The losses are quite acceptable even</t>
  </si>
  <si>
    <t xml:space="preserve">for longer S/C cable runs.  The cable is double shielded with two silver coated copper braids.  The center conductor is </t>
  </si>
  <si>
    <t xml:space="preserve">solid copper AWG #18.  Typically used with SMA or even TNC connectors.  Connector installation is moderately difficult.</t>
  </si>
  <si>
    <t xml:space="preserve">Data courtesy K1TTT, W3LPL, PE1OYF, DJ5RH</t>
  </si>
  <si>
    <r>
      <rPr>
        <b val="true"/>
        <sz val="10"/>
        <color theme="1"/>
        <rFont val="Arial"/>
        <family val="0"/>
        <charset val="1"/>
      </rPr>
      <t xml:space="preserve">RG-303 /U:</t>
    </r>
    <r>
      <rPr>
        <sz val="10"/>
        <color theme="1"/>
        <rFont val="Arial"/>
        <family val="0"/>
        <charset val="1"/>
      </rPr>
      <t xml:space="preserve">  A PTFE (Teflon) solid covered "clean" cable for ruggedized spacecraft transmission line applications.</t>
    </r>
  </si>
  <si>
    <t xml:space="preserve">Losses are moderate per unit length as the cable diameter is  0.170" (4.32 mm).  The losses are quite acceptable even</t>
  </si>
  <si>
    <t xml:space="preserve">for longer S/C cable runs.  The cable is single shielded with a silver coated copper braid.  The center conductor is </t>
  </si>
  <si>
    <t xml:space="preserve">silver over copper over steel 0.039" (1 mm) dia.  Typically used with SMA or even TNC connectors.  This is a very rugged cable type.</t>
  </si>
  <si>
    <t xml:space="preserve">Can not find data source. Data estimated by VK4GEY.</t>
  </si>
  <si>
    <r>
      <rPr>
        <b val="true"/>
        <sz val="10"/>
        <color theme="1"/>
        <rFont val="Arial"/>
        <family val="0"/>
        <charset val="1"/>
      </rPr>
      <t xml:space="preserve">50 </t>
    </r>
    <r>
      <rPr>
        <sz val="10"/>
        <color theme="1"/>
        <rFont val="Symbol"/>
        <family val="0"/>
        <charset val="1"/>
      </rPr>
      <t xml:space="preserve">W</t>
    </r>
    <r>
      <rPr>
        <sz val="10"/>
        <color theme="1"/>
        <rFont val="Arial"/>
        <family val="0"/>
        <charset val="1"/>
      </rPr>
      <t xml:space="preserve"> </t>
    </r>
    <r>
      <rPr>
        <b val="true"/>
        <sz val="10"/>
        <color theme="1"/>
        <rFont val="Arial"/>
        <family val="0"/>
        <charset val="1"/>
      </rPr>
      <t xml:space="preserve">Semi-Rigid Cable (0.085" dia.):  </t>
    </r>
    <r>
      <rPr>
        <sz val="10"/>
        <color theme="1"/>
        <rFont val="Arial"/>
        <family val="0"/>
        <charset val="1"/>
      </rPr>
      <t xml:space="preserve">Semi-Rigid cable is intended to be bent and/or formed one time and then left in position.  This   </t>
    </r>
  </si>
  <si>
    <t xml:space="preserve">cable has a solid copper outer conductor (tube).  Some versions are silver plated.  This version has an exterior diameter of .086"</t>
  </si>
  <si>
    <t xml:space="preserve">(2.18 mm) and a solid copper inner conductor.  SMA, SMC or TNC connectors can be used and are easily installed.    </t>
  </si>
  <si>
    <t xml:space="preserve">Losses are superior to flexible cables.  </t>
  </si>
  <si>
    <r>
      <rPr>
        <sz val="10"/>
        <color theme="1"/>
        <rFont val="Arial"/>
        <family val="0"/>
        <charset val="1"/>
      </rPr>
      <t xml:space="preserve">Data courtesy Storm Products Co. [</t>
    </r>
    <r>
      <rPr>
        <b val="true"/>
        <sz val="10"/>
        <color theme="1"/>
        <rFont val="Arial"/>
        <family val="0"/>
        <charset val="1"/>
      </rPr>
      <t xml:space="preserve">Bold Text</t>
    </r>
    <r>
      <rPr>
        <sz val="10"/>
        <color theme="1"/>
        <rFont val="Arial"/>
        <family val="0"/>
        <charset val="1"/>
      </rPr>
      <t xml:space="preserve">].</t>
    </r>
  </si>
  <si>
    <t xml:space="preserve">Data extrapolated by VK4GEY</t>
  </si>
  <si>
    <r>
      <rPr>
        <b val="true"/>
        <sz val="10"/>
        <color theme="1"/>
        <rFont val="Arial"/>
        <family val="0"/>
        <charset val="1"/>
      </rPr>
      <t xml:space="preserve">50 </t>
    </r>
    <r>
      <rPr>
        <sz val="10"/>
        <color theme="1"/>
        <rFont val="Symbol"/>
        <family val="0"/>
        <charset val="1"/>
      </rPr>
      <t xml:space="preserve">W</t>
    </r>
    <r>
      <rPr>
        <sz val="10"/>
        <color theme="1"/>
        <rFont val="Arial"/>
        <family val="0"/>
        <charset val="1"/>
      </rPr>
      <t xml:space="preserve"> </t>
    </r>
    <r>
      <rPr>
        <b val="true"/>
        <sz val="10"/>
        <color theme="1"/>
        <rFont val="Arial"/>
        <family val="0"/>
        <charset val="1"/>
      </rPr>
      <t xml:space="preserve">Semi-Rigid Cable (0.141" dia.):  </t>
    </r>
    <r>
      <rPr>
        <sz val="10"/>
        <color theme="1"/>
        <rFont val="Arial"/>
        <family val="0"/>
        <charset val="1"/>
      </rPr>
      <t xml:space="preserve">Semi-Rigid cable is intended to be bent and/or formed one time and then left in position.  This   </t>
    </r>
  </si>
  <si>
    <t xml:space="preserve">cable has a solid copper outer conductor (tube).  Some versions are silver plated.  This version has an exterior diameter of 0.141"</t>
  </si>
  <si>
    <t xml:space="preserve">(3.58 mm) and a solid copper inner conductor.  SMA, SMC or TNC connectors can be used and are easily installed.    </t>
  </si>
  <si>
    <r>
      <rPr>
        <sz val="10"/>
        <color theme="1"/>
        <rFont val="Arial"/>
        <family val="0"/>
        <charset val="1"/>
      </rPr>
      <t xml:space="preserve">Data courtesy Storm Products Co.[</t>
    </r>
    <r>
      <rPr>
        <b val="true"/>
        <sz val="10"/>
        <color theme="1"/>
        <rFont val="Arial"/>
        <family val="0"/>
        <charset val="1"/>
      </rPr>
      <t xml:space="preserve">Bold Text</t>
    </r>
    <r>
      <rPr>
        <sz val="10"/>
        <color theme="1"/>
        <rFont val="Arial"/>
        <family val="0"/>
        <charset val="1"/>
      </rPr>
      <t xml:space="preserve">].</t>
    </r>
  </si>
  <si>
    <t xml:space="preserve">Losses Resulting from  Antenna Mismatch - Measured Using Voltage Standing Wave Ratio(VSWR) Method </t>
  </si>
  <si>
    <t xml:space="preserve">Transmitter Power Output:</t>
  </si>
  <si>
    <t xml:space="preserve">Manually Enter Results of Test #1 or Test #2 at Cell [H8]</t>
  </si>
  <si>
    <t xml:space="preserve">Measured or Estimated VSWR:</t>
  </si>
  <si>
    <r>
      <rPr>
        <b val="true"/>
        <sz val="10"/>
        <color theme="1"/>
        <rFont val="Arial"/>
        <family val="0"/>
        <charset val="1"/>
      </rPr>
      <t xml:space="preserve">:</t>
    </r>
    <r>
      <rPr>
        <sz val="10"/>
        <color theme="1"/>
        <rFont val="Arial"/>
        <family val="0"/>
        <charset val="1"/>
      </rPr>
      <t xml:space="preserve">1</t>
    </r>
  </si>
  <si>
    <t xml:space="preserve">Power Reflected and Lost:</t>
  </si>
  <si>
    <t xml:space="preserve">% of Power</t>
  </si>
  <si>
    <t xml:space="preserve">Power Transmitted:</t>
  </si>
  <si>
    <t xml:space="preserve">Power Loss due to Mismatch (dB):</t>
  </si>
  <si>
    <t xml:space="preserve">This value should be entered in the "Transmitters" W/S</t>
  </si>
  <si>
    <t xml:space="preserve"> at Cell [I31].</t>
  </si>
  <si>
    <t xml:space="preserve">Don't Change These Formulas</t>
  </si>
  <si>
    <r>
      <rPr>
        <sz val="10"/>
        <color theme="1"/>
        <rFont val="Arial"/>
        <family val="0"/>
        <charset val="1"/>
      </rPr>
      <t xml:space="preserve">|Z</t>
    </r>
    <r>
      <rPr>
        <sz val="8"/>
        <color theme="1"/>
        <rFont val="Arial"/>
        <family val="0"/>
        <charset val="1"/>
      </rPr>
      <t xml:space="preserve">tx</t>
    </r>
    <r>
      <rPr>
        <sz val="10"/>
        <color theme="1"/>
        <rFont val="Arial"/>
        <family val="0"/>
        <charset val="1"/>
      </rPr>
      <t xml:space="preserve">| =</t>
    </r>
  </si>
  <si>
    <t xml:space="preserve">W</t>
  </si>
  <si>
    <r>
      <rPr>
        <sz val="10"/>
        <color theme="1"/>
        <rFont val="Arial"/>
        <family val="0"/>
        <charset val="1"/>
      </rPr>
      <t xml:space="preserve">Measured </t>
    </r>
    <r>
      <rPr>
        <b val="true"/>
        <sz val="10"/>
        <color theme="1"/>
        <rFont val="Arial"/>
        <family val="0"/>
        <charset val="1"/>
      </rPr>
      <t xml:space="preserve">Z</t>
    </r>
    <r>
      <rPr>
        <b val="true"/>
        <sz val="8"/>
        <color theme="1"/>
        <rFont val="Arial"/>
        <family val="0"/>
        <charset val="1"/>
      </rPr>
      <t xml:space="preserve">tx</t>
    </r>
    <r>
      <rPr>
        <sz val="10"/>
        <color theme="1"/>
        <rFont val="Arial"/>
        <family val="0"/>
        <charset val="1"/>
      </rPr>
      <t xml:space="preserve">:</t>
    </r>
  </si>
  <si>
    <t xml:space="preserve">+</t>
  </si>
  <si>
    <r>
      <rPr>
        <sz val="10"/>
        <color theme="1"/>
        <rFont val="Arial"/>
        <family val="0"/>
        <charset val="1"/>
      </rPr>
      <t xml:space="preserve">|Z</t>
    </r>
    <r>
      <rPr>
        <sz val="8"/>
        <color theme="1"/>
        <rFont val="Arial"/>
        <family val="0"/>
        <charset val="1"/>
      </rPr>
      <t xml:space="preserve">sys</t>
    </r>
    <r>
      <rPr>
        <sz val="10"/>
        <color theme="1"/>
        <rFont val="Arial"/>
        <family val="0"/>
        <charset val="1"/>
      </rPr>
      <t xml:space="preserve">| =</t>
    </r>
  </si>
  <si>
    <r>
      <rPr>
        <sz val="10"/>
        <color theme="1"/>
        <rFont val="Arial"/>
        <family val="0"/>
        <charset val="1"/>
      </rPr>
      <t xml:space="preserve">Measured </t>
    </r>
    <r>
      <rPr>
        <b val="true"/>
        <sz val="10"/>
        <color theme="1"/>
        <rFont val="Arial"/>
        <family val="0"/>
        <charset val="1"/>
      </rPr>
      <t xml:space="preserve">Z</t>
    </r>
    <r>
      <rPr>
        <b val="true"/>
        <sz val="8"/>
        <color theme="1"/>
        <rFont val="Arial"/>
        <family val="0"/>
        <charset val="1"/>
      </rPr>
      <t xml:space="preserve">sys</t>
    </r>
    <r>
      <rPr>
        <sz val="10"/>
        <color theme="1"/>
        <rFont val="Arial"/>
        <family val="0"/>
        <charset val="1"/>
      </rPr>
      <t xml:space="preserve">:</t>
    </r>
  </si>
  <si>
    <t xml:space="preserve">VSWR:</t>
  </si>
  <si>
    <t xml:space="preserve">TEST 1</t>
  </si>
  <si>
    <t xml:space="preserve">TEST 2</t>
  </si>
  <si>
    <t xml:space="preserve">Forward Power Measured:</t>
  </si>
  <si>
    <t xml:space="preserve">Reverse Power Measured:</t>
  </si>
  <si>
    <t xml:space="preserve">GEO Azimuth Calculation:</t>
  </si>
  <si>
    <t xml:space="preserve">User is:</t>
  </si>
  <si>
    <t xml:space="preserve">Latitude</t>
  </si>
  <si>
    <t xml:space="preserve">In N. Hem?</t>
  </si>
  <si>
    <t xml:space="preserve">Satellite is to South if "1", North if "0"</t>
  </si>
  <si>
    <t xml:space="preserve">Satellite is to North if "1", South if "0"</t>
  </si>
  <si>
    <r>
      <rPr>
        <b val="true"/>
        <sz val="10"/>
        <color theme="1"/>
        <rFont val="Arial"/>
        <family val="0"/>
        <charset val="1"/>
      </rPr>
      <t xml:space="preserve"> </t>
    </r>
    <r>
      <rPr>
        <b val="true"/>
        <sz val="10"/>
        <color theme="1"/>
        <rFont val="Symbol"/>
        <family val="0"/>
        <charset val="1"/>
      </rPr>
      <t xml:space="preserve">D</t>
    </r>
    <r>
      <rPr>
        <b val="true"/>
        <sz val="10"/>
        <color theme="1"/>
        <rFont val="Arial"/>
        <family val="0"/>
        <charset val="1"/>
      </rPr>
      <t xml:space="preserve"> Longitude</t>
    </r>
  </si>
  <si>
    <t xml:space="preserve">East of Sat?</t>
  </si>
  <si>
    <t xml:space="preserve">Satellite is to West if "1", East if "0"</t>
  </si>
  <si>
    <t xml:space="preserve">Satellite is to East if "1", West if "0"</t>
  </si>
  <si>
    <t xml:space="preserve">Sat. in Quad?</t>
  </si>
  <si>
    <t xml:space="preserve">Quad. Result:</t>
  </si>
  <si>
    <t xml:space="preserve">Quad. Angle Range:</t>
  </si>
  <si>
    <t xml:space="preserve">Quad NE</t>
  </si>
  <si>
    <t xml:space="preserve">0° to 90°</t>
  </si>
  <si>
    <t xml:space="preserve">Quad SE</t>
  </si>
  <si>
    <t xml:space="preserve">90° to 180°</t>
  </si>
  <si>
    <t xml:space="preserve">Quad SW</t>
  </si>
  <si>
    <t xml:space="preserve">180° to 270°</t>
  </si>
  <si>
    <t xml:space="preserve">Quad NW</t>
  </si>
  <si>
    <t xml:space="preserve">270° to 360°</t>
  </si>
  <si>
    <t xml:space="preserve">Azimuth Calc.</t>
  </si>
  <si>
    <t xml:space="preserve">Azimuth Result:</t>
  </si>
  <si>
    <t xml:space="preserve">Quad Angle Range:</t>
  </si>
  <si>
    <r>
      <rPr>
        <sz val="11"/>
        <color theme="1"/>
        <rFont val="Arial"/>
        <family val="0"/>
        <charset val="1"/>
      </rPr>
      <t xml:space="preserve">Earth and Orbit Shape for Figure in Orbit &amp; Frequency W/S  </t>
    </r>
    <r>
      <rPr>
        <b val="true"/>
        <sz val="10"/>
        <color rgb="FFDD0806"/>
        <rFont val="Arial"/>
        <family val="0"/>
        <charset val="1"/>
      </rPr>
      <t xml:space="preserve">[NOTE:  DO NOT MODIFY]</t>
    </r>
  </si>
  <si>
    <t xml:space="preserve">Y</t>
  </si>
  <si>
    <t xml:space="preserve">R</t>
  </si>
  <si>
    <t xml:space="preserve">Y1</t>
  </si>
  <si>
    <t xml:space="preserve">X1</t>
  </si>
  <si>
    <t xml:space="preserve">R1</t>
  </si>
</sst>
</file>

<file path=xl/styles.xml><?xml version="1.0" encoding="utf-8"?>
<styleSheet xmlns="http://schemas.openxmlformats.org/spreadsheetml/2006/main">
  <numFmts count="42">
    <numFmt numFmtId="164" formatCode="General"/>
    <numFmt numFmtId="165" formatCode="yyyy\ mmmm\ d"/>
    <numFmt numFmtId="166" formatCode="0"/>
    <numFmt numFmtId="167" formatCode="0.0"/>
    <numFmt numFmtId="168" formatCode="m/d/yyyy"/>
    <numFmt numFmtId="169" formatCode="_(* #,##0_);_(* \(#,##0\);_(* \-??_);_(@_)"/>
    <numFmt numFmtId="170" formatCode="0.000E+00"/>
    <numFmt numFmtId="171" formatCode="0.00"/>
    <numFmt numFmtId="172" formatCode="#,##0.00_);\(#,##0.00\)"/>
    <numFmt numFmtId="173" formatCode="#,##0.0"/>
    <numFmt numFmtId="174" formatCode="#,##0.0_ ;\-#,##0.0\ "/>
    <numFmt numFmtId="175" formatCode="#,##0.0;\-#,##0.0"/>
    <numFmt numFmtId="176" formatCode="0.000000"/>
    <numFmt numFmtId="177" formatCode="0.000"/>
    <numFmt numFmtId="178" formatCode="0.0000"/>
    <numFmt numFmtId="179" formatCode="#,##0"/>
    <numFmt numFmtId="180" formatCode="_(* #,##0.0_);_(* \(#,##0.0\);_(* \-??_);_(@_)"/>
    <numFmt numFmtId="181" formatCode="#,##0.000"/>
    <numFmt numFmtId="182" formatCode="0.00&quot; dB&quot;"/>
    <numFmt numFmtId="183" formatCode="0.0&quot; dB&quot;"/>
    <numFmt numFmtId="184" formatCode="0.0&quot; m&quot;"/>
    <numFmt numFmtId="185" formatCode="0%"/>
    <numFmt numFmtId="186" formatCode="0.00000"/>
    <numFmt numFmtId="187" formatCode="0.00E+00"/>
    <numFmt numFmtId="188" formatCode="0.0\ "/>
    <numFmt numFmtId="189" formatCode="0.0E+00"/>
    <numFmt numFmtId="190" formatCode="0.00&quot; MHz&quot;"/>
    <numFmt numFmtId="191" formatCode="0&quot; bps&quot;"/>
    <numFmt numFmtId="192" formatCode="0.0%"/>
    <numFmt numFmtId="193" formatCode="0.0&quot; watts&quot;"/>
    <numFmt numFmtId="194" formatCode="0&quot; Hz&quot;"/>
    <numFmt numFmtId="195" formatCode="0.0&quot; dB/K&quot;"/>
    <numFmt numFmtId="196" formatCode="0.0&quot; dBi&quot;"/>
    <numFmt numFmtId="197" formatCode="0&quot; K&quot;"/>
    <numFmt numFmtId="198" formatCode="0.0&quot; dBW&quot;"/>
    <numFmt numFmtId="199" formatCode="0.000&quot; dB&quot;"/>
    <numFmt numFmtId="200" formatCode="0&quot; MHz&quot;"/>
    <numFmt numFmtId="201" formatCode="0.00&quot; m&quot;"/>
    <numFmt numFmtId="202" formatCode="h:mm"/>
    <numFmt numFmtId="203" formatCode="0.0&quot; j&quot;"/>
    <numFmt numFmtId="204" formatCode="0.00&quot; :1&quot;"/>
    <numFmt numFmtId="205" formatCode="0.00&quot; watts&quot;"/>
  </numFmts>
  <fonts count="91">
    <font>
      <sz val="10"/>
      <color rgb="FF000000"/>
      <name val="Arial"/>
      <family val="0"/>
      <charset val="1"/>
    </font>
    <font>
      <sz val="10"/>
      <name val="Arial"/>
      <family val="0"/>
    </font>
    <font>
      <sz val="10"/>
      <name val="Arial"/>
      <family val="0"/>
    </font>
    <font>
      <sz val="10"/>
      <name val="Arial"/>
      <family val="0"/>
    </font>
    <font>
      <sz val="20"/>
      <color rgb="FFDD0806"/>
      <name val="Noto Sans Symbols"/>
      <family val="0"/>
      <charset val="1"/>
    </font>
    <font>
      <sz val="20"/>
      <color theme="1"/>
      <name val="Arial"/>
      <family val="0"/>
      <charset val="1"/>
    </font>
    <font>
      <b val="true"/>
      <sz val="16"/>
      <color theme="1"/>
      <name val="Arial"/>
      <family val="0"/>
      <charset val="1"/>
    </font>
    <font>
      <b val="true"/>
      <sz val="12"/>
      <color theme="1"/>
      <name val="Arial"/>
      <family val="0"/>
      <charset val="1"/>
    </font>
    <font>
      <sz val="10"/>
      <color theme="1"/>
      <name val="Arial"/>
      <family val="0"/>
      <charset val="1"/>
    </font>
    <font>
      <b val="true"/>
      <sz val="20"/>
      <color rgb="FFDD0806"/>
      <name val="Arial"/>
      <family val="0"/>
      <charset val="1"/>
    </font>
    <font>
      <b val="true"/>
      <sz val="10"/>
      <color theme="1"/>
      <name val="Arial"/>
      <family val="0"/>
      <charset val="1"/>
    </font>
    <font>
      <sz val="10"/>
      <color rgb="FFDD0806"/>
      <name val="Arial"/>
      <family val="0"/>
      <charset val="1"/>
    </font>
    <font>
      <b val="true"/>
      <sz val="12"/>
      <color rgb="FF0000D4"/>
      <name val="Arial"/>
      <family val="0"/>
      <charset val="1"/>
    </font>
    <font>
      <b val="true"/>
      <sz val="10"/>
      <color rgb="FF0000D4"/>
      <name val="Arial"/>
      <family val="0"/>
      <charset val="1"/>
    </font>
    <font>
      <sz val="8"/>
      <color theme="1"/>
      <name val="Arial"/>
      <family val="0"/>
      <charset val="1"/>
    </font>
    <font>
      <sz val="10"/>
      <color rgb="FF0000D4"/>
      <name val="Arial"/>
      <family val="0"/>
      <charset val="1"/>
    </font>
    <font>
      <sz val="11"/>
      <color theme="1"/>
      <name val="Arial"/>
      <family val="0"/>
      <charset val="1"/>
    </font>
    <font>
      <sz val="10"/>
      <name val="Arial"/>
      <family val="2"/>
    </font>
    <font>
      <b val="true"/>
      <sz val="14"/>
      <color theme="1"/>
      <name val="Arial"/>
      <family val="0"/>
      <charset val="1"/>
    </font>
    <font>
      <b val="true"/>
      <sz val="10"/>
      <color rgb="FFDD0806"/>
      <name val="Arial"/>
      <family val="0"/>
      <charset val="1"/>
    </font>
    <font>
      <sz val="10"/>
      <color rgb="FFFFFFFF"/>
      <name val="Arial"/>
      <family val="0"/>
      <charset val="1"/>
    </font>
    <font>
      <i val="true"/>
      <sz val="10"/>
      <color theme="1"/>
      <name val="Arial"/>
      <family val="0"/>
      <charset val="1"/>
    </font>
    <font>
      <b val="true"/>
      <i val="true"/>
      <sz val="10"/>
      <color theme="1"/>
      <name val="Arial"/>
      <family val="0"/>
      <charset val="1"/>
    </font>
    <font>
      <sz val="10"/>
      <color rgb="FFDD0806"/>
      <name val="Symbol"/>
      <family val="0"/>
      <charset val="1"/>
    </font>
    <font>
      <b val="true"/>
      <sz val="8"/>
      <color theme="1"/>
      <name val="Arial"/>
      <family val="0"/>
      <charset val="1"/>
    </font>
    <font>
      <b val="true"/>
      <sz val="18"/>
      <color theme="1"/>
      <name val="Arial"/>
      <family val="0"/>
      <charset val="1"/>
    </font>
    <font>
      <b val="true"/>
      <sz val="9"/>
      <color theme="1"/>
      <name val="Arial"/>
      <family val="0"/>
      <charset val="1"/>
    </font>
    <font>
      <b val="true"/>
      <sz val="9"/>
      <color rgb="FFDD0806"/>
      <name val="Arial"/>
      <family val="0"/>
      <charset val="1"/>
    </font>
    <font>
      <b val="true"/>
      <sz val="8"/>
      <color rgb="FFDD0806"/>
      <name val="Arial"/>
      <family val="0"/>
      <charset val="1"/>
    </font>
    <font>
      <b val="true"/>
      <sz val="12"/>
      <color rgb="FFFFCC00"/>
      <name val="Arial"/>
      <family val="0"/>
      <charset val="1"/>
    </font>
    <font>
      <b val="true"/>
      <i val="true"/>
      <sz val="12"/>
      <color theme="1"/>
      <name val="Arial"/>
      <family val="0"/>
      <charset val="1"/>
    </font>
    <font>
      <b val="true"/>
      <sz val="12"/>
      <color rgb="FFDD0806"/>
      <name val="Arial"/>
      <family val="0"/>
      <charset val="1"/>
    </font>
    <font>
      <sz val="11"/>
      <color rgb="FF0000D4"/>
      <name val="Arial"/>
      <family val="0"/>
      <charset val="1"/>
    </font>
    <font>
      <sz val="10"/>
      <color theme="1"/>
      <name val="Symbol"/>
      <family val="0"/>
      <charset val="1"/>
    </font>
    <font>
      <b val="true"/>
      <sz val="10"/>
      <color theme="1"/>
      <name val="Symbol"/>
      <family val="0"/>
      <charset val="1"/>
    </font>
    <font>
      <sz val="9"/>
      <color theme="1"/>
      <name val="Arial"/>
      <family val="0"/>
      <charset val="1"/>
    </font>
    <font>
      <sz val="9"/>
      <color theme="1"/>
      <name val="Symbol"/>
      <family val="0"/>
      <charset val="1"/>
    </font>
    <font>
      <i val="true"/>
      <u val="single"/>
      <sz val="10"/>
      <color theme="1"/>
      <name val="arial"/>
      <family val="0"/>
      <charset val="1"/>
    </font>
    <font>
      <sz val="10"/>
      <color theme="1"/>
      <name val="arial"/>
      <family val="0"/>
      <charset val="1"/>
    </font>
    <font>
      <sz val="10"/>
      <color rgb="FFDD0806"/>
      <name val="arial"/>
      <family val="0"/>
      <charset val="1"/>
    </font>
    <font>
      <sz val="10"/>
      <color rgb="FFBFBFBF"/>
      <name val="Arial"/>
      <family val="0"/>
      <charset val="1"/>
    </font>
    <font>
      <u val="single"/>
      <sz val="10"/>
      <color theme="1"/>
      <name val="Arial"/>
      <family val="0"/>
      <charset val="1"/>
    </font>
    <font>
      <sz val="10"/>
      <color rgb="FF000000"/>
      <name val="Arial"/>
      <family val="2"/>
    </font>
    <font>
      <sz val="10"/>
      <color rgb="FF000000"/>
      <name val="Arial"/>
      <family val="0"/>
    </font>
    <font>
      <b val="true"/>
      <sz val="10"/>
      <color rgb="FF000000"/>
      <name val="Arial"/>
      <family val="0"/>
    </font>
    <font>
      <b val="true"/>
      <sz val="10"/>
      <color rgb="FF000000"/>
      <name val="Noto Sans Symbols"/>
      <family val="0"/>
    </font>
    <font>
      <sz val="10"/>
      <color rgb="FF000000"/>
      <name val="Noto Sans Symbols"/>
      <family val="0"/>
    </font>
    <font>
      <sz val="14"/>
      <color rgb="FF000000"/>
      <name val="Times New Roman"/>
      <family val="0"/>
    </font>
    <font>
      <sz val="10"/>
      <color rgb="FF0000FF"/>
      <name val="Arial"/>
      <family val="0"/>
    </font>
    <font>
      <sz val="10"/>
      <color rgb="FF0000FF"/>
      <name val="Noto Sans Symbols"/>
      <family val="0"/>
    </font>
    <font>
      <sz val="8"/>
      <color rgb="FF000000"/>
      <name val="Arial"/>
      <family val="0"/>
    </font>
    <font>
      <sz val="10"/>
      <color rgb="FFFF0000"/>
      <name val="Arial"/>
      <family val="0"/>
    </font>
    <font>
      <b val="true"/>
      <u val="single"/>
      <sz val="10"/>
      <color theme="1"/>
      <name val="Symbol"/>
      <family val="0"/>
      <charset val="1"/>
    </font>
    <font>
      <b val="true"/>
      <u val="single"/>
      <sz val="10"/>
      <color theme="1"/>
      <name val="Arial"/>
      <family val="0"/>
      <charset val="1"/>
    </font>
    <font>
      <b val="true"/>
      <sz val="9"/>
      <color rgb="FF000000"/>
      <name val="Arial"/>
      <family val="0"/>
    </font>
    <font>
      <sz val="9"/>
      <color rgb="FF000000"/>
      <name val="Times New Roman"/>
      <family val="0"/>
    </font>
    <font>
      <sz val="10"/>
      <color theme="1"/>
      <name val="Noto Sans Symbols"/>
      <family val="0"/>
      <charset val="1"/>
    </font>
    <font>
      <b val="true"/>
      <sz val="8"/>
      <color rgb="FF000000"/>
      <name val="Arial"/>
      <family val="0"/>
    </font>
    <font>
      <sz val="10"/>
      <name val="Arial"/>
      <family val="0"/>
      <charset val="1"/>
    </font>
    <font>
      <sz val="12"/>
      <color theme="1"/>
      <name val="Arial"/>
      <family val="0"/>
      <charset val="1"/>
    </font>
    <font>
      <sz val="8"/>
      <color rgb="FF0000D4"/>
      <name val="Arial"/>
      <family val="0"/>
      <charset val="1"/>
    </font>
    <font>
      <b val="true"/>
      <sz val="22"/>
      <color rgb="FF000000"/>
      <name val="Arial"/>
      <family val="2"/>
    </font>
    <font>
      <sz val="10"/>
      <color rgb="FF1A1A1A"/>
      <name val="Arial"/>
      <family val="2"/>
    </font>
    <font>
      <b val="true"/>
      <sz val="12"/>
      <color rgb="FF000000"/>
      <name val="Arial"/>
      <family val="0"/>
    </font>
    <font>
      <sz val="10"/>
      <color rgb="FFFF00FF"/>
      <name val="Arial"/>
      <family val="0"/>
    </font>
    <font>
      <sz val="10"/>
      <color rgb="FFFF9900"/>
      <name val="Arial"/>
      <family val="0"/>
    </font>
    <font>
      <sz val="14"/>
      <color theme="1"/>
      <name val="Arial"/>
      <family val="0"/>
      <charset val="1"/>
    </font>
    <font>
      <b val="true"/>
      <sz val="10"/>
      <color theme="1"/>
      <name val="Times New Roman"/>
      <family val="0"/>
      <charset val="1"/>
    </font>
    <font>
      <sz val="10"/>
      <color rgb="FF000000"/>
      <name val="Times New Roman"/>
      <family val="0"/>
    </font>
    <font>
      <sz val="9"/>
      <color rgb="FF000000"/>
      <name val="Arial"/>
      <family val="0"/>
    </font>
    <font>
      <b val="true"/>
      <sz val="10"/>
      <color rgb="FF0000FF"/>
      <name val="Arial"/>
      <family val="0"/>
      <charset val="1"/>
    </font>
    <font>
      <i val="true"/>
      <sz val="12"/>
      <color theme="1"/>
      <name val="Arial"/>
      <family val="0"/>
      <charset val="1"/>
    </font>
    <font>
      <sz val="12"/>
      <color rgb="FF0000D4"/>
      <name val="Arial"/>
      <family val="0"/>
      <charset val="1"/>
    </font>
    <font>
      <b val="true"/>
      <sz val="14"/>
      <color rgb="FF000000"/>
      <name val="Arial"/>
      <family val="0"/>
    </font>
    <font>
      <b val="true"/>
      <sz val="14"/>
      <color rgb="FFDD0806"/>
      <name val="Arial"/>
      <family val="0"/>
      <charset val="1"/>
    </font>
    <font>
      <b val="true"/>
      <i val="true"/>
      <sz val="10"/>
      <color rgb="FFDD0806"/>
      <name val="Arial"/>
      <family val="0"/>
      <charset val="1"/>
    </font>
    <font>
      <i val="true"/>
      <sz val="10"/>
      <color rgb="FFDD0806"/>
      <name val="Arial"/>
      <family val="0"/>
      <charset val="1"/>
    </font>
    <font>
      <sz val="9"/>
      <color rgb="FFDD0806"/>
      <name val="Arial"/>
      <family val="0"/>
      <charset val="1"/>
    </font>
    <font>
      <b val="true"/>
      <sz val="12"/>
      <color theme="1"/>
      <name val="Noto Sans Symbols"/>
      <family val="0"/>
      <charset val="1"/>
    </font>
    <font>
      <sz val="19"/>
      <color rgb="FF000000"/>
      <name val="Arial"/>
      <family val="2"/>
    </font>
    <font>
      <b val="true"/>
      <sz val="18"/>
      <color rgb="FF000000"/>
      <name val="Arial"/>
      <family val="2"/>
    </font>
    <font>
      <sz val="12"/>
      <color rgb="FF000000"/>
      <name val="Arial"/>
      <family val="0"/>
    </font>
    <font>
      <b val="true"/>
      <sz val="14"/>
      <color rgb="FF0000D4"/>
      <name val="Arial"/>
      <family val="0"/>
      <charset val="1"/>
    </font>
    <font>
      <b val="true"/>
      <i val="true"/>
      <sz val="14"/>
      <color rgb="FF0000D4"/>
      <name val="Arial"/>
      <family val="0"/>
      <charset val="1"/>
    </font>
    <font>
      <sz val="10"/>
      <color rgb="FFC0C0C0"/>
      <name val="Arial"/>
      <family val="0"/>
      <charset val="1"/>
    </font>
    <font>
      <b val="true"/>
      <sz val="10"/>
      <color rgb="FFC0C0C0"/>
      <name val="Noto Sans Symbols"/>
      <family val="0"/>
      <charset val="1"/>
    </font>
    <font>
      <b val="true"/>
      <sz val="10"/>
      <color theme="1"/>
      <name val="Noto Sans Symbols"/>
      <family val="0"/>
      <charset val="1"/>
    </font>
    <font>
      <sz val="10"/>
      <color rgb="FFA5A5A5"/>
      <name val="Arial"/>
      <family val="0"/>
      <charset val="1"/>
    </font>
    <font>
      <b val="true"/>
      <sz val="20"/>
      <color rgb="FF000000"/>
      <name val="Arial"/>
      <family val="2"/>
    </font>
    <font>
      <b val="true"/>
      <sz val="16"/>
      <color rgb="FF000000"/>
      <name val="Arial"/>
      <family val="2"/>
    </font>
    <font>
      <u val="single"/>
      <sz val="10"/>
      <color rgb="FF0000D4"/>
      <name val="Arial"/>
      <family val="0"/>
      <charset val="1"/>
    </font>
  </fonts>
  <fills count="25">
    <fill>
      <patternFill patternType="none"/>
    </fill>
    <fill>
      <patternFill patternType="gray125"/>
    </fill>
    <fill>
      <patternFill patternType="solid">
        <fgColor rgb="FFFFCC00"/>
        <bgColor rgb="FFFCF305"/>
      </patternFill>
    </fill>
    <fill>
      <patternFill patternType="solid">
        <fgColor rgb="FF33CCCC"/>
        <bgColor rgb="FF00CCFF"/>
      </patternFill>
    </fill>
    <fill>
      <patternFill patternType="solid">
        <fgColor rgb="FF969696"/>
        <bgColor rgb="FF8B8B8B"/>
      </patternFill>
    </fill>
    <fill>
      <patternFill patternType="solid">
        <fgColor rgb="FFC0C0C0"/>
        <bgColor rgb="FFBFBFBF"/>
      </patternFill>
    </fill>
    <fill>
      <patternFill patternType="solid">
        <fgColor rgb="FFFCF305"/>
        <bgColor rgb="FFFFFF00"/>
      </patternFill>
    </fill>
    <fill>
      <patternFill patternType="solid">
        <fgColor rgb="FFFFFFFF"/>
        <bgColor rgb="FFCCFFFF"/>
      </patternFill>
    </fill>
    <fill>
      <patternFill patternType="solid">
        <fgColor rgb="FFFF99CC"/>
        <bgColor rgb="FFFFCC99"/>
      </patternFill>
    </fill>
    <fill>
      <patternFill patternType="solid">
        <fgColor rgb="FF00CCFF"/>
        <bgColor rgb="FF33CCCC"/>
      </patternFill>
    </fill>
    <fill>
      <patternFill patternType="solid">
        <fgColor rgb="FFCCFFCC"/>
        <bgColor rgb="FFCCFFFF"/>
      </patternFill>
    </fill>
    <fill>
      <patternFill patternType="solid">
        <fgColor rgb="FFFFFF99"/>
        <bgColor rgb="FFCCFFCC"/>
      </patternFill>
    </fill>
    <fill>
      <patternFill patternType="solid">
        <fgColor rgb="FF99CCFF"/>
        <bgColor rgb="FFC0C0C0"/>
      </patternFill>
    </fill>
    <fill>
      <patternFill patternType="solid">
        <fgColor rgb="FFDD0806"/>
        <bgColor rgb="FFFF0000"/>
      </patternFill>
    </fill>
    <fill>
      <patternFill patternType="solid">
        <fgColor rgb="FF1FB714"/>
        <bgColor rgb="FF339966"/>
      </patternFill>
    </fill>
    <fill>
      <patternFill patternType="solid">
        <fgColor rgb="FF99CC00"/>
        <bgColor rgb="FFFFCC00"/>
      </patternFill>
    </fill>
    <fill>
      <patternFill patternType="solid">
        <fgColor rgb="FFFFCC99"/>
        <bgColor rgb="FFDDD9C3"/>
      </patternFill>
    </fill>
    <fill>
      <patternFill patternType="solid">
        <fgColor rgb="FFFF9900"/>
        <bgColor rgb="FFFFCC00"/>
      </patternFill>
    </fill>
    <fill>
      <patternFill patternType="solid">
        <fgColor rgb="FF808080"/>
        <bgColor rgb="FF8B8B8B"/>
      </patternFill>
    </fill>
    <fill>
      <patternFill patternType="solid">
        <fgColor rgb="FFBFBFBF"/>
        <bgColor rgb="FFC0C0C0"/>
      </patternFill>
    </fill>
    <fill>
      <patternFill patternType="solid">
        <fgColor rgb="FFCCFFFF"/>
        <bgColor rgb="FFCCFFCC"/>
      </patternFill>
    </fill>
    <fill>
      <patternFill patternType="solid">
        <fgColor rgb="FFFFFF00"/>
        <bgColor rgb="FFFCF305"/>
      </patternFill>
    </fill>
    <fill>
      <patternFill patternType="solid">
        <fgColor rgb="FFA5A5A5"/>
        <bgColor rgb="FFB2A1C7"/>
      </patternFill>
    </fill>
    <fill>
      <patternFill patternType="solid">
        <fgColor rgb="FFDDD9C3"/>
        <bgColor rgb="FFD9D9D9"/>
      </patternFill>
    </fill>
    <fill>
      <patternFill patternType="solid">
        <fgColor rgb="FFB2A1C7"/>
        <bgColor rgb="FFA5A5A5"/>
      </patternFill>
    </fill>
  </fills>
  <borders count="55">
    <border diagonalUp="false" diagonalDown="false">
      <left/>
      <right/>
      <top/>
      <bottom/>
      <diagonal/>
    </border>
    <border diagonalUp="false" diagonalDown="false">
      <left/>
      <right/>
      <top style="medium"/>
      <bottom style="mediu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top/>
      <bottom style="medium"/>
      <diagonal/>
    </border>
    <border diagonalUp="false" diagonalDown="false">
      <left/>
      <right/>
      <top/>
      <bottom style="medium"/>
      <diagonal/>
    </border>
    <border diagonalUp="false" diagonalDown="false">
      <left style="thin"/>
      <right style="thin"/>
      <top style="thin"/>
      <bottom style="thin"/>
      <diagonal/>
    </border>
    <border diagonalUp="false" diagonalDown="false">
      <left style="medium">
        <color rgb="FF2E3436"/>
      </left>
      <right style="medium">
        <color rgb="FF2E3436"/>
      </right>
      <top style="medium">
        <color rgb="FF2E3436"/>
      </top>
      <bottom/>
      <diagonal/>
    </border>
    <border diagonalUp="false" diagonalDown="false">
      <left style="medium"/>
      <right style="medium"/>
      <top/>
      <bottom style="medium"/>
      <diagonal/>
    </border>
    <border diagonalUp="false" diagonalDown="false">
      <left style="medium">
        <color rgb="FF2E3436"/>
      </left>
      <right style="medium">
        <color rgb="FF2E3436"/>
      </right>
      <top/>
      <bottom style="medium">
        <color rgb="FF2E3436"/>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right style="thin"/>
      <top/>
      <bottom style="medium"/>
      <diagonal/>
    </border>
    <border diagonalUp="false" diagonalDown="false">
      <left style="medium"/>
      <right style="medium"/>
      <top/>
      <bottom/>
      <diagonal/>
    </border>
    <border diagonalUp="false" diagonalDown="false">
      <left style="thin"/>
      <right style="thin"/>
      <top/>
      <bottom style="thin"/>
      <diagonal/>
    </border>
    <border diagonalUp="false" diagonalDown="false">
      <left style="thin">
        <color rgb="FF2E3436"/>
      </left>
      <right style="thin">
        <color rgb="FF2E3436"/>
      </right>
      <top style="thin">
        <color rgb="FF2E3436"/>
      </top>
      <bottom/>
      <diagonal/>
    </border>
    <border diagonalUp="false" diagonalDown="false">
      <left style="thin">
        <color rgb="FF2E3436"/>
      </left>
      <right style="thin">
        <color rgb="FF2E3436"/>
      </right>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right style="medium"/>
      <top/>
      <bottom style="medium"/>
      <diagonal/>
    </border>
    <border diagonalUp="false" diagonalDown="false">
      <left/>
      <right style="thin"/>
      <top style="medium"/>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color rgb="FF2E3436"/>
      </left>
      <right/>
      <top style="thin">
        <color rgb="FF2E3436"/>
      </top>
      <bottom style="thin">
        <color rgb="FF2E3436"/>
      </bottom>
      <diagonal/>
    </border>
    <border diagonalUp="false" diagonalDown="false">
      <left style="thin"/>
      <right/>
      <top/>
      <bottom style="medium"/>
      <diagonal/>
    </border>
    <border diagonalUp="false" diagonalDown="false">
      <left style="medium"/>
      <right/>
      <top/>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bottom style="medium">
        <color rgb="FF2E3436"/>
      </bottom>
      <diagonal/>
    </border>
    <border diagonalUp="false" diagonalDown="false">
      <left/>
      <right style="thin"/>
      <top style="medium"/>
      <bottom/>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medium"/>
      <right style="thin"/>
      <top style="thin"/>
      <bottom style="thin"/>
      <diagonal/>
    </border>
    <border diagonalUp="false" diagonalDown="false">
      <left style="medium"/>
      <right style="thin"/>
      <top/>
      <bottom/>
      <diagonal/>
    </border>
    <border diagonalUp="false" diagonalDown="false">
      <left/>
      <right style="medium"/>
      <top style="thin"/>
      <bottom/>
      <diagonal/>
    </border>
    <border diagonalUp="false" diagonalDown="false">
      <left style="medium"/>
      <right style="medium"/>
      <top style="medium"/>
      <bottom/>
      <diagonal/>
    </border>
    <border diagonalUp="false" diagonalDown="false">
      <left/>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6" fillId="2" borderId="2" xfId="0" applyFont="true" applyBorder="true" applyAlignment="true" applyProtection="true">
      <alignment horizontal="center" vertical="bottom" textRotation="0" wrapText="false" indent="0" shrinkToFit="false"/>
      <protection locked="true" hidden="false"/>
    </xf>
    <xf numFmtId="164" fontId="7" fillId="2" borderId="3" xfId="0" applyFont="true" applyBorder="true" applyAlignment="true" applyProtection="true">
      <alignment horizontal="left" vertical="bottom" textRotation="0" wrapText="fals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8" fillId="2" borderId="5" xfId="0" applyFont="true" applyBorder="true" applyAlignment="true" applyProtection="true">
      <alignment horizontal="general" vertical="bottom" textRotation="0" wrapText="false" indent="0" shrinkToFit="false"/>
      <protection locked="true" hidden="false"/>
    </xf>
    <xf numFmtId="164" fontId="8" fillId="2" borderId="6" xfId="0" applyFont="true" applyBorder="tru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true">
      <alignment horizontal="left" vertical="bottom"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10" fillId="4" borderId="0" xfId="0" applyFont="true" applyBorder="true" applyAlignment="true" applyProtection="true">
      <alignment horizontal="general" vertical="bottom" textRotation="0" wrapText="false" indent="0" shrinkToFit="false"/>
      <protection locked="true" hidden="false"/>
    </xf>
    <xf numFmtId="164" fontId="8" fillId="4" borderId="0"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false" indent="0" shrinkToFit="false"/>
      <protection locked="true" hidden="false"/>
    </xf>
    <xf numFmtId="164" fontId="10" fillId="5" borderId="0"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general" vertical="bottom" textRotation="0" wrapText="false" indent="0" shrinkToFit="false"/>
      <protection locked="true" hidden="false"/>
    </xf>
    <xf numFmtId="164" fontId="11" fillId="6" borderId="7" xfId="0" applyFont="true" applyBorder="true" applyAlignment="true" applyProtection="true">
      <alignment horizontal="general" vertical="bottom" textRotation="0" wrapText="false" indent="0" shrinkToFit="false"/>
      <protection locked="true" hidden="false"/>
    </xf>
    <xf numFmtId="164" fontId="11" fillId="6" borderId="7" xfId="0" applyFont="true" applyBorder="true" applyAlignment="true" applyProtection="true">
      <alignment horizontal="center" vertical="bottom" textRotation="0" wrapText="false" indent="0" shrinkToFit="false"/>
      <protection locked="true" hidden="false"/>
    </xf>
    <xf numFmtId="164" fontId="12" fillId="2" borderId="2" xfId="0" applyFont="true" applyBorder="true" applyAlignment="true" applyProtection="true">
      <alignment horizontal="center" vertical="bottom" textRotation="0" wrapText="false" indent="0" shrinkToFit="false"/>
      <protection locked="true" hidden="false"/>
    </xf>
    <xf numFmtId="164" fontId="10" fillId="2" borderId="2" xfId="0" applyFont="true" applyBorder="true" applyAlignment="true" applyProtection="true">
      <alignment horizontal="center" vertical="bottom" textRotation="0" wrapText="false" indent="0" shrinkToFit="false"/>
      <protection locked="true" hidden="false"/>
    </xf>
    <xf numFmtId="164" fontId="12" fillId="5" borderId="0" xfId="0" applyFont="true" applyBorder="true" applyAlignment="true" applyProtection="true">
      <alignment horizontal="center" vertical="bottom" textRotation="0" wrapText="false" indent="0" shrinkToFit="false"/>
      <protection locked="true" hidden="false"/>
    </xf>
    <xf numFmtId="164" fontId="8" fillId="5" borderId="0" xfId="0" applyFont="true" applyBorder="true" applyAlignment="true" applyProtection="true">
      <alignment horizontal="left" vertical="bottom" textRotation="0" wrapText="false" indent="0" shrinkToFit="false"/>
      <protection locked="true" hidden="false"/>
    </xf>
    <xf numFmtId="164" fontId="8" fillId="5" borderId="0" xfId="0" applyFont="true" applyBorder="true" applyAlignment="true" applyProtection="true">
      <alignment horizontal="right" vertical="bottom" textRotation="0" wrapText="false" indent="0" shrinkToFit="false"/>
      <protection locked="true" hidden="false"/>
    </xf>
    <xf numFmtId="164" fontId="12" fillId="2" borderId="8" xfId="0" applyFont="true" applyBorder="true" applyAlignment="true" applyProtection="true">
      <alignment horizontal="center" vertical="bottom" textRotation="0" wrapText="false" indent="0" shrinkToFit="false"/>
      <protection locked="true" hidden="false"/>
    </xf>
    <xf numFmtId="164" fontId="7" fillId="2" borderId="9" xfId="0" applyFont="true" applyBorder="true" applyAlignment="true" applyProtection="true">
      <alignment horizontal="center" vertical="bottom" textRotation="0" wrapText="false" indent="0" shrinkToFit="false"/>
      <protection locked="true" hidden="false"/>
    </xf>
    <xf numFmtId="164" fontId="13" fillId="2" borderId="8" xfId="0" applyFont="true" applyBorder="true" applyAlignment="true" applyProtection="true">
      <alignment horizontal="center" vertical="bottom" textRotation="0" wrapText="false" indent="0" shrinkToFit="false"/>
      <protection locked="true" hidden="false"/>
    </xf>
    <xf numFmtId="164" fontId="12" fillId="2" borderId="10" xfId="0" applyFont="true" applyBorder="true" applyAlignment="true" applyProtection="true">
      <alignment horizontal="center" vertical="bottom" textRotation="0" wrapText="false" indent="0" shrinkToFit="false"/>
      <protection locked="true" hidden="false"/>
    </xf>
    <xf numFmtId="165" fontId="12" fillId="2" borderId="2" xfId="0" applyFont="true" applyBorder="true" applyAlignment="true" applyProtection="true">
      <alignment horizontal="center" vertical="bottom" textRotation="0" wrapText="false" indent="0" shrinkToFit="false"/>
      <protection locked="true" hidden="false"/>
    </xf>
    <xf numFmtId="164" fontId="14" fillId="5" borderId="2" xfId="0" applyFont="true" applyBorder="true" applyAlignment="true" applyProtection="true">
      <alignment horizontal="left" vertical="bottom" textRotation="0" wrapText="false" indent="0" shrinkToFit="false"/>
      <protection locked="true" hidden="false"/>
    </xf>
    <xf numFmtId="164" fontId="15" fillId="5" borderId="0" xfId="0" applyFont="true" applyBorder="true" applyAlignment="true" applyProtection="true">
      <alignment horizontal="general" vertical="bottom" textRotation="0" wrapText="false" indent="0" shrinkToFit="false"/>
      <protection locked="true" hidden="false"/>
    </xf>
    <xf numFmtId="164" fontId="14" fillId="5" borderId="0" xfId="0" applyFont="true" applyBorder="true" applyAlignment="true" applyProtection="true">
      <alignment horizontal="center" vertical="bottom" textRotation="0" wrapText="false" indent="0" shrinkToFit="false"/>
      <protection locked="true" hidden="false"/>
    </xf>
    <xf numFmtId="164" fontId="11" fillId="5" borderId="0"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8" fillId="2" borderId="6" xfId="0" applyFont="true" applyBorder="true" applyAlignment="true" applyProtection="true">
      <alignment horizontal="general" vertical="bottom" textRotation="0" wrapText="false" indent="0" shrinkToFit="false"/>
      <protection locked="true" hidden="false"/>
    </xf>
    <xf numFmtId="164" fontId="19" fillId="2" borderId="6" xfId="0" applyFont="true" applyBorder="true" applyAlignment="true" applyProtection="true">
      <alignment horizontal="general" vertical="bottom" textRotation="0" wrapText="false" indent="0" shrinkToFit="false"/>
      <protection locked="true" hidden="false"/>
    </xf>
    <xf numFmtId="165" fontId="10" fillId="2" borderId="6" xfId="0" applyFont="true" applyBorder="true" applyAlignment="true" applyProtection="true">
      <alignment horizontal="general" vertical="bottom" textRotation="0" wrapText="false" indent="0" shrinkToFit="false"/>
      <protection locked="true" hidden="false"/>
    </xf>
    <xf numFmtId="164" fontId="8" fillId="7"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7" fillId="8" borderId="11" xfId="0" applyFont="true" applyBorder="true" applyAlignment="true" applyProtection="true">
      <alignment horizontal="general" vertical="bottom" textRotation="0" wrapText="false" indent="0" shrinkToFit="false"/>
      <protection locked="true" hidden="false"/>
    </xf>
    <xf numFmtId="164" fontId="8" fillId="8" borderId="12" xfId="0" applyFont="true" applyBorder="true" applyAlignment="true" applyProtection="true">
      <alignment horizontal="general" vertical="bottom" textRotation="0" wrapText="false" indent="0" shrinkToFit="false"/>
      <protection locked="true" hidden="false"/>
    </xf>
    <xf numFmtId="164" fontId="8" fillId="8" borderId="13" xfId="0" applyFont="true" applyBorder="true" applyAlignment="true" applyProtection="true">
      <alignment horizontal="general" vertical="bottom" textRotation="0" wrapText="false" indent="0" shrinkToFit="false"/>
      <protection locked="true" hidden="false"/>
    </xf>
    <xf numFmtId="164" fontId="10" fillId="9"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general" vertical="bottom" textRotation="0" wrapText="false" indent="0" shrinkToFit="false"/>
      <protection locked="true" hidden="false"/>
    </xf>
    <xf numFmtId="164" fontId="15" fillId="12" borderId="7" xfId="0" applyFont="true" applyBorder="true" applyAlignment="true" applyProtection="true">
      <alignment horizontal="center" vertical="bottom" textRotation="0" wrapText="false" indent="0" shrinkToFit="false"/>
      <protection locked="true" hidden="false"/>
    </xf>
    <xf numFmtId="164" fontId="20" fillId="7" borderId="0"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8" fillId="7" borderId="0" xfId="0" applyFont="true" applyBorder="true" applyAlignment="true" applyProtection="true">
      <alignment horizontal="center" vertical="bottom" textRotation="0" wrapText="false" indent="0" shrinkToFit="false"/>
      <protection locked="true" hidden="false"/>
    </xf>
    <xf numFmtId="164" fontId="11" fillId="2" borderId="7" xfId="0" applyFont="true" applyBorder="true" applyAlignment="true" applyProtection="true">
      <alignment horizontal="center" vertical="bottom" textRotation="0" wrapText="false" indent="0" shrinkToFit="false"/>
      <protection locked="true" hidden="false"/>
    </xf>
    <xf numFmtId="164" fontId="19" fillId="6" borderId="2" xfId="0" applyFont="true" applyBorder="true" applyAlignment="true" applyProtection="true">
      <alignment horizontal="center" vertical="bottom" textRotation="0" wrapText="false" indent="0" shrinkToFit="false"/>
      <protection locked="true" hidden="false"/>
    </xf>
    <xf numFmtId="164" fontId="10" fillId="13" borderId="7" xfId="0" applyFont="true" applyBorder="true" applyAlignment="true" applyProtection="true">
      <alignment horizontal="center" vertical="bottom" textRotation="0" wrapText="false" indent="0" shrinkToFit="false"/>
      <protection locked="true" hidden="false"/>
    </xf>
    <xf numFmtId="164" fontId="10" fillId="14" borderId="7" xfId="0" applyFont="true" applyBorder="true" applyAlignment="true" applyProtection="true">
      <alignment horizontal="center" vertical="bottom" textRotation="0" wrapText="false" indent="0" shrinkToFit="false"/>
      <protection locked="true" hidden="false"/>
    </xf>
    <xf numFmtId="164" fontId="10" fillId="6" borderId="7" xfId="0" applyFont="true" applyBorder="true" applyAlignment="true" applyProtection="true">
      <alignment horizontal="center" vertical="bottom" textRotation="0" wrapText="false" indent="0" shrinkToFit="false"/>
      <protection locked="true" hidden="false"/>
    </xf>
    <xf numFmtId="164" fontId="10" fillId="8" borderId="11" xfId="0" applyFont="true" applyBorder="true" applyAlignment="true" applyProtection="true">
      <alignment horizontal="general" vertical="bottom" textRotation="0" wrapText="false" indent="0" shrinkToFit="false"/>
      <protection locked="true" hidden="false"/>
    </xf>
    <xf numFmtId="164" fontId="10" fillId="8" borderId="12" xfId="0" applyFont="true" applyBorder="true" applyAlignment="true" applyProtection="true">
      <alignment horizontal="general" vertical="bottom" textRotation="0" wrapText="false" indent="0" shrinkToFit="false"/>
      <protection locked="true" hidden="false"/>
    </xf>
    <xf numFmtId="164" fontId="8" fillId="15" borderId="7" xfId="0" applyFont="true" applyBorder="true" applyAlignment="true" applyProtection="true">
      <alignment horizontal="center" vertical="bottom" textRotation="0" wrapText="false" indent="0" shrinkToFit="false"/>
      <protection locked="true" hidden="false"/>
    </xf>
    <xf numFmtId="164" fontId="8" fillId="15" borderId="7" xfId="0" applyFont="true" applyBorder="true" applyAlignment="true" applyProtection="true">
      <alignment horizontal="general" vertical="bottom" textRotation="0" wrapText="false" indent="0" shrinkToFit="false"/>
      <protection locked="true" hidden="false"/>
    </xf>
    <xf numFmtId="164" fontId="10" fillId="16" borderId="11" xfId="0" applyFont="true" applyBorder="true" applyAlignment="true" applyProtection="true">
      <alignment horizontal="general" vertical="bottom" textRotation="0" wrapText="false" indent="0" shrinkToFit="false"/>
      <protection locked="true" hidden="false"/>
    </xf>
    <xf numFmtId="164" fontId="8" fillId="16" borderId="12" xfId="0" applyFont="true" applyBorder="true" applyAlignment="true" applyProtection="true">
      <alignment horizontal="general" vertical="bottom" textRotation="0" wrapText="false" indent="0" shrinkToFit="false"/>
      <protection locked="true" hidden="false"/>
    </xf>
    <xf numFmtId="164" fontId="10" fillId="9" borderId="11" xfId="0" applyFont="true" applyBorder="true" applyAlignment="true" applyProtection="true">
      <alignment horizontal="general" vertical="bottom" textRotation="0" wrapText="false" indent="0" shrinkToFit="false"/>
      <protection locked="true" hidden="false"/>
    </xf>
    <xf numFmtId="164" fontId="8" fillId="9" borderId="12" xfId="0" applyFont="true" applyBorder="true" applyAlignment="true" applyProtection="true">
      <alignment horizontal="general" vertical="bottom" textRotation="0" wrapText="false" indent="0" shrinkToFit="false"/>
      <protection locked="true" hidden="false"/>
    </xf>
    <xf numFmtId="164" fontId="8" fillId="9" borderId="13" xfId="0" applyFont="true" applyBorder="true" applyAlignment="true" applyProtection="true">
      <alignment horizontal="general" vertical="bottom" textRotation="0" wrapText="false" indent="0" shrinkToFit="false"/>
      <protection locked="true" hidden="false"/>
    </xf>
    <xf numFmtId="164" fontId="10" fillId="9" borderId="13" xfId="0" applyFont="true" applyBorder="true" applyAlignment="true" applyProtection="true">
      <alignment horizontal="general" vertical="bottom" textRotation="0" wrapText="false" indent="0" shrinkToFit="false"/>
      <protection locked="true" hidden="false"/>
    </xf>
    <xf numFmtId="166" fontId="8" fillId="7" borderId="0" xfId="0" applyFont="true" applyBorder="true" applyAlignment="true" applyProtection="true">
      <alignment horizontal="center" vertical="bottom" textRotation="0" wrapText="false" indent="0" shrinkToFit="false"/>
      <protection locked="true" hidden="false"/>
    </xf>
    <xf numFmtId="164" fontId="22" fillId="7" borderId="7" xfId="0" applyFont="true" applyBorder="true" applyAlignment="true" applyProtection="true">
      <alignment horizontal="center" vertical="bottom" textRotation="0" wrapText="false" indent="0" shrinkToFit="false"/>
      <protection locked="true" hidden="false"/>
    </xf>
    <xf numFmtId="164" fontId="22" fillId="7" borderId="11" xfId="0" applyFont="true" applyBorder="true" applyAlignment="true" applyProtection="true">
      <alignment horizontal="left" vertical="bottom" textRotation="0" wrapText="false" indent="0" shrinkToFit="false"/>
      <protection locked="true" hidden="false"/>
    </xf>
    <xf numFmtId="164" fontId="10" fillId="7" borderId="13" xfId="0" applyFont="true" applyBorder="true" applyAlignment="true" applyProtection="true">
      <alignment horizontal="center" vertical="bottom" textRotation="0" wrapText="false" indent="0" shrinkToFit="false"/>
      <protection locked="true" hidden="false"/>
    </xf>
    <xf numFmtId="164" fontId="8" fillId="7" borderId="13" xfId="0" applyFont="true" applyBorder="true" applyAlignment="true" applyProtection="true">
      <alignment horizontal="general" vertical="bottom" textRotation="0" wrapText="false" indent="0" shrinkToFit="false"/>
      <protection locked="true" hidden="false"/>
    </xf>
    <xf numFmtId="164" fontId="8" fillId="7" borderId="12" xfId="0" applyFont="true" applyBorder="true" applyAlignment="true" applyProtection="true">
      <alignment horizontal="general" vertical="bottom" textRotation="0" wrapText="false" indent="0" shrinkToFit="false"/>
      <protection locked="true" hidden="false"/>
    </xf>
    <xf numFmtId="167" fontId="8" fillId="7" borderId="7" xfId="0" applyFont="true" applyBorder="true" applyAlignment="true" applyProtection="true">
      <alignment horizontal="center" vertical="bottom" textRotation="0" wrapText="false" indent="0" shrinkToFit="false"/>
      <protection locked="true" hidden="false"/>
    </xf>
    <xf numFmtId="168" fontId="8" fillId="7" borderId="7" xfId="0" applyFont="true" applyBorder="true" applyAlignment="true" applyProtection="true">
      <alignment horizontal="center" vertical="bottom" textRotation="0" wrapText="false" indent="0" shrinkToFit="false"/>
      <protection locked="true" hidden="false"/>
    </xf>
    <xf numFmtId="164" fontId="11" fillId="7" borderId="11" xfId="0" applyFont="true" applyBorder="true" applyAlignment="true" applyProtection="true">
      <alignment horizontal="general" vertical="bottom" textRotation="0" wrapText="false" indent="0" shrinkToFit="false"/>
      <protection locked="true" hidden="false"/>
    </xf>
    <xf numFmtId="164" fontId="8" fillId="7" borderId="7" xfId="0" applyFont="true" applyBorder="true" applyAlignment="true" applyProtection="true">
      <alignment horizontal="center" vertical="bottom" textRotation="0" wrapText="false" indent="0" shrinkToFit="false"/>
      <protection locked="true" hidden="false"/>
    </xf>
    <xf numFmtId="164" fontId="8" fillId="7" borderId="11" xfId="0" applyFont="true" applyBorder="true" applyAlignment="true" applyProtection="true">
      <alignment horizontal="general" vertical="bottom" textRotation="0" wrapText="false" indent="0" shrinkToFit="false"/>
      <protection locked="true" hidden="false"/>
    </xf>
    <xf numFmtId="164" fontId="11" fillId="7" borderId="7" xfId="0" applyFont="true" applyBorder="true" applyAlignment="true" applyProtection="true">
      <alignment horizontal="center" vertical="bottom" textRotation="0" wrapText="false" indent="0" shrinkToFit="false"/>
      <protection locked="true" hidden="false"/>
    </xf>
    <xf numFmtId="164" fontId="8" fillId="7" borderId="7" xfId="0" applyFont="true" applyBorder="true" applyAlignment="true" applyProtection="true">
      <alignment horizontal="center" vertical="center" textRotation="0" wrapText="false" indent="0" shrinkToFit="false"/>
      <protection locked="true" hidden="false"/>
    </xf>
    <xf numFmtId="168" fontId="8" fillId="7" borderId="7" xfId="0" applyFont="true" applyBorder="true" applyAlignment="true" applyProtection="true">
      <alignment horizontal="center" vertical="center" textRotation="0" wrapText="false" indent="0" shrinkToFit="false"/>
      <protection locked="true" hidden="false"/>
    </xf>
    <xf numFmtId="164" fontId="25" fillId="2" borderId="3" xfId="0" applyFont="true" applyBorder="true" applyAlignment="true" applyProtection="true">
      <alignment horizontal="general" vertical="bottom" textRotation="0" wrapText="false" indent="0" shrinkToFit="false"/>
      <protection locked="true" hidden="false"/>
    </xf>
    <xf numFmtId="164" fontId="19" fillId="2" borderId="1" xfId="0" applyFont="true" applyBorder="true" applyAlignment="true" applyProtection="true">
      <alignment horizontal="general" vertical="bottom" textRotation="0" wrapText="false" indent="0" shrinkToFit="false"/>
      <protection locked="true" hidden="false"/>
    </xf>
    <xf numFmtId="164" fontId="10" fillId="2" borderId="1" xfId="0" applyFont="true" applyBorder="true" applyAlignment="true" applyProtection="true">
      <alignment horizontal="general" vertical="bottom" textRotation="0" wrapText="false" indent="0" shrinkToFit="false"/>
      <protection locked="true" hidden="false"/>
    </xf>
    <xf numFmtId="165" fontId="10" fillId="2" borderId="1" xfId="0" applyFont="true" applyBorder="true" applyAlignment="true" applyProtection="true">
      <alignment horizontal="general" vertical="bottom" textRotation="0" wrapText="false" indent="0" shrinkToFit="false"/>
      <protection locked="true" hidden="false"/>
    </xf>
    <xf numFmtId="164" fontId="8" fillId="2" borderId="14" xfId="0" applyFont="true" applyBorder="true" applyAlignment="true" applyProtection="true">
      <alignment horizontal="general" vertical="bottom" textRotation="0" wrapText="false" indent="0" shrinkToFit="false"/>
      <protection locked="true" hidden="false"/>
    </xf>
    <xf numFmtId="164" fontId="10" fillId="17" borderId="15"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general" vertical="bottom" textRotation="0" wrapText="false" indent="0" shrinkToFit="false"/>
      <protection locked="true" hidden="false"/>
    </xf>
    <xf numFmtId="164" fontId="26" fillId="17" borderId="9"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right" vertical="bottom" textRotation="0" wrapText="false" indent="0" shrinkToFit="false"/>
      <protection locked="true" hidden="false"/>
    </xf>
    <xf numFmtId="164" fontId="13" fillId="12" borderId="2" xfId="0" applyFont="true" applyBorder="true" applyAlignment="true" applyProtection="true">
      <alignment horizontal="center" vertical="bottom" textRotation="0" wrapText="false" indent="0" shrinkToFit="false"/>
      <protection locked="true" hidden="false"/>
    </xf>
    <xf numFmtId="164" fontId="27" fillId="6" borderId="2" xfId="0" applyFont="true" applyBorder="true" applyAlignment="true" applyProtection="true">
      <alignment horizontal="center" vertical="bottom" textRotation="0" wrapText="false" indent="0" shrinkToFit="false"/>
      <protection locked="true" hidden="false"/>
    </xf>
    <xf numFmtId="169" fontId="28" fillId="6" borderId="3" xfId="0" applyFont="true" applyBorder="true" applyAlignment="true" applyProtection="true">
      <alignment horizontal="general" vertical="bottom" textRotation="0" wrapText="false" indent="0" shrinkToFit="false"/>
      <protection locked="true" hidden="false"/>
    </xf>
    <xf numFmtId="164" fontId="19" fillId="6" borderId="4" xfId="0" applyFont="true" applyBorder="true" applyAlignment="true" applyProtection="true">
      <alignment horizontal="center" vertical="bottom" textRotation="0" wrapText="false" indent="0" shrinkToFit="false"/>
      <protection locked="true" hidden="false"/>
    </xf>
    <xf numFmtId="164" fontId="8" fillId="5" borderId="0" xfId="0" applyFont="true" applyBorder="true" applyAlignment="true" applyProtection="true">
      <alignment horizontal="center" vertical="bottom" textRotation="0" wrapText="false" indent="0" shrinkToFit="false"/>
      <protection locked="true" hidden="false"/>
    </xf>
    <xf numFmtId="164" fontId="25" fillId="5" borderId="0" xfId="0" applyFont="true" applyBorder="true" applyAlignment="true" applyProtection="true">
      <alignment horizontal="general" vertical="bottom" textRotation="0" wrapText="false" indent="0" shrinkToFit="false"/>
      <protection locked="true" hidden="false"/>
    </xf>
    <xf numFmtId="164" fontId="8" fillId="0" borderId="7" xfId="0" applyFont="true" applyBorder="true" applyAlignment="true" applyProtection="true">
      <alignment horizontal="center" vertical="center" textRotation="0" wrapText="false" indent="0" shrinkToFit="false"/>
      <protection locked="true" hidden="false"/>
    </xf>
    <xf numFmtId="167" fontId="8" fillId="0" borderId="7" xfId="0" applyFont="true" applyBorder="true" applyAlignment="true" applyProtection="true">
      <alignment horizontal="center" vertical="center" textRotation="0" wrapText="false" indent="0" shrinkToFit="false"/>
      <protection locked="true" hidden="false"/>
    </xf>
    <xf numFmtId="170" fontId="8" fillId="0" borderId="7" xfId="0" applyFont="true" applyBorder="true" applyAlignment="true" applyProtection="true">
      <alignment horizontal="center" vertical="center" textRotation="0" wrapText="false" indent="0" shrinkToFit="false"/>
      <protection locked="true" hidden="false"/>
    </xf>
    <xf numFmtId="164" fontId="29" fillId="5" borderId="0" xfId="0" applyFont="true" applyBorder="true" applyAlignment="true" applyProtection="true">
      <alignment horizontal="center" vertical="bottom" textRotation="0" wrapText="false" indent="0" shrinkToFit="false"/>
      <protection locked="true" hidden="false"/>
    </xf>
    <xf numFmtId="171" fontId="8" fillId="5" borderId="0" xfId="0" applyFont="true" applyBorder="true" applyAlignment="true" applyProtection="true">
      <alignment horizontal="general" vertical="bottom" textRotation="0" wrapText="false" indent="0" shrinkToFit="false"/>
      <protection locked="true" hidden="false"/>
    </xf>
    <xf numFmtId="164" fontId="8" fillId="5" borderId="7" xfId="0" applyFont="true" applyBorder="true" applyAlignment="true" applyProtection="true">
      <alignment horizontal="center" vertical="bottom" textRotation="0" wrapText="false" indent="0" shrinkToFit="false"/>
      <protection locked="true" hidden="false"/>
    </xf>
    <xf numFmtId="164" fontId="15" fillId="12" borderId="16"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general" vertical="bottom" textRotation="0" wrapText="false" indent="0" shrinkToFit="false"/>
      <protection locked="true" hidden="false"/>
    </xf>
    <xf numFmtId="164" fontId="15" fillId="5" borderId="6"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center" vertical="bottom" textRotation="0" wrapText="false" indent="0" shrinkToFit="false"/>
      <protection locked="true" hidden="false"/>
    </xf>
    <xf numFmtId="171" fontId="8" fillId="5" borderId="6" xfId="0" applyFont="true" applyBorder="true" applyAlignment="true" applyProtection="true">
      <alignment horizontal="general" vertical="bottom" textRotation="0" wrapText="false" indent="0" shrinkToFit="false"/>
      <protection locked="true" hidden="false"/>
    </xf>
    <xf numFmtId="164" fontId="30" fillId="12" borderId="0" xfId="0" applyFont="true" applyBorder="true" applyAlignment="true" applyProtection="true">
      <alignment horizontal="left" vertical="bottom" textRotation="0" wrapText="false" indent="0" shrinkToFit="false"/>
      <protection locked="true" hidden="false"/>
    </xf>
    <xf numFmtId="164" fontId="8" fillId="12" borderId="0" xfId="0" applyFont="true" applyBorder="true" applyAlignment="true" applyProtection="true">
      <alignment horizontal="general" vertical="bottom" textRotation="0" wrapText="false" indent="0" shrinkToFit="false"/>
      <protection locked="true" hidden="false"/>
    </xf>
    <xf numFmtId="164" fontId="31" fillId="5" borderId="0" xfId="0" applyFont="true" applyBorder="true" applyAlignment="true" applyProtection="true">
      <alignment horizontal="center" vertical="bottom" textRotation="0" wrapText="false" indent="0" shrinkToFit="false"/>
      <protection locked="true" hidden="false"/>
    </xf>
    <xf numFmtId="164" fontId="21" fillId="0" borderId="11" xfId="0" applyFont="true" applyBorder="true" applyAlignment="true" applyProtection="true">
      <alignment horizontal="center" vertical="bottom" textRotation="0" wrapText="false" indent="0" shrinkToFit="false"/>
      <protection locked="true" hidden="false"/>
    </xf>
    <xf numFmtId="164" fontId="21" fillId="0" borderId="13" xfId="0" applyFont="true" applyBorder="true" applyAlignment="true" applyProtection="true">
      <alignment horizontal="center" vertical="bottom" textRotation="0" wrapText="false" indent="0" shrinkToFit="false"/>
      <protection locked="true" hidden="false"/>
    </xf>
    <xf numFmtId="164" fontId="21" fillId="0" borderId="12" xfId="0" applyFont="true" applyBorder="true" applyAlignment="true" applyProtection="true">
      <alignment horizontal="center" vertical="bottom" textRotation="0" wrapText="false" indent="0" shrinkToFit="false"/>
      <protection locked="true" hidden="false"/>
    </xf>
    <xf numFmtId="172" fontId="8" fillId="5" borderId="0" xfId="0" applyFont="true" applyBorder="true" applyAlignment="true" applyProtection="true">
      <alignment horizontal="center" vertical="bottom" textRotation="0" wrapText="false" indent="0" shrinkToFit="false"/>
      <protection locked="true" hidden="false"/>
    </xf>
    <xf numFmtId="173" fontId="15" fillId="12" borderId="7" xfId="0" applyFont="true" applyBorder="true" applyAlignment="true" applyProtection="true">
      <alignment horizontal="center" vertical="bottom" textRotation="0" wrapText="false" indent="0" shrinkToFit="false"/>
      <protection locked="true" hidden="false"/>
    </xf>
    <xf numFmtId="174" fontId="15" fillId="12" borderId="7" xfId="0" applyFont="true" applyBorder="true" applyAlignment="true" applyProtection="true">
      <alignment horizontal="center" vertical="bottom" textRotation="0" wrapText="false" indent="0" shrinkToFit="false"/>
      <protection locked="true" hidden="false"/>
    </xf>
    <xf numFmtId="175" fontId="8" fillId="5" borderId="0" xfId="0" applyFont="true" applyBorder="true" applyAlignment="true" applyProtection="true">
      <alignment horizontal="center" vertical="bottom" textRotation="0" wrapText="false" indent="0" shrinkToFit="false"/>
      <protection locked="true" hidden="false"/>
    </xf>
    <xf numFmtId="176" fontId="8" fillId="5" borderId="0" xfId="0" applyFont="true" applyBorder="true" applyAlignment="true" applyProtection="true">
      <alignment horizontal="center" vertical="bottom" textRotation="0" wrapText="false" indent="0" shrinkToFit="false"/>
      <protection locked="true" hidden="false"/>
    </xf>
    <xf numFmtId="171" fontId="32" fillId="0" borderId="17" xfId="0" applyFont="true" applyBorder="true" applyAlignment="true" applyProtection="true">
      <alignment horizontal="center" vertical="bottom" textRotation="0" wrapText="false" indent="0" shrinkToFit="false"/>
      <protection locked="true" hidden="false"/>
    </xf>
    <xf numFmtId="167" fontId="32" fillId="0" borderId="18" xfId="0" applyFont="true" applyBorder="true" applyAlignment="true" applyProtection="true">
      <alignment horizontal="center" vertical="bottom" textRotation="0" wrapText="false" indent="0" shrinkToFit="false"/>
      <protection locked="true" hidden="false"/>
    </xf>
    <xf numFmtId="171" fontId="32" fillId="0" borderId="18" xfId="0" applyFont="true" applyBorder="true" applyAlignment="true" applyProtection="true">
      <alignment horizontal="center" vertical="bottom" textRotation="0" wrapText="false" indent="0" shrinkToFit="false"/>
      <protection locked="true" hidden="false"/>
    </xf>
    <xf numFmtId="171" fontId="15" fillId="0" borderId="16" xfId="0" applyFont="true" applyBorder="true" applyAlignment="true" applyProtection="true">
      <alignment horizontal="center" vertical="bottom" textRotation="0" wrapText="false" indent="0" shrinkToFit="false"/>
      <protection locked="true" hidden="false"/>
    </xf>
    <xf numFmtId="177" fontId="8" fillId="5" borderId="0" xfId="0" applyFont="true" applyBorder="true" applyAlignment="true" applyProtection="true">
      <alignment horizontal="center" vertical="bottom" textRotation="0" wrapText="false" indent="0" shrinkToFit="false"/>
      <protection locked="true" hidden="false"/>
    </xf>
    <xf numFmtId="178" fontId="8" fillId="5" borderId="0" xfId="0" applyFont="true" applyBorder="true" applyAlignment="true" applyProtection="true">
      <alignment horizontal="center" vertical="bottom" textRotation="0" wrapText="false" indent="0" shrinkToFit="false"/>
      <protection locked="true" hidden="false"/>
    </xf>
    <xf numFmtId="171" fontId="8" fillId="5" borderId="0" xfId="0" applyFont="true" applyBorder="true" applyAlignment="true" applyProtection="true">
      <alignment horizontal="center" vertical="bottom" textRotation="0" wrapText="false" indent="0" shrinkToFit="false"/>
      <protection locked="true" hidden="false"/>
    </xf>
    <xf numFmtId="167" fontId="13" fillId="12" borderId="7" xfId="0" applyFont="true" applyBorder="true" applyAlignment="true" applyProtection="true">
      <alignment horizontal="center" vertical="bottom" textRotation="0" wrapText="false" indent="0" shrinkToFit="false"/>
      <protection locked="true" hidden="false"/>
    </xf>
    <xf numFmtId="175" fontId="19" fillId="6" borderId="2" xfId="0" applyFont="true" applyBorder="true" applyAlignment="true" applyProtection="true">
      <alignment horizontal="center" vertical="bottom" textRotation="0" wrapText="false" indent="0" shrinkToFit="false"/>
      <protection locked="true" hidden="false"/>
    </xf>
    <xf numFmtId="164" fontId="8" fillId="5" borderId="6" xfId="0" applyFont="true" applyBorder="true" applyAlignment="true" applyProtection="true">
      <alignment horizontal="right" vertical="bottom" textRotation="0" wrapText="false" indent="0" shrinkToFit="false"/>
      <protection locked="true" hidden="false"/>
    </xf>
    <xf numFmtId="164" fontId="8" fillId="0" borderId="6" xfId="0" applyFont="true" applyBorder="true" applyAlignment="true" applyProtection="true">
      <alignment horizontal="general" vertical="bottom" textRotation="0" wrapText="false" indent="0" shrinkToFit="false"/>
      <protection locked="true" hidden="false"/>
    </xf>
    <xf numFmtId="164" fontId="30" fillId="12" borderId="0" xfId="0" applyFont="true" applyBorder="true" applyAlignment="true" applyProtection="true">
      <alignment horizontal="general" vertical="bottom" textRotation="0" wrapText="false" indent="0" shrinkToFit="false"/>
      <protection locked="true" hidden="false"/>
    </xf>
    <xf numFmtId="164" fontId="8" fillId="6" borderId="16" xfId="0" applyFont="true" applyBorder="true" applyAlignment="true" applyProtection="true">
      <alignment horizontal="center" vertical="bottom" textRotation="0" wrapText="false" indent="0" shrinkToFit="false"/>
      <protection locked="true" hidden="false"/>
    </xf>
    <xf numFmtId="164" fontId="7" fillId="12" borderId="0" xfId="0" applyFont="true" applyBorder="true" applyAlignment="true" applyProtection="true">
      <alignment horizontal="general" vertical="bottom" textRotation="0" wrapText="false" indent="0" shrinkToFit="false"/>
      <protection locked="true" hidden="false"/>
    </xf>
    <xf numFmtId="164" fontId="8" fillId="18" borderId="19" xfId="0" applyFont="true" applyBorder="true" applyAlignment="true" applyProtection="true">
      <alignment horizontal="general" vertical="bottom" textRotation="0" wrapText="false" indent="0" shrinkToFit="false"/>
      <protection locked="true" hidden="false"/>
    </xf>
    <xf numFmtId="164" fontId="8" fillId="18" borderId="20" xfId="0" applyFont="true" applyBorder="true" applyAlignment="true" applyProtection="true">
      <alignment horizontal="general" vertical="bottom" textRotation="0" wrapText="false" indent="0" shrinkToFit="false"/>
      <protection locked="true" hidden="false"/>
    </xf>
    <xf numFmtId="164" fontId="8" fillId="18" borderId="21" xfId="0" applyFont="true" applyBorder="true" applyAlignment="true" applyProtection="true">
      <alignment horizontal="general" vertical="bottom" textRotation="0" wrapText="false" indent="0" shrinkToFit="false"/>
      <protection locked="true" hidden="false"/>
    </xf>
    <xf numFmtId="164" fontId="8" fillId="18" borderId="22" xfId="0" applyFont="true" applyBorder="true" applyAlignment="true" applyProtection="true">
      <alignment horizontal="general" vertical="bottom" textRotation="0" wrapText="false" indent="0" shrinkToFit="false"/>
      <protection locked="true" hidden="false"/>
    </xf>
    <xf numFmtId="164" fontId="8" fillId="18" borderId="0" xfId="0" applyFont="true" applyBorder="true" applyAlignment="true" applyProtection="true">
      <alignment horizontal="general" vertical="bottom" textRotation="0" wrapText="false" indent="0" shrinkToFit="false"/>
      <protection locked="true" hidden="false"/>
    </xf>
    <xf numFmtId="164" fontId="8" fillId="18" borderId="23" xfId="0" applyFont="true" applyBorder="true" applyAlignment="true" applyProtection="true">
      <alignment horizontal="general" vertical="bottom" textRotation="0" wrapText="false" indent="0" shrinkToFit="false"/>
      <protection locked="true" hidden="false"/>
    </xf>
    <xf numFmtId="179" fontId="15" fillId="0" borderId="24" xfId="0" applyFont="true" applyBorder="true" applyAlignment="true" applyProtection="true">
      <alignment horizontal="center" vertical="bottom" textRotation="0" wrapText="false" indent="0" shrinkToFit="false"/>
      <protection locked="true" hidden="false"/>
    </xf>
    <xf numFmtId="164" fontId="15" fillId="0" borderId="16" xfId="0" applyFont="true" applyBorder="true" applyAlignment="true" applyProtection="true">
      <alignment horizontal="center" vertical="bottom" textRotation="0" wrapText="false" indent="0" shrinkToFit="false"/>
      <protection locked="true" hidden="false"/>
    </xf>
    <xf numFmtId="171" fontId="15" fillId="0" borderId="24" xfId="0" applyFont="true" applyBorder="true" applyAlignment="true" applyProtection="true">
      <alignment horizontal="center" vertical="bottom" textRotation="0" wrapText="false" indent="0" shrinkToFit="false"/>
      <protection locked="true" hidden="false"/>
    </xf>
    <xf numFmtId="167" fontId="15" fillId="0" borderId="25" xfId="0" applyFont="true" applyBorder="true" applyAlignment="true" applyProtection="true">
      <alignment horizontal="center" vertical="bottom" textRotation="0" wrapText="false" indent="0" shrinkToFit="false"/>
      <protection locked="true" hidden="false"/>
    </xf>
    <xf numFmtId="164" fontId="13" fillId="5" borderId="0" xfId="0" applyFont="true" applyBorder="true" applyAlignment="true" applyProtection="true">
      <alignment horizontal="center" vertical="bottom" textRotation="0" wrapText="false" indent="0" shrinkToFit="false"/>
      <protection locked="true" hidden="false"/>
    </xf>
    <xf numFmtId="164" fontId="8" fillId="18" borderId="5" xfId="0" applyFont="true" applyBorder="true" applyAlignment="true" applyProtection="true">
      <alignment horizontal="general" vertical="bottom" textRotation="0" wrapText="false" indent="0" shrinkToFit="false"/>
      <protection locked="true" hidden="false"/>
    </xf>
    <xf numFmtId="164" fontId="8" fillId="18" borderId="6" xfId="0" applyFont="true" applyBorder="true" applyAlignment="true" applyProtection="true">
      <alignment horizontal="general" vertical="bottom" textRotation="0" wrapText="false" indent="0" shrinkToFit="false"/>
      <protection locked="true" hidden="false"/>
    </xf>
    <xf numFmtId="164" fontId="8" fillId="18" borderId="26" xfId="0" applyFont="true" applyBorder="true" applyAlignment="true" applyProtection="true">
      <alignment horizontal="general" vertical="bottom" textRotation="0" wrapText="false" indent="0" shrinkToFit="false"/>
      <protection locked="true" hidden="false"/>
    </xf>
    <xf numFmtId="164" fontId="8" fillId="17" borderId="0" xfId="0" applyFont="true" applyBorder="true" applyAlignment="true" applyProtection="true">
      <alignment horizontal="general" vertical="bottom" textRotation="0" wrapText="false" indent="0" shrinkToFit="false"/>
      <protection locked="true" hidden="false"/>
    </xf>
    <xf numFmtId="164" fontId="13" fillId="12" borderId="3" xfId="0" applyFont="true" applyBorder="true" applyAlignment="true" applyProtection="true">
      <alignment horizontal="center" vertical="bottom" textRotation="0" wrapText="false" indent="0" shrinkToFit="false"/>
      <protection locked="true" hidden="false"/>
    </xf>
    <xf numFmtId="180" fontId="10" fillId="6" borderId="3" xfId="0" applyFont="true" applyBorder="true" applyAlignment="true" applyProtection="true">
      <alignment horizontal="general" vertical="bottom" textRotation="0" wrapText="false" indent="0" shrinkToFit="false"/>
      <protection locked="true" hidden="false"/>
    </xf>
    <xf numFmtId="164" fontId="10" fillId="6" borderId="4" xfId="0" applyFont="true" applyBorder="true" applyAlignment="true" applyProtection="true">
      <alignment horizontal="left" vertical="bottom" textRotation="0" wrapText="false" indent="0" shrinkToFit="false"/>
      <protection locked="true" hidden="false"/>
    </xf>
    <xf numFmtId="167" fontId="13" fillId="12" borderId="2" xfId="0" applyFont="true" applyBorder="true" applyAlignment="true" applyProtection="true">
      <alignment horizontal="center" vertical="bottom" textRotation="0" wrapText="false" indent="0" shrinkToFit="false"/>
      <protection locked="true" hidden="false"/>
    </xf>
    <xf numFmtId="164" fontId="10" fillId="5" borderId="0" xfId="0" applyFont="true" applyBorder="true" applyAlignment="true" applyProtection="true">
      <alignment horizontal="left" vertical="bottom" textRotation="0" wrapText="false" indent="0" shrinkToFit="false"/>
      <protection locked="true" hidden="false"/>
    </xf>
    <xf numFmtId="180" fontId="19" fillId="6" borderId="11" xfId="0" applyFont="true" applyBorder="true" applyAlignment="true" applyProtection="true">
      <alignment horizontal="general" vertical="bottom" textRotation="0" wrapText="false" indent="0" shrinkToFit="false"/>
      <protection locked="true" hidden="false"/>
    </xf>
    <xf numFmtId="164" fontId="19" fillId="6" borderId="12" xfId="0" applyFont="true" applyBorder="true" applyAlignment="true" applyProtection="true">
      <alignment horizontal="general" vertical="bottom" textRotation="0" wrapText="false" indent="0" shrinkToFit="false"/>
      <protection locked="true" hidden="false"/>
    </xf>
    <xf numFmtId="164" fontId="21" fillId="5" borderId="0" xfId="0" applyFont="true" applyBorder="true" applyAlignment="true" applyProtection="true">
      <alignment horizontal="center" vertical="bottom" textRotation="0" wrapText="false" indent="0" shrinkToFit="false"/>
      <protection locked="true" hidden="false"/>
    </xf>
    <xf numFmtId="164" fontId="21" fillId="5" borderId="0" xfId="0" applyFont="true" applyBorder="true" applyAlignment="true" applyProtection="true">
      <alignment horizontal="left" vertical="bottom" textRotation="0" wrapText="false" indent="0" shrinkToFit="false"/>
      <protection locked="true" hidden="false"/>
    </xf>
    <xf numFmtId="164" fontId="8" fillId="12" borderId="0" xfId="0" applyFont="true" applyBorder="true" applyAlignment="true" applyProtection="true">
      <alignment horizontal="center" vertical="bottom" textRotation="0" wrapText="false" indent="0" shrinkToFit="false"/>
      <protection locked="true" hidden="false"/>
    </xf>
    <xf numFmtId="167" fontId="8" fillId="12" borderId="0" xfId="0" applyFont="true" applyBorder="true" applyAlignment="true" applyProtection="true">
      <alignment horizontal="center" vertical="bottom" textRotation="0" wrapText="false" indent="0" shrinkToFit="false"/>
      <protection locked="true" hidden="false"/>
    </xf>
    <xf numFmtId="166" fontId="8" fillId="12" borderId="0" xfId="0" applyFont="true" applyBorder="true" applyAlignment="true" applyProtection="true">
      <alignment horizontal="center" vertical="bottom" textRotation="0" wrapText="false" indent="0" shrinkToFit="false"/>
      <protection locked="true" hidden="false"/>
    </xf>
    <xf numFmtId="180" fontId="8" fillId="12" borderId="0" xfId="0" applyFont="true" applyBorder="true" applyAlignment="true" applyProtection="true">
      <alignment horizontal="general" vertical="bottom" textRotation="0" wrapText="false" indent="0" shrinkToFit="false"/>
      <protection locked="true" hidden="false"/>
    </xf>
    <xf numFmtId="167" fontId="8" fillId="12" borderId="0" xfId="0" applyFont="true" applyBorder="true" applyAlignment="true" applyProtection="true">
      <alignment horizontal="general" vertical="bottom" textRotation="0" wrapText="false" indent="0" shrinkToFit="false"/>
      <protection locked="true" hidden="false"/>
    </xf>
    <xf numFmtId="164" fontId="8" fillId="12" borderId="0" xfId="0" applyFont="true" applyBorder="true" applyAlignment="true" applyProtection="true">
      <alignment horizontal="left" vertical="bottom" textRotation="0" wrapText="false" indent="0" shrinkToFit="false"/>
      <protection locked="true" hidden="false"/>
    </xf>
    <xf numFmtId="164" fontId="8" fillId="17" borderId="3" xfId="0" applyFont="true" applyBorder="true" applyAlignment="true" applyProtection="true">
      <alignment horizontal="general" vertical="bottom" textRotation="0" wrapText="false" indent="0" shrinkToFit="false"/>
      <protection locked="true" hidden="false"/>
    </xf>
    <xf numFmtId="164" fontId="8" fillId="17" borderId="1" xfId="0" applyFont="true" applyBorder="true" applyAlignment="true" applyProtection="true">
      <alignment horizontal="general" vertical="bottom" textRotation="0" wrapText="false" indent="0" shrinkToFit="false"/>
      <protection locked="true" hidden="false"/>
    </xf>
    <xf numFmtId="164" fontId="8" fillId="17" borderId="4" xfId="0" applyFont="true" applyBorder="true" applyAlignment="true" applyProtection="true">
      <alignment horizontal="general" vertical="bottom" textRotation="0" wrapText="false" indent="0" shrinkToFit="false"/>
      <protection locked="true" hidden="false"/>
    </xf>
    <xf numFmtId="164" fontId="35" fillId="2" borderId="3" xfId="0" applyFont="true" applyBorder="true" applyAlignment="true" applyProtection="true">
      <alignment horizontal="general" vertical="bottom" textRotation="0" wrapText="false" indent="0" shrinkToFit="false"/>
      <protection locked="true" hidden="false"/>
    </xf>
    <xf numFmtId="164" fontId="8" fillId="2" borderId="27" xfId="0" applyFont="true" applyBorder="true" applyAlignment="true" applyProtection="true">
      <alignment horizontal="general" vertical="bottom" textRotation="0" wrapText="false" indent="0" shrinkToFit="false"/>
      <protection locked="true" hidden="false"/>
    </xf>
    <xf numFmtId="167" fontId="8" fillId="6" borderId="1" xfId="0" applyFont="true" applyBorder="true" applyAlignment="true" applyProtection="true">
      <alignment horizontal="general" vertical="bottom" textRotation="0" wrapText="false" indent="0" shrinkToFit="false"/>
      <protection locked="true" hidden="false"/>
    </xf>
    <xf numFmtId="164" fontId="8" fillId="6" borderId="4" xfId="0" applyFont="true" applyBorder="true" applyAlignment="true" applyProtection="true">
      <alignment horizontal="general" vertical="bottom" textRotation="0" wrapText="false" indent="0" shrinkToFit="false"/>
      <protection locked="true" hidden="false"/>
    </xf>
    <xf numFmtId="164" fontId="8" fillId="2" borderId="3" xfId="0" applyFont="true" applyBorder="true" applyAlignment="true" applyProtection="true">
      <alignment horizontal="general" vertical="bottom" textRotation="0" wrapText="false" indent="0" shrinkToFit="false"/>
      <protection locked="true" hidden="false"/>
    </xf>
    <xf numFmtId="167" fontId="15" fillId="12" borderId="1" xfId="0" applyFont="true" applyBorder="true" applyAlignment="true" applyProtection="true">
      <alignment horizontal="general" vertical="bottom" textRotation="0" wrapText="false" indent="0" shrinkToFit="false"/>
      <protection locked="true" hidden="false"/>
    </xf>
    <xf numFmtId="164" fontId="15" fillId="12" borderId="4" xfId="0" applyFont="true" applyBorder="true" applyAlignment="true" applyProtection="true">
      <alignment horizontal="general" vertical="bottom" textRotation="0" wrapText="false" indent="0" shrinkToFit="false"/>
      <protection locked="true" hidden="false"/>
    </xf>
    <xf numFmtId="171" fontId="8" fillId="6" borderId="1" xfId="0" applyFont="true" applyBorder="true" applyAlignment="true" applyProtection="true">
      <alignment horizontal="general" vertical="bottom" textRotation="0" wrapText="false" indent="0" shrinkToFit="false"/>
      <protection locked="true" hidden="false"/>
    </xf>
    <xf numFmtId="167" fontId="8" fillId="6" borderId="6" xfId="0" applyFont="true" applyBorder="true" applyAlignment="true" applyProtection="true">
      <alignment horizontal="general" vertical="bottom" textRotation="0" wrapText="false" indent="0" shrinkToFit="false"/>
      <protection locked="true" hidden="false"/>
    </xf>
    <xf numFmtId="164" fontId="8" fillId="6" borderId="26" xfId="0" applyFont="true" applyBorder="true" applyAlignment="true" applyProtection="true">
      <alignment horizontal="general" vertical="bottom" textRotation="0" wrapText="false" indent="0" shrinkToFit="false"/>
      <protection locked="true" hidden="false"/>
    </xf>
    <xf numFmtId="164" fontId="15" fillId="12" borderId="11" xfId="0" applyFont="true" applyBorder="true" applyAlignment="true" applyProtection="true">
      <alignment horizontal="center" vertical="bottom" textRotation="0" wrapText="false" indent="0" shrinkToFit="false"/>
      <protection locked="true" hidden="false"/>
    </xf>
    <xf numFmtId="167" fontId="8" fillId="12" borderId="13" xfId="0" applyFont="true" applyBorder="true" applyAlignment="true" applyProtection="true">
      <alignment horizontal="center" vertical="bottom" textRotation="0" wrapText="false" indent="0" shrinkToFit="false"/>
      <protection locked="true" hidden="false"/>
    </xf>
    <xf numFmtId="164" fontId="15" fillId="12" borderId="13" xfId="0" applyFont="true" applyBorder="true" applyAlignment="true" applyProtection="true">
      <alignment horizontal="center" vertical="bottom" textRotation="0" wrapText="false" indent="0" shrinkToFit="false"/>
      <protection locked="true" hidden="false"/>
    </xf>
    <xf numFmtId="180" fontId="8" fillId="12" borderId="13" xfId="0" applyFont="true" applyBorder="true" applyAlignment="true" applyProtection="true">
      <alignment horizontal="general" vertical="bottom" textRotation="0" wrapText="false" indent="0" shrinkToFit="false"/>
      <protection locked="true" hidden="false"/>
    </xf>
    <xf numFmtId="167" fontId="8" fillId="12" borderId="13" xfId="0" applyFont="true" applyBorder="true" applyAlignment="true" applyProtection="true">
      <alignment horizontal="general" vertical="bottom" textRotation="0" wrapText="false" indent="0" shrinkToFit="false"/>
      <protection locked="true" hidden="false"/>
    </xf>
    <xf numFmtId="164" fontId="8" fillId="12" borderId="13" xfId="0" applyFont="true" applyBorder="true" applyAlignment="true" applyProtection="true">
      <alignment horizontal="general" vertical="bottom" textRotation="0" wrapText="false" indent="0" shrinkToFit="false"/>
      <protection locked="true" hidden="false"/>
    </xf>
    <xf numFmtId="164" fontId="15" fillId="12" borderId="13" xfId="0" applyFont="true" applyBorder="true" applyAlignment="true" applyProtection="true">
      <alignment horizontal="left" vertical="bottom" textRotation="0" wrapText="false" indent="0" shrinkToFit="false"/>
      <protection locked="true" hidden="false"/>
    </xf>
    <xf numFmtId="164" fontId="11" fillId="12" borderId="13" xfId="0" applyFont="true" applyBorder="true" applyAlignment="true" applyProtection="true">
      <alignment horizontal="general" vertical="bottom" textRotation="0" wrapText="false" indent="0" shrinkToFit="false"/>
      <protection locked="true" hidden="false"/>
    </xf>
    <xf numFmtId="164" fontId="8" fillId="12" borderId="12" xfId="0" applyFont="true" applyBorder="true" applyAlignment="true" applyProtection="true">
      <alignment horizontal="general" vertical="bottom" textRotation="0" wrapText="false" indent="0" shrinkToFit="false"/>
      <protection locked="true" hidden="false"/>
    </xf>
    <xf numFmtId="164" fontId="37" fillId="5" borderId="0" xfId="0" applyFont="true" applyBorder="true" applyAlignment="true" applyProtection="true">
      <alignment horizontal="general" vertical="bottom" textRotation="0" wrapText="false" indent="0" shrinkToFit="false"/>
      <protection locked="true" hidden="false"/>
    </xf>
    <xf numFmtId="164" fontId="37" fillId="5" borderId="0" xfId="0" applyFont="true" applyBorder="true" applyAlignment="true" applyProtection="true">
      <alignment horizontal="center" vertical="bottom" textRotation="0" wrapText="false" indent="0" shrinkToFit="false"/>
      <protection locked="true" hidden="false"/>
    </xf>
    <xf numFmtId="164" fontId="38" fillId="5" borderId="0" xfId="0" applyFont="true" applyBorder="true" applyAlignment="true" applyProtection="true">
      <alignment horizontal="general" vertical="bottom" textRotation="0" wrapText="false" indent="0" shrinkToFit="false"/>
      <protection locked="true" hidden="false"/>
    </xf>
    <xf numFmtId="181" fontId="8" fillId="5" borderId="0" xfId="0" applyFont="true" applyBorder="true" applyAlignment="true" applyProtection="true">
      <alignment horizontal="center" vertical="bottom" textRotation="0" wrapText="false" indent="0" shrinkToFit="false"/>
      <protection locked="true" hidden="false"/>
    </xf>
    <xf numFmtId="164" fontId="39" fillId="5" borderId="0" xfId="0" applyFont="true" applyBorder="true" applyAlignment="true" applyProtection="true">
      <alignment horizontal="general" vertical="bottom" textRotation="0" wrapText="true" indent="0" shrinkToFit="false"/>
      <protection locked="true" hidden="false"/>
    </xf>
    <xf numFmtId="167" fontId="15" fillId="5" borderId="0" xfId="0" applyFont="true" applyBorder="true" applyAlignment="true" applyProtection="true">
      <alignment horizontal="center" vertical="bottom" textRotation="0" wrapText="false" indent="0" shrinkToFit="false"/>
      <protection locked="true" hidden="false"/>
    </xf>
    <xf numFmtId="164" fontId="19" fillId="5" borderId="0" xfId="0" applyFont="true" applyBorder="true" applyAlignment="true" applyProtection="true">
      <alignment horizontal="center" vertical="bottom" textRotation="0" wrapText="false" indent="0" shrinkToFit="false"/>
      <protection locked="true" hidden="false"/>
    </xf>
    <xf numFmtId="167" fontId="10" fillId="5" borderId="0" xfId="0" applyFont="true" applyBorder="true" applyAlignment="true" applyProtection="true">
      <alignment horizontal="center" vertical="bottom" textRotation="0" wrapText="false" indent="0" shrinkToFit="false"/>
      <protection locked="true" hidden="false"/>
    </xf>
    <xf numFmtId="164" fontId="19" fillId="5" borderId="2" xfId="0" applyFont="true" applyBorder="true" applyAlignment="true" applyProtection="true">
      <alignment horizontal="center" vertical="bottom" textRotation="0" wrapText="false" indent="0" shrinkToFit="false"/>
      <protection locked="true" hidden="false"/>
    </xf>
    <xf numFmtId="164" fontId="11" fillId="6" borderId="2" xfId="0" applyFont="true" applyBorder="true" applyAlignment="true" applyProtection="true">
      <alignment horizontal="center" vertical="bottom" textRotation="0" wrapText="false" indent="0" shrinkToFit="false"/>
      <protection locked="true" hidden="false"/>
    </xf>
    <xf numFmtId="177" fontId="15" fillId="12" borderId="2" xfId="0" applyFont="true" applyBorder="true" applyAlignment="true" applyProtection="true">
      <alignment horizontal="center" vertical="bottom" textRotation="0" wrapText="false" indent="0" shrinkToFit="false"/>
      <protection locked="true" hidden="false"/>
    </xf>
    <xf numFmtId="177" fontId="8" fillId="5" borderId="0" xfId="0" applyFont="true" applyBorder="true" applyAlignment="true" applyProtection="true">
      <alignment horizontal="general" vertical="bottom" textRotation="0" wrapText="false" indent="0" shrinkToFit="false"/>
      <protection locked="true" hidden="false"/>
    </xf>
    <xf numFmtId="177" fontId="40" fillId="19" borderId="0" xfId="0" applyFont="true" applyBorder="true" applyAlignment="true" applyProtection="true">
      <alignment horizontal="center" vertical="bottom" textRotation="0" wrapText="false" indent="0" shrinkToFit="false"/>
      <protection locked="true" hidden="false"/>
    </xf>
    <xf numFmtId="167" fontId="8" fillId="5" borderId="0" xfId="0" applyFont="true" applyBorder="true" applyAlignment="true" applyProtection="true">
      <alignment horizontal="left" vertical="bottom" textRotation="0" wrapText="false" indent="0" shrinkToFit="false"/>
      <protection locked="true" hidden="false"/>
    </xf>
    <xf numFmtId="177" fontId="8" fillId="15" borderId="2" xfId="0" applyFont="true" applyBorder="true" applyAlignment="true" applyProtection="true">
      <alignment horizontal="center" vertical="bottom" textRotation="0" wrapText="false" indent="0" shrinkToFit="false"/>
      <protection locked="true" hidden="false"/>
    </xf>
    <xf numFmtId="167" fontId="19" fillId="6" borderId="2" xfId="0" applyFont="true" applyBorder="true" applyAlignment="true" applyProtection="true">
      <alignment horizontal="center" vertical="bottom" textRotation="0" wrapText="false" indent="0" shrinkToFit="false"/>
      <protection locked="true" hidden="false"/>
    </xf>
    <xf numFmtId="177" fontId="11" fillId="6" borderId="2" xfId="0" applyFont="true" applyBorder="true" applyAlignment="true" applyProtection="true">
      <alignment horizontal="center" vertical="bottom" textRotation="0" wrapText="false" indent="0" shrinkToFit="false"/>
      <protection locked="true" hidden="false"/>
    </xf>
    <xf numFmtId="177" fontId="40" fillId="5" borderId="0" xfId="0" applyFont="true" applyBorder="true" applyAlignment="true" applyProtection="true">
      <alignment horizontal="center" vertical="bottom" textRotation="0" wrapText="false" indent="0" shrinkToFit="false"/>
      <protection locked="true" hidden="false"/>
    </xf>
    <xf numFmtId="177" fontId="11" fillId="2" borderId="2" xfId="0" applyFont="true" applyBorder="true" applyAlignment="true" applyProtection="true">
      <alignment horizontal="center" vertical="bottom" textRotation="0" wrapText="false" indent="0" shrinkToFit="false"/>
      <protection locked="true" hidden="false"/>
    </xf>
    <xf numFmtId="177" fontId="11" fillId="5" borderId="0" xfId="0" applyFont="true" applyBorder="true" applyAlignment="true" applyProtection="true">
      <alignment horizontal="center" vertical="bottom" textRotation="0" wrapText="false" indent="0" shrinkToFit="false"/>
      <protection locked="true" hidden="false"/>
    </xf>
    <xf numFmtId="164" fontId="10" fillId="12" borderId="0" xfId="0" applyFont="true" applyBorder="true" applyAlignment="true" applyProtection="true">
      <alignment horizontal="center" vertical="bottom" textRotation="0" wrapText="false" indent="0" shrinkToFit="false"/>
      <protection locked="true" hidden="false"/>
    </xf>
    <xf numFmtId="164" fontId="21" fillId="12" borderId="0" xfId="0" applyFont="true" applyBorder="true" applyAlignment="true" applyProtection="true">
      <alignment horizontal="center" vertical="bottom" textRotation="0" wrapText="false" indent="0" shrinkToFit="false"/>
      <protection locked="true" hidden="false"/>
    </xf>
    <xf numFmtId="164" fontId="8" fillId="6" borderId="7" xfId="0" applyFont="true" applyBorder="true" applyAlignment="true" applyProtection="true">
      <alignment horizontal="center" vertical="bottom" textRotation="0" wrapText="false" indent="0" shrinkToFit="false"/>
      <protection locked="true" hidden="false"/>
    </xf>
    <xf numFmtId="164" fontId="41" fillId="5" borderId="0" xfId="0" applyFont="true" applyBorder="true" applyAlignment="true" applyProtection="true">
      <alignment horizontal="center" vertical="bottom" textRotation="0" wrapText="false" indent="0" shrinkToFit="false"/>
      <protection locked="true" hidden="false"/>
    </xf>
    <xf numFmtId="164" fontId="41" fillId="5" borderId="0" xfId="0" applyFont="true" applyBorder="true" applyAlignment="true" applyProtection="true">
      <alignment horizontal="general" vertical="bottom" textRotation="0" wrapText="false" indent="0" shrinkToFit="false"/>
      <protection locked="true" hidden="false"/>
    </xf>
    <xf numFmtId="167" fontId="8" fillId="5" borderId="0" xfId="0" applyFont="true" applyBorder="true" applyAlignment="true" applyProtection="true">
      <alignment horizontal="center" vertical="bottom" textRotation="0" wrapText="false" indent="0" shrinkToFit="false"/>
      <protection locked="true" hidden="false"/>
    </xf>
    <xf numFmtId="177" fontId="19" fillId="5" borderId="0" xfId="0" applyFont="true" applyBorder="true" applyAlignment="true" applyProtection="true">
      <alignment horizontal="general" vertical="bottom" textRotation="0" wrapText="false" indent="0" shrinkToFit="false"/>
      <protection locked="true" hidden="false"/>
    </xf>
    <xf numFmtId="164" fontId="11" fillId="5" borderId="0" xfId="0" applyFont="true" applyBorder="true" applyAlignment="true" applyProtection="true">
      <alignment horizontal="general" vertical="bottom" textRotation="0" wrapText="false" indent="0" shrinkToFit="false"/>
      <protection locked="true" hidden="false"/>
    </xf>
    <xf numFmtId="177" fontId="15" fillId="5" borderId="0" xfId="0" applyFont="true" applyBorder="true" applyAlignment="true" applyProtection="true">
      <alignment horizontal="center" vertical="bottom" textRotation="0" wrapText="false" indent="0" shrinkToFit="false"/>
      <protection locked="true" hidden="false"/>
    </xf>
    <xf numFmtId="177" fontId="15" fillId="12" borderId="11" xfId="0" applyFont="true" applyBorder="true" applyAlignment="true" applyProtection="true">
      <alignment horizontal="general" vertical="bottom" textRotation="0" wrapText="false" indent="0" shrinkToFit="false"/>
      <protection locked="true" hidden="false"/>
    </xf>
    <xf numFmtId="170" fontId="11" fillId="6" borderId="11" xfId="0" applyFont="true" applyBorder="true" applyAlignment="true" applyProtection="true">
      <alignment horizontal="general" vertical="bottom" textRotation="0" wrapText="false" indent="0" shrinkToFit="false"/>
      <protection locked="true" hidden="false"/>
    </xf>
    <xf numFmtId="177" fontId="8" fillId="6" borderId="12" xfId="0" applyFont="true" applyBorder="true" applyAlignment="true" applyProtection="true">
      <alignment horizontal="center" vertical="bottom" textRotation="0" wrapText="false" indent="0" shrinkToFit="false"/>
      <protection locked="true" hidden="false"/>
    </xf>
    <xf numFmtId="177" fontId="15" fillId="5" borderId="0" xfId="0" applyFont="true" applyBorder="true" applyAlignment="true" applyProtection="true">
      <alignment horizontal="general" vertical="bottom" textRotation="0" wrapText="false" indent="0" shrinkToFit="false"/>
      <protection locked="true" hidden="false"/>
    </xf>
    <xf numFmtId="164" fontId="18" fillId="2" borderId="6" xfId="0" applyFont="true" applyBorder="true" applyAlignment="true" applyProtection="true">
      <alignment horizontal="left" vertical="bottom" textRotation="0" wrapText="false" indent="0" shrinkToFit="false"/>
      <protection locked="true" hidden="false"/>
    </xf>
    <xf numFmtId="164" fontId="10" fillId="2" borderId="6" xfId="0" applyFont="true" applyBorder="true" applyAlignment="true" applyProtection="true">
      <alignment horizontal="center" vertical="bottom" textRotation="0" wrapText="false" indent="0" shrinkToFit="false"/>
      <protection locked="true" hidden="false"/>
    </xf>
    <xf numFmtId="164" fontId="21" fillId="2" borderId="6" xfId="0" applyFont="true" applyBorder="true" applyAlignment="true" applyProtection="true">
      <alignment horizontal="center" vertical="bottom" textRotation="0" wrapText="false" indent="0" shrinkToFit="false"/>
      <protection locked="true" hidden="false"/>
    </xf>
    <xf numFmtId="164" fontId="18" fillId="5" borderId="0" xfId="0" applyFont="true" applyBorder="true" applyAlignment="true" applyProtection="true">
      <alignment horizontal="left" vertical="bottom" textRotation="0" wrapText="false" indent="0" shrinkToFit="false"/>
      <protection locked="true" hidden="false"/>
    </xf>
    <xf numFmtId="164" fontId="19" fillId="6" borderId="7" xfId="0" applyFont="true" applyBorder="true" applyAlignment="true" applyProtection="true">
      <alignment horizontal="center" vertical="center" textRotation="0" wrapText="false" indent="0" shrinkToFit="false"/>
      <protection locked="true" hidden="false"/>
    </xf>
    <xf numFmtId="164" fontId="10" fillId="5" borderId="11" xfId="0" applyFont="true" applyBorder="true" applyAlignment="true" applyProtection="true">
      <alignment horizontal="general" vertical="bottom" textRotation="0" wrapText="false" indent="0" shrinkToFit="false"/>
      <protection locked="true" hidden="false"/>
    </xf>
    <xf numFmtId="164" fontId="8" fillId="5" borderId="13" xfId="0" applyFont="true" applyBorder="true" applyAlignment="true" applyProtection="true">
      <alignment horizontal="general" vertical="bottom" textRotation="0" wrapText="false" indent="0" shrinkToFit="false"/>
      <protection locked="true" hidden="false"/>
    </xf>
    <xf numFmtId="164" fontId="8" fillId="5" borderId="12" xfId="0" applyFont="true" applyBorder="true" applyAlignment="true" applyProtection="true">
      <alignment horizontal="general" vertical="bottom" textRotation="0" wrapText="false" indent="0" shrinkToFit="false"/>
      <protection locked="true" hidden="false"/>
    </xf>
    <xf numFmtId="169" fontId="19" fillId="6" borderId="11" xfId="0" applyFont="true" applyBorder="true" applyAlignment="true" applyProtection="true">
      <alignment horizontal="center" vertical="center" textRotation="0" wrapText="false" indent="0" shrinkToFit="false"/>
      <protection locked="true" hidden="false"/>
    </xf>
    <xf numFmtId="164" fontId="19" fillId="6" borderId="12" xfId="0" applyFont="true" applyBorder="true" applyAlignment="true" applyProtection="true">
      <alignment horizontal="left" vertical="bottom" textRotation="0" wrapText="false" indent="0" shrinkToFit="false"/>
      <protection locked="true" hidden="false"/>
    </xf>
    <xf numFmtId="164" fontId="53" fillId="5" borderId="0" xfId="0" applyFont="true" applyBorder="true" applyAlignment="true" applyProtection="true">
      <alignment horizontal="center" vertical="bottom" textRotation="0" wrapText="false" indent="0" shrinkToFit="false"/>
      <protection locked="true" hidden="false"/>
    </xf>
    <xf numFmtId="177" fontId="8" fillId="5" borderId="11" xfId="0" applyFont="true" applyBorder="true" applyAlignment="true" applyProtection="true">
      <alignment horizontal="center" vertical="bottom" textRotation="0" wrapText="false" indent="0" shrinkToFit="false"/>
      <protection locked="true" hidden="false"/>
    </xf>
    <xf numFmtId="177" fontId="19" fillId="6" borderId="13" xfId="0" applyFont="true" applyBorder="true" applyAlignment="true" applyProtection="true">
      <alignment horizontal="general" vertical="bottom" textRotation="0" wrapText="false" indent="0" shrinkToFit="false"/>
      <protection locked="true" hidden="false"/>
    </xf>
    <xf numFmtId="167" fontId="10" fillId="6" borderId="11" xfId="0" applyFont="true" applyBorder="true" applyAlignment="true" applyProtection="true">
      <alignment horizontal="general" vertical="bottom" textRotation="0" wrapText="false" indent="0" shrinkToFit="false"/>
      <protection locked="true" hidden="false"/>
    </xf>
    <xf numFmtId="164" fontId="10" fillId="6" borderId="12" xfId="0" applyFont="true" applyBorder="true" applyAlignment="true" applyProtection="true">
      <alignment horizontal="general" vertical="bottom" textRotation="0" wrapText="false" indent="0" shrinkToFit="false"/>
      <protection locked="true" hidden="false"/>
    </xf>
    <xf numFmtId="177" fontId="15" fillId="5" borderId="11" xfId="0" applyFont="true" applyBorder="true" applyAlignment="true" applyProtection="true">
      <alignment horizontal="center" vertical="bottom" textRotation="0" wrapText="false" indent="0" shrinkToFit="false"/>
      <protection locked="true" hidden="false"/>
    </xf>
    <xf numFmtId="164" fontId="15" fillId="5" borderId="12" xfId="0" applyFont="true" applyBorder="true" applyAlignment="true" applyProtection="true">
      <alignment horizontal="general" vertical="bottom" textRotation="0" wrapText="false" indent="0" shrinkToFit="false"/>
      <protection locked="true" hidden="false"/>
    </xf>
    <xf numFmtId="177" fontId="15" fillId="5" borderId="11" xfId="0" applyFont="true" applyBorder="true" applyAlignment="true" applyProtection="true">
      <alignment horizontal="general" vertical="bottom" textRotation="0" wrapText="false" indent="0" shrinkToFit="false"/>
      <protection locked="true" hidden="false"/>
    </xf>
    <xf numFmtId="164" fontId="7" fillId="5" borderId="0" xfId="0" applyFont="true" applyBorder="true" applyAlignment="true" applyProtection="true">
      <alignment horizontal="general" vertical="bottom" textRotation="0" wrapText="false" indent="0" shrinkToFit="false"/>
      <protection locked="true" hidden="false"/>
    </xf>
    <xf numFmtId="164" fontId="8" fillId="10" borderId="28" xfId="0" applyFont="true" applyBorder="true" applyAlignment="true" applyProtection="true">
      <alignment horizontal="general" vertical="bottom" textRotation="0" wrapText="false" indent="0" shrinkToFit="false"/>
      <protection locked="true" hidden="false"/>
    </xf>
    <xf numFmtId="164" fontId="8" fillId="10" borderId="29" xfId="0" applyFont="true" applyBorder="true" applyAlignment="true" applyProtection="true">
      <alignment horizontal="general" vertical="bottom" textRotation="0" wrapText="false" indent="0" shrinkToFit="false"/>
      <protection locked="true" hidden="false"/>
    </xf>
    <xf numFmtId="164" fontId="8" fillId="10" borderId="30" xfId="0" applyFont="true" applyBorder="true" applyAlignment="true" applyProtection="true">
      <alignment horizontal="general" vertical="bottom" textRotation="0" wrapText="false" indent="0" shrinkToFit="false"/>
      <protection locked="true" hidden="false"/>
    </xf>
    <xf numFmtId="164" fontId="10" fillId="10" borderId="31" xfId="0" applyFont="true" applyBorder="true" applyAlignment="true" applyProtection="true">
      <alignment horizontal="general" vertical="bottom" textRotation="0" wrapText="false" indent="0" shrinkToFit="false"/>
      <protection locked="true" hidden="false"/>
    </xf>
    <xf numFmtId="164" fontId="8" fillId="10" borderId="32" xfId="0" applyFont="true" applyBorder="true" applyAlignment="true" applyProtection="true">
      <alignment horizontal="general" vertical="bottom" textRotation="0" wrapText="false" indent="0" shrinkToFit="false"/>
      <protection locked="true" hidden="false"/>
    </xf>
    <xf numFmtId="164" fontId="8" fillId="10" borderId="31" xfId="0" applyFont="true" applyBorder="true" applyAlignment="true" applyProtection="true">
      <alignment horizontal="general" vertical="bottom" textRotation="0" wrapText="false" indent="0" shrinkToFit="false"/>
      <protection locked="true" hidden="false"/>
    </xf>
    <xf numFmtId="171" fontId="15" fillId="12" borderId="7" xfId="0" applyFont="true" applyBorder="true" applyAlignment="true" applyProtection="true">
      <alignment horizontal="center" vertical="bottom" textRotation="0" wrapText="false" indent="0" shrinkToFit="false"/>
      <protection locked="true" hidden="false"/>
    </xf>
    <xf numFmtId="167" fontId="8" fillId="6" borderId="7" xfId="0" applyFont="true" applyBorder="true" applyAlignment="true" applyProtection="true">
      <alignment horizontal="center" vertical="bottom" textRotation="0" wrapText="false" indent="0" shrinkToFit="false"/>
      <protection locked="true" hidden="false"/>
    </xf>
    <xf numFmtId="171" fontId="8" fillId="6"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right" vertical="bottom" textRotation="0" wrapText="false" indent="0" shrinkToFit="false"/>
      <protection locked="true" hidden="false"/>
    </xf>
    <xf numFmtId="167" fontId="15" fillId="12" borderId="7" xfId="0" applyFont="true" applyBorder="true" applyAlignment="true" applyProtection="true">
      <alignment horizontal="center" vertical="bottom" textRotation="0" wrapText="false" indent="0" shrinkToFit="false"/>
      <protection locked="true" hidden="false"/>
    </xf>
    <xf numFmtId="167" fontId="8" fillId="10" borderId="0" xfId="0" applyFont="true" applyBorder="true" applyAlignment="true" applyProtection="true">
      <alignment horizontal="center" vertical="bottom" textRotation="0" wrapText="false" indent="0" shrinkToFit="false"/>
      <protection locked="true" hidden="false"/>
    </xf>
    <xf numFmtId="164" fontId="15" fillId="12" borderId="12" xfId="0" applyFont="true" applyBorder="true" applyAlignment="true" applyProtection="true">
      <alignment horizontal="general" vertical="bottom" textRotation="0" wrapText="false" indent="0" shrinkToFit="false"/>
      <protection locked="true" hidden="false"/>
    </xf>
    <xf numFmtId="182" fontId="15" fillId="12" borderId="7" xfId="0" applyFont="true" applyBorder="true" applyAlignment="true" applyProtection="true">
      <alignment horizontal="center" vertical="bottom" textRotation="0" wrapText="false" indent="0" shrinkToFit="false"/>
      <protection locked="true" hidden="false"/>
    </xf>
    <xf numFmtId="177" fontId="8" fillId="15" borderId="7" xfId="0" applyFont="true" applyBorder="true" applyAlignment="true" applyProtection="true">
      <alignment horizontal="center" vertical="bottom" textRotation="0" wrapText="false" indent="0" shrinkToFit="false"/>
      <protection locked="true" hidden="false"/>
    </xf>
    <xf numFmtId="164" fontId="8" fillId="10" borderId="0" xfId="0" applyFont="true" applyBorder="true" applyAlignment="true" applyProtection="true">
      <alignment horizontal="center" vertical="bottom" textRotation="0" wrapText="false" indent="0" shrinkToFit="false"/>
      <protection locked="true" hidden="false"/>
    </xf>
    <xf numFmtId="183" fontId="15" fillId="10" borderId="0" xfId="0" applyFont="true" applyBorder="true" applyAlignment="true" applyProtection="true">
      <alignment horizontal="center" vertical="bottom" textRotation="0" wrapText="false" indent="0" shrinkToFit="false"/>
      <protection locked="true" hidden="false"/>
    </xf>
    <xf numFmtId="164" fontId="15" fillId="12" borderId="11" xfId="0" applyFont="true" applyBorder="true" applyAlignment="true" applyProtection="true">
      <alignment horizontal="general" vertical="bottom" textRotation="0" wrapText="false" indent="0" shrinkToFit="false"/>
      <protection locked="true" hidden="false"/>
    </xf>
    <xf numFmtId="164" fontId="15" fillId="10" borderId="0" xfId="0" applyFont="true" applyBorder="true" applyAlignment="true" applyProtection="true">
      <alignment horizontal="general" vertical="bottom" textRotation="0" wrapText="false" indent="0" shrinkToFit="false"/>
      <protection locked="true" hidden="false"/>
    </xf>
    <xf numFmtId="164" fontId="15" fillId="10" borderId="0" xfId="0" applyFont="true" applyBorder="true" applyAlignment="true" applyProtection="true">
      <alignment horizontal="center" vertical="bottom" textRotation="0" wrapText="false" indent="0" shrinkToFit="false"/>
      <protection locked="true" hidden="false"/>
    </xf>
    <xf numFmtId="171" fontId="19" fillId="6" borderId="7" xfId="0" applyFont="true" applyBorder="true" applyAlignment="true" applyProtection="true">
      <alignment horizontal="center" vertical="bottom" textRotation="0" wrapText="false" indent="0" shrinkToFit="false"/>
      <protection locked="true" hidden="false"/>
    </xf>
    <xf numFmtId="171" fontId="8" fillId="10" borderId="33" xfId="0" applyFont="true" applyBorder="true" applyAlignment="true" applyProtection="true">
      <alignment horizontal="center" vertical="bottom" textRotation="0" wrapText="false" indent="0" shrinkToFit="false"/>
      <protection locked="true" hidden="false"/>
    </xf>
    <xf numFmtId="164" fontId="8" fillId="10" borderId="34" xfId="0" applyFont="true" applyBorder="true" applyAlignment="true" applyProtection="true">
      <alignment horizontal="general" vertical="bottom" textRotation="0" wrapText="false" indent="0" shrinkToFit="false"/>
      <protection locked="true" hidden="false"/>
    </xf>
    <xf numFmtId="164" fontId="8" fillId="10" borderId="33" xfId="0" applyFont="true" applyBorder="true" applyAlignment="true" applyProtection="true">
      <alignment horizontal="general" vertical="bottom" textRotation="0" wrapText="false" indent="0" shrinkToFit="false"/>
      <protection locked="true" hidden="false"/>
    </xf>
    <xf numFmtId="164" fontId="8" fillId="10" borderId="35" xfId="0" applyFont="true" applyBorder="true" applyAlignment="true" applyProtection="true">
      <alignment horizontal="general" vertical="bottom" textRotation="0" wrapText="false" indent="0" shrinkToFit="false"/>
      <protection locked="true" hidden="false"/>
    </xf>
    <xf numFmtId="164" fontId="8" fillId="11" borderId="28" xfId="0" applyFont="true" applyBorder="true" applyAlignment="true" applyProtection="true">
      <alignment horizontal="general" vertical="bottom" textRotation="0" wrapText="false" indent="0" shrinkToFit="false"/>
      <protection locked="true" hidden="false"/>
    </xf>
    <xf numFmtId="164" fontId="8" fillId="11" borderId="29" xfId="0" applyFont="true" applyBorder="true" applyAlignment="true" applyProtection="true">
      <alignment horizontal="general" vertical="bottom" textRotation="0" wrapText="false" indent="0" shrinkToFit="false"/>
      <protection locked="true" hidden="false"/>
    </xf>
    <xf numFmtId="164" fontId="8" fillId="11" borderId="30" xfId="0" applyFont="true" applyBorder="true" applyAlignment="true" applyProtection="true">
      <alignment horizontal="general" vertical="bottom" textRotation="0" wrapText="false" indent="0" shrinkToFit="false"/>
      <protection locked="true" hidden="false"/>
    </xf>
    <xf numFmtId="164" fontId="8" fillId="11" borderId="31" xfId="0" applyFont="true" applyBorder="true" applyAlignment="true" applyProtection="true">
      <alignment horizontal="general" vertical="bottom" textRotation="0" wrapText="false" indent="0" shrinkToFit="false"/>
      <protection locked="true" hidden="false"/>
    </xf>
    <xf numFmtId="164" fontId="8" fillId="11" borderId="32"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right" vertical="bottom" textRotation="0" wrapText="false" indent="0" shrinkToFit="false"/>
      <protection locked="true" hidden="false"/>
    </xf>
    <xf numFmtId="164" fontId="8" fillId="11" borderId="0" xfId="0" applyFont="true" applyBorder="true" applyAlignment="true" applyProtection="true">
      <alignment horizontal="center" vertical="bottom" textRotation="0" wrapText="false" indent="0" shrinkToFit="false"/>
      <protection locked="true" hidden="false"/>
    </xf>
    <xf numFmtId="164" fontId="15" fillId="12" borderId="7" xfId="0" applyFont="true" applyBorder="true" applyAlignment="true" applyProtection="true">
      <alignment horizontal="general" vertical="bottom" textRotation="0" wrapText="false" indent="0" shrinkToFit="false"/>
      <protection locked="true" hidden="false"/>
    </xf>
    <xf numFmtId="183" fontId="15" fillId="11" borderId="0" xfId="0" applyFont="true" applyBorder="true" applyAlignment="true" applyProtection="true">
      <alignment horizontal="center" vertical="bottom" textRotation="0" wrapText="false" indent="0" shrinkToFit="false"/>
      <protection locked="true" hidden="false"/>
    </xf>
    <xf numFmtId="164" fontId="15" fillId="12" borderId="11" xfId="0" applyFont="true" applyBorder="true" applyAlignment="true" applyProtection="true">
      <alignment horizontal="left" vertical="bottom" textRotation="0" wrapText="false" indent="0" shrinkToFit="false"/>
      <protection locked="true" hidden="false"/>
    </xf>
    <xf numFmtId="164" fontId="15" fillId="11" borderId="0" xfId="0" applyFont="true" applyBorder="true" applyAlignment="true" applyProtection="true">
      <alignment horizontal="left" vertical="bottom" textRotation="0" wrapText="false" indent="0" shrinkToFit="false"/>
      <protection locked="true" hidden="false"/>
    </xf>
    <xf numFmtId="164" fontId="15" fillId="11" borderId="0" xfId="0" applyFont="true" applyBorder="true" applyAlignment="true" applyProtection="true">
      <alignment horizontal="center" vertical="bottom" textRotation="0" wrapText="false" indent="0" shrinkToFit="false"/>
      <protection locked="true" hidden="false"/>
    </xf>
    <xf numFmtId="177" fontId="15" fillId="12" borderId="7" xfId="0" applyFont="true" applyBorder="true" applyAlignment="true" applyProtection="true">
      <alignment horizontal="center" vertical="bottom" textRotation="0" wrapText="false" indent="0" shrinkToFit="false"/>
      <protection locked="true" hidden="false"/>
    </xf>
    <xf numFmtId="171" fontId="8" fillId="11" borderId="0" xfId="0" applyFont="true" applyBorder="true" applyAlignment="true" applyProtection="true">
      <alignment horizontal="center" vertical="bottom" textRotation="0" wrapText="false" indent="0" shrinkToFit="false"/>
      <protection locked="true" hidden="false"/>
    </xf>
    <xf numFmtId="164" fontId="8" fillId="11" borderId="34" xfId="0" applyFont="true" applyBorder="true" applyAlignment="true" applyProtection="true">
      <alignment horizontal="general" vertical="bottom" textRotation="0" wrapText="false" indent="0" shrinkToFit="false"/>
      <protection locked="true" hidden="false"/>
    </xf>
    <xf numFmtId="164" fontId="8" fillId="11" borderId="33" xfId="0" applyFont="true" applyBorder="true" applyAlignment="true" applyProtection="true">
      <alignment horizontal="general" vertical="bottom" textRotation="0" wrapText="false" indent="0" shrinkToFit="false"/>
      <protection locked="true" hidden="false"/>
    </xf>
    <xf numFmtId="164" fontId="8" fillId="11" borderId="35" xfId="0" applyFont="true" applyBorder="true" applyAlignment="true" applyProtection="true">
      <alignment horizontal="general" vertical="bottom" textRotation="0" wrapText="false" indent="0" shrinkToFit="false"/>
      <protection locked="true" hidden="false"/>
    </xf>
    <xf numFmtId="164" fontId="10" fillId="10" borderId="28" xfId="0" applyFont="true" applyBorder="true" applyAlignment="true" applyProtection="true">
      <alignment horizontal="general" vertical="bottom" textRotation="0" wrapText="false" indent="0" shrinkToFit="false"/>
      <protection locked="true" hidden="false"/>
    </xf>
    <xf numFmtId="164" fontId="10" fillId="10" borderId="0" xfId="0" applyFont="true" applyBorder="true" applyAlignment="true" applyProtection="true">
      <alignment horizontal="general" vertical="bottom" textRotation="0" wrapText="false" indent="0" shrinkToFit="false"/>
      <protection locked="true" hidden="false"/>
    </xf>
    <xf numFmtId="164" fontId="14" fillId="10" borderId="0" xfId="0" applyFont="true" applyBorder="true" applyAlignment="true" applyProtection="true">
      <alignment horizontal="general" vertical="bottom" textRotation="0" wrapText="false" indent="0" shrinkToFit="false"/>
      <protection locked="true" hidden="false"/>
    </xf>
    <xf numFmtId="164" fontId="56" fillId="10" borderId="0" xfId="0" applyFont="true" applyBorder="true" applyAlignment="true" applyProtection="true">
      <alignment horizontal="general" vertical="bottom" textRotation="0" wrapText="false" indent="0" shrinkToFit="false"/>
      <protection locked="true" hidden="false"/>
    </xf>
    <xf numFmtId="167" fontId="8" fillId="15" borderId="16" xfId="0" applyFont="true" applyBorder="true" applyAlignment="true" applyProtection="true">
      <alignment horizontal="center" vertical="bottom" textRotation="0" wrapText="false" indent="0" shrinkToFit="false"/>
      <protection locked="true" hidden="false"/>
    </xf>
    <xf numFmtId="167" fontId="15" fillId="12" borderId="7" xfId="0" applyFont="true" applyBorder="true" applyAlignment="true" applyProtection="true">
      <alignment horizontal="general" vertical="bottom" textRotation="0" wrapText="false" indent="0" shrinkToFit="false"/>
      <protection locked="true" hidden="false"/>
    </xf>
    <xf numFmtId="164" fontId="10" fillId="16" borderId="28" xfId="0" applyFont="true" applyBorder="true" applyAlignment="true" applyProtection="true">
      <alignment horizontal="general" vertical="bottom" textRotation="0" wrapText="false" indent="0" shrinkToFit="false"/>
      <protection locked="true" hidden="false"/>
    </xf>
    <xf numFmtId="164" fontId="10" fillId="16" borderId="29" xfId="0" applyFont="true" applyBorder="true" applyAlignment="true" applyProtection="true">
      <alignment horizontal="general" vertical="bottom" textRotation="0" wrapText="false" indent="0" shrinkToFit="false"/>
      <protection locked="true" hidden="false"/>
    </xf>
    <xf numFmtId="164" fontId="8" fillId="16" borderId="29" xfId="0" applyFont="true" applyBorder="true" applyAlignment="true" applyProtection="true">
      <alignment horizontal="general" vertical="bottom" textRotation="0" wrapText="false" indent="0" shrinkToFit="false"/>
      <protection locked="true" hidden="false"/>
    </xf>
    <xf numFmtId="164" fontId="8" fillId="16" borderId="31" xfId="0" applyFont="true" applyBorder="true" applyAlignment="true" applyProtection="true">
      <alignment horizontal="general" vertical="bottom" textRotation="0" wrapText="false" indent="0" shrinkToFit="false"/>
      <protection locked="true" hidden="false"/>
    </xf>
    <xf numFmtId="164" fontId="8" fillId="16" borderId="0" xfId="0" applyFont="true" applyBorder="true" applyAlignment="true" applyProtection="true">
      <alignment horizontal="general" vertical="bottom" textRotation="0" wrapText="false" indent="0" shrinkToFit="false"/>
      <protection locked="true" hidden="false"/>
    </xf>
    <xf numFmtId="164" fontId="8" fillId="16" borderId="32" xfId="0" applyFont="true" applyBorder="true" applyAlignment="true" applyProtection="true">
      <alignment horizontal="general" vertical="bottom" textRotation="0" wrapText="false" indent="0" shrinkToFit="false"/>
      <protection locked="true" hidden="false"/>
    </xf>
    <xf numFmtId="178" fontId="11" fillId="6" borderId="7" xfId="0" applyFont="true" applyBorder="true" applyAlignment="true" applyProtection="true">
      <alignment horizontal="center" vertical="bottom" textRotation="0" wrapText="false" indent="0" shrinkToFit="false"/>
      <protection locked="true" hidden="false"/>
    </xf>
    <xf numFmtId="164" fontId="8" fillId="16" borderId="0" xfId="0" applyFont="true" applyBorder="true" applyAlignment="true" applyProtection="true">
      <alignment horizontal="right" vertical="bottom" textRotation="0" wrapText="false" indent="0" shrinkToFit="false"/>
      <protection locked="true" hidden="false"/>
    </xf>
    <xf numFmtId="164" fontId="8" fillId="16" borderId="0" xfId="0" applyFont="true" applyBorder="true" applyAlignment="true" applyProtection="true">
      <alignment horizontal="center" vertical="bottom" textRotation="0" wrapText="false" indent="0" shrinkToFit="false"/>
      <protection locked="true" hidden="false"/>
    </xf>
    <xf numFmtId="167" fontId="8" fillId="2" borderId="7" xfId="0" applyFont="true" applyBorder="true" applyAlignment="true" applyProtection="true">
      <alignment horizontal="center" vertical="bottom" textRotation="0" wrapText="false" indent="0" shrinkToFit="false"/>
      <protection locked="true" hidden="false"/>
    </xf>
    <xf numFmtId="167" fontId="8" fillId="10" borderId="0" xfId="0" applyFont="true" applyBorder="true" applyAlignment="true" applyProtection="true">
      <alignment horizontal="general" vertical="bottom" textRotation="0" wrapText="false" indent="0" shrinkToFit="false"/>
      <protection locked="true" hidden="false"/>
    </xf>
    <xf numFmtId="171" fontId="8" fillId="2" borderId="7" xfId="0" applyFont="true" applyBorder="true" applyAlignment="true" applyProtection="true">
      <alignment horizontal="center" vertical="bottom" textRotation="0" wrapText="false" indent="0" shrinkToFit="false"/>
      <protection locked="true" hidden="false"/>
    </xf>
    <xf numFmtId="164" fontId="19" fillId="10" borderId="0" xfId="0" applyFont="true" applyBorder="true" applyAlignment="true" applyProtection="true">
      <alignment horizontal="general" vertical="bottom" textRotation="0" wrapText="false" indent="0" shrinkToFit="false"/>
      <protection locked="true" hidden="false"/>
    </xf>
    <xf numFmtId="164" fontId="11" fillId="16" borderId="0" xfId="0" applyFont="true" applyBorder="true" applyAlignment="true" applyProtection="true">
      <alignment horizontal="general" vertical="bottom" textRotation="0" wrapText="false" indent="0" shrinkToFit="false"/>
      <protection locked="true" hidden="false"/>
    </xf>
    <xf numFmtId="164" fontId="11" fillId="16" borderId="0" xfId="0" applyFont="true" applyBorder="true" applyAlignment="true" applyProtection="true">
      <alignment horizontal="center" vertical="bottom" textRotation="0" wrapText="false" indent="0" shrinkToFit="false"/>
      <protection locked="true" hidden="false"/>
    </xf>
    <xf numFmtId="167" fontId="19" fillId="6" borderId="7" xfId="0" applyFont="true" applyBorder="true" applyAlignment="true" applyProtection="true">
      <alignment horizontal="center" vertical="bottom" textRotation="0" wrapText="false" indent="0" shrinkToFit="false"/>
      <protection locked="true" hidden="false"/>
    </xf>
    <xf numFmtId="164" fontId="8" fillId="16" borderId="34" xfId="0" applyFont="true" applyBorder="true" applyAlignment="true" applyProtection="true">
      <alignment horizontal="general" vertical="bottom" textRotation="0" wrapText="false" indent="0" shrinkToFit="false"/>
      <protection locked="true" hidden="false"/>
    </xf>
    <xf numFmtId="164" fontId="8" fillId="16" borderId="33" xfId="0" applyFont="true" applyBorder="true" applyAlignment="true" applyProtection="true">
      <alignment horizontal="general" vertical="bottom" textRotation="0" wrapText="false" indent="0" shrinkToFit="false"/>
      <protection locked="true" hidden="false"/>
    </xf>
    <xf numFmtId="164" fontId="8" fillId="16" borderId="35" xfId="0" applyFont="true" applyBorder="true" applyAlignment="true" applyProtection="true">
      <alignment horizontal="general" vertical="bottom" textRotation="0" wrapText="false" indent="0" shrinkToFit="false"/>
      <protection locked="true" hidden="false"/>
    </xf>
    <xf numFmtId="164" fontId="10" fillId="11" borderId="28" xfId="0" applyFont="true" applyBorder="true" applyAlignment="true" applyProtection="true">
      <alignment horizontal="general" vertical="bottom" textRotation="0" wrapText="false" indent="0" shrinkToFit="false"/>
      <protection locked="true" hidden="false"/>
    </xf>
    <xf numFmtId="164" fontId="10" fillId="11" borderId="0" xfId="0" applyFont="true" applyBorder="true" applyAlignment="true" applyProtection="true">
      <alignment horizontal="general" vertical="bottom" textRotation="0" wrapText="false" indent="0" shrinkToFit="false"/>
      <protection locked="true" hidden="false"/>
    </xf>
    <xf numFmtId="164" fontId="14" fillId="11" borderId="0" xfId="0" applyFont="true" applyBorder="true" applyAlignment="true" applyProtection="true">
      <alignment horizontal="general" vertical="bottom" textRotation="0" wrapText="false" indent="0" shrinkToFit="false"/>
      <protection locked="true" hidden="false"/>
    </xf>
    <xf numFmtId="164" fontId="56" fillId="11" borderId="0" xfId="0" applyFont="true" applyBorder="true" applyAlignment="true" applyProtection="true">
      <alignment horizontal="general" vertical="bottom" textRotation="0" wrapText="false" indent="0" shrinkToFit="false"/>
      <protection locked="true" hidden="false"/>
    </xf>
    <xf numFmtId="164" fontId="15" fillId="11" borderId="0" xfId="0" applyFont="true" applyBorder="true" applyAlignment="true" applyProtection="true">
      <alignment horizontal="general" vertical="bottom" textRotation="0" wrapText="false" indent="0" shrinkToFit="false"/>
      <protection locked="true" hidden="false"/>
    </xf>
    <xf numFmtId="164" fontId="15" fillId="12" borderId="36" xfId="0" applyFont="true" applyBorder="true" applyAlignment="true" applyProtection="true">
      <alignment horizontal="general" vertical="bottom" textRotation="0" wrapText="false" indent="0" shrinkToFit="false"/>
      <protection locked="true" hidden="false"/>
    </xf>
    <xf numFmtId="164" fontId="8" fillId="16" borderId="30" xfId="0" applyFont="true" applyBorder="true" applyAlignment="true" applyProtection="true">
      <alignment horizontal="general" vertical="bottom" textRotation="0" wrapText="false" indent="0" shrinkToFit="false"/>
      <protection locked="true" hidden="false"/>
    </xf>
    <xf numFmtId="167" fontId="8" fillId="11" borderId="0" xfId="0" applyFont="true" applyBorder="true" applyAlignment="true" applyProtection="true">
      <alignment horizontal="general" vertical="bottom" textRotation="0" wrapText="false" indent="0" shrinkToFit="false"/>
      <protection locked="true" hidden="false"/>
    </xf>
    <xf numFmtId="171" fontId="11" fillId="6" borderId="7" xfId="0" applyFont="true" applyBorder="true" applyAlignment="true" applyProtection="true">
      <alignment horizontal="center" vertical="bottom" textRotation="0" wrapText="false" indent="0" shrinkToFit="false"/>
      <protection locked="true" hidden="false"/>
    </xf>
    <xf numFmtId="164" fontId="8" fillId="12" borderId="12" xfId="0" applyFont="true" applyBorder="true" applyAlignment="true" applyProtection="true">
      <alignment horizontal="center" vertical="bottom" textRotation="0" wrapText="false" indent="0" shrinkToFit="false"/>
      <protection locked="true" hidden="false"/>
    </xf>
    <xf numFmtId="166" fontId="11" fillId="6" borderId="11" xfId="0" applyFont="true" applyBorder="true" applyAlignment="true" applyProtection="true">
      <alignment horizontal="general" vertical="bottom" textRotation="0" wrapText="false" indent="0" shrinkToFit="false"/>
      <protection locked="true" hidden="false"/>
    </xf>
    <xf numFmtId="164" fontId="8" fillId="6" borderId="12" xfId="0" applyFont="true" applyBorder="true" applyAlignment="true" applyProtection="true">
      <alignment horizontal="center" vertical="bottom" textRotation="0" wrapText="false" indent="0" shrinkToFit="false"/>
      <protection locked="true" hidden="false"/>
    </xf>
    <xf numFmtId="167" fontId="15" fillId="12" borderId="11" xfId="0" applyFont="true" applyBorder="true" applyAlignment="true" applyProtection="true">
      <alignment horizontal="general" vertical="bottom" textRotation="0" wrapText="false" indent="0" shrinkToFit="false"/>
      <protection locked="true" hidden="false"/>
    </xf>
    <xf numFmtId="167" fontId="15" fillId="11" borderId="0" xfId="0" applyFont="true" applyBorder="true" applyAlignment="true" applyProtection="true">
      <alignment horizontal="general" vertical="bottom" textRotation="0" wrapText="false" indent="0" shrinkToFit="false"/>
      <protection locked="true" hidden="false"/>
    </xf>
    <xf numFmtId="164" fontId="14" fillId="16" borderId="0" xfId="0" applyFont="true" applyBorder="true" applyAlignment="true" applyProtection="true">
      <alignment horizontal="general" vertical="bottom" textRotation="0" wrapText="false" indent="0" shrinkToFit="false"/>
      <protection locked="true" hidden="false"/>
    </xf>
    <xf numFmtId="166" fontId="19" fillId="17" borderId="11" xfId="0" applyFont="true" applyBorder="true" applyAlignment="true" applyProtection="true">
      <alignment horizontal="general" vertical="bottom" textRotation="0" wrapText="false" indent="0" shrinkToFit="false"/>
      <protection locked="true" hidden="false"/>
    </xf>
    <xf numFmtId="164" fontId="8" fillId="17" borderId="12" xfId="0" applyFont="true" applyBorder="true" applyAlignment="true" applyProtection="true">
      <alignment horizontal="center" vertical="bottom" textRotation="0" wrapText="false" indent="0" shrinkToFit="false"/>
      <protection locked="true" hidden="false"/>
    </xf>
    <xf numFmtId="177" fontId="15" fillId="12" borderId="7" xfId="0" applyFont="true" applyBorder="true" applyAlignment="true" applyProtection="true">
      <alignment horizontal="general" vertical="bottom" textRotation="0" wrapText="false" indent="0" shrinkToFit="false"/>
      <protection locked="true" hidden="false"/>
    </xf>
    <xf numFmtId="164" fontId="19" fillId="11" borderId="0" xfId="0" applyFont="true" applyBorder="true" applyAlignment="true" applyProtection="true">
      <alignment horizontal="general" vertical="bottom" textRotation="0" wrapText="false" indent="0" shrinkToFit="false"/>
      <protection locked="true" hidden="false"/>
    </xf>
    <xf numFmtId="166" fontId="19" fillId="6" borderId="7" xfId="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31" fillId="2" borderId="6" xfId="0" applyFont="true" applyBorder="true" applyAlignment="true" applyProtection="true">
      <alignment horizontal="general" vertical="bottom" textRotation="0" wrapText="false" indent="0" shrinkToFit="false"/>
      <protection locked="true" hidden="false"/>
    </xf>
    <xf numFmtId="164" fontId="12" fillId="8" borderId="11" xfId="0" applyFont="true" applyBorder="true" applyAlignment="true" applyProtection="true">
      <alignment horizontal="general" vertical="bottom" textRotation="0" wrapText="false" indent="0" shrinkToFit="false"/>
      <protection locked="true" hidden="false"/>
    </xf>
    <xf numFmtId="164" fontId="12" fillId="5" borderId="0" xfId="0" applyFont="true" applyBorder="true" applyAlignment="true" applyProtection="true">
      <alignment horizontal="general" vertical="bottom" textRotation="0" wrapText="false" indent="0" shrinkToFit="false"/>
      <protection locked="true" hidden="false"/>
    </xf>
    <xf numFmtId="164" fontId="10" fillId="8" borderId="3" xfId="0" applyFont="true" applyBorder="true" applyAlignment="true" applyProtection="true">
      <alignment horizontal="general" vertical="bottom" textRotation="0" wrapText="false" indent="0" shrinkToFit="false"/>
      <protection locked="true" hidden="false"/>
    </xf>
    <xf numFmtId="164" fontId="8" fillId="8" borderId="4" xfId="0" applyFont="true" applyBorder="true" applyAlignment="true" applyProtection="true">
      <alignment horizontal="general" vertical="bottom" textRotation="0" wrapText="false" indent="0" shrinkToFit="false"/>
      <protection locked="true" hidden="false"/>
    </xf>
    <xf numFmtId="164" fontId="10" fillId="11" borderId="31" xfId="0" applyFont="true" applyBorder="true" applyAlignment="true" applyProtection="true">
      <alignment horizontal="general" vertical="bottom" textRotation="0" wrapText="false" indent="0" shrinkToFit="false"/>
      <protection locked="true" hidden="false"/>
    </xf>
    <xf numFmtId="164" fontId="8" fillId="11" borderId="0" xfId="0" applyFont="true" applyBorder="true" applyAlignment="true" applyProtection="true">
      <alignment horizontal="left" vertical="bottom" textRotation="0" wrapText="false" indent="0" shrinkToFit="false"/>
      <protection locked="true" hidden="false"/>
    </xf>
    <xf numFmtId="177" fontId="8" fillId="6" borderId="7" xfId="0" applyFont="true" applyBorder="true" applyAlignment="true" applyProtection="true">
      <alignment horizontal="center" vertical="bottom" textRotation="0" wrapText="false" indent="0" shrinkToFit="false"/>
      <protection locked="true" hidden="false"/>
    </xf>
    <xf numFmtId="178" fontId="8" fillId="6" borderId="7" xfId="0" applyFont="true" applyBorder="true" applyAlignment="true" applyProtection="true">
      <alignment horizontal="center" vertical="bottom" textRotation="0" wrapText="false" indent="0" shrinkToFit="false"/>
      <protection locked="true" hidden="false"/>
    </xf>
    <xf numFmtId="164" fontId="11" fillId="11" borderId="0" xfId="0" applyFont="true" applyBorder="true" applyAlignment="true" applyProtection="true">
      <alignment horizontal="general" vertical="bottom" textRotation="0" wrapText="false" indent="0" shrinkToFit="false"/>
      <protection locked="true" hidden="false"/>
    </xf>
    <xf numFmtId="164" fontId="15" fillId="12" borderId="2" xfId="0" applyFont="true" applyBorder="true" applyAlignment="true" applyProtection="true">
      <alignment horizontal="center" vertical="bottom" textRotation="0" wrapText="false" indent="0" shrinkToFit="false"/>
      <protection locked="true" hidden="false"/>
    </xf>
    <xf numFmtId="164" fontId="8" fillId="6" borderId="13" xfId="0" applyFont="true" applyBorder="true" applyAlignment="true" applyProtection="true">
      <alignment horizontal="left" vertical="bottom" textRotation="0" wrapText="false" indent="0" shrinkToFit="false"/>
      <protection locked="true" hidden="false"/>
    </xf>
    <xf numFmtId="164" fontId="8" fillId="6" borderId="12" xfId="0" applyFont="true" applyBorder="true" applyAlignment="true" applyProtection="true">
      <alignment horizontal="general" vertical="bottom" textRotation="0" wrapText="false" indent="0" shrinkToFit="false"/>
      <protection locked="true" hidden="false"/>
    </xf>
    <xf numFmtId="164" fontId="8" fillId="12" borderId="6" xfId="0" applyFont="true" applyBorder="true" applyAlignment="true" applyProtection="true">
      <alignment horizontal="center" vertical="bottom" textRotation="0" wrapText="false" indent="0" shrinkToFit="false"/>
      <protection locked="true" hidden="false"/>
    </xf>
    <xf numFmtId="164" fontId="8" fillId="11" borderId="37" xfId="0" applyFont="true" applyBorder="true" applyAlignment="true" applyProtection="true">
      <alignment horizontal="general" vertical="bottom" textRotation="0" wrapText="false" indent="0" shrinkToFit="false"/>
      <protection locked="true" hidden="false"/>
    </xf>
    <xf numFmtId="164" fontId="8" fillId="11" borderId="6" xfId="0" applyFont="true" applyBorder="true" applyAlignment="true" applyProtection="true">
      <alignment horizontal="general" vertical="bottom" textRotation="0" wrapText="false" indent="0" shrinkToFit="false"/>
      <protection locked="true" hidden="false"/>
    </xf>
    <xf numFmtId="164" fontId="8" fillId="11" borderId="14" xfId="0" applyFont="true" applyBorder="true" applyAlignment="true" applyProtection="true">
      <alignment horizontal="general" vertical="bottom" textRotation="0" wrapText="false" indent="0" shrinkToFit="false"/>
      <protection locked="true" hidden="false"/>
    </xf>
    <xf numFmtId="164" fontId="8" fillId="20" borderId="38" xfId="0" applyFont="true" applyBorder="true" applyAlignment="true" applyProtection="true">
      <alignment horizontal="center" vertical="bottom" textRotation="0" wrapText="false" indent="0" shrinkToFit="false"/>
      <protection locked="true" hidden="false"/>
    </xf>
    <xf numFmtId="164" fontId="8" fillId="20" borderId="33" xfId="0" applyFont="true" applyBorder="true" applyAlignment="true" applyProtection="true">
      <alignment horizontal="general" vertical="bottom" textRotation="0" wrapText="false" indent="0" shrinkToFit="false"/>
      <protection locked="true" hidden="false"/>
    </xf>
    <xf numFmtId="164" fontId="8" fillId="20" borderId="33" xfId="0" applyFont="true" applyBorder="true" applyAlignment="true" applyProtection="true">
      <alignment horizontal="right" vertical="bottom" textRotation="0" wrapText="false" indent="0" shrinkToFit="false"/>
      <protection locked="true" hidden="false"/>
    </xf>
    <xf numFmtId="167" fontId="15" fillId="20" borderId="33" xfId="0" applyFont="true" applyBorder="true" applyAlignment="true" applyProtection="true">
      <alignment horizontal="center" vertical="bottom" textRotation="0" wrapText="false" indent="0" shrinkToFit="false"/>
      <protection locked="true" hidden="false"/>
    </xf>
    <xf numFmtId="166" fontId="8" fillId="6" borderId="33" xfId="0" applyFont="true" applyBorder="true" applyAlignment="true" applyProtection="true">
      <alignment horizontal="center" vertical="bottom" textRotation="0" wrapText="false" indent="0" shrinkToFit="false"/>
      <protection locked="true" hidden="false"/>
    </xf>
    <xf numFmtId="164" fontId="8" fillId="20" borderId="33" xfId="0" applyFont="true" applyBorder="true" applyAlignment="true" applyProtection="true">
      <alignment horizontal="left" vertical="bottom" textRotation="0" wrapText="false" indent="0" shrinkToFit="false"/>
      <protection locked="true" hidden="false"/>
    </xf>
    <xf numFmtId="164" fontId="8" fillId="20" borderId="39" xfId="0" applyFont="true" applyBorder="true" applyAlignment="true" applyProtection="true">
      <alignment horizontal="right" vertical="bottom" textRotation="0" wrapText="false" indent="0" shrinkToFit="false"/>
      <protection locked="true" hidden="false"/>
    </xf>
    <xf numFmtId="167" fontId="8" fillId="6" borderId="39" xfId="0" applyFont="true" applyBorder="true" applyAlignment="true" applyProtection="true">
      <alignment horizontal="center" vertical="bottom" textRotation="0" wrapText="false" indent="0" shrinkToFit="false"/>
      <protection locked="true" hidden="false"/>
    </xf>
    <xf numFmtId="164" fontId="8" fillId="20" borderId="39" xfId="0" applyFont="true" applyBorder="true" applyAlignment="true" applyProtection="true">
      <alignment horizontal="general" vertical="bottom" textRotation="0" wrapText="false" indent="0" shrinkToFit="false"/>
      <protection locked="true" hidden="false"/>
    </xf>
    <xf numFmtId="167" fontId="8" fillId="6" borderId="39" xfId="0" applyFont="true" applyBorder="true" applyAlignment="true" applyProtection="true">
      <alignment horizontal="general" vertical="bottom" textRotation="0" wrapText="false" indent="0" shrinkToFit="false"/>
      <protection locked="true" hidden="false"/>
    </xf>
    <xf numFmtId="177" fontId="8" fillId="6" borderId="39" xfId="0" applyFont="true" applyBorder="true" applyAlignment="true" applyProtection="true">
      <alignment horizontal="center" vertical="bottom" textRotation="0" wrapText="false" indent="0" shrinkToFit="false"/>
      <protection locked="true" hidden="false"/>
    </xf>
    <xf numFmtId="164" fontId="8" fillId="20" borderId="40" xfId="0" applyFont="true" applyBorder="true" applyAlignment="true" applyProtection="true">
      <alignment horizontal="general" vertical="bottom" textRotation="0" wrapText="false" indent="0" shrinkToFit="false"/>
      <protection locked="true" hidden="false"/>
    </xf>
    <xf numFmtId="164" fontId="8" fillId="11" borderId="41" xfId="0" applyFont="true" applyBorder="true" applyAlignment="true" applyProtection="true">
      <alignment horizontal="center" vertical="bottom" textRotation="0" wrapText="false" indent="0" shrinkToFit="false"/>
      <protection locked="true" hidden="false"/>
    </xf>
    <xf numFmtId="164" fontId="8" fillId="11" borderId="13" xfId="0" applyFont="true" applyBorder="true" applyAlignment="true" applyProtection="true">
      <alignment horizontal="general" vertical="bottom" textRotation="0" wrapText="false" indent="0" shrinkToFit="false"/>
      <protection locked="true" hidden="false"/>
    </xf>
    <xf numFmtId="164" fontId="15" fillId="11" borderId="13" xfId="0" applyFont="true" applyBorder="true" applyAlignment="true" applyProtection="true">
      <alignment horizontal="center" vertical="bottom" textRotation="0" wrapText="false" indent="0" shrinkToFit="false"/>
      <protection locked="true" hidden="false"/>
    </xf>
    <xf numFmtId="164" fontId="8" fillId="11" borderId="13" xfId="0" applyFont="true" applyBorder="true" applyAlignment="true" applyProtection="true">
      <alignment horizontal="right" vertical="bottom" textRotation="0" wrapText="false" indent="0" shrinkToFit="false"/>
      <protection locked="true" hidden="false"/>
    </xf>
    <xf numFmtId="167" fontId="15" fillId="11" borderId="13" xfId="0" applyFont="true" applyBorder="true" applyAlignment="true" applyProtection="true">
      <alignment horizontal="center" vertical="bottom" textRotation="0" wrapText="false" indent="0" shrinkToFit="false"/>
      <protection locked="true" hidden="false"/>
    </xf>
    <xf numFmtId="167" fontId="8" fillId="6" borderId="13" xfId="0" applyFont="true" applyBorder="true" applyAlignment="true" applyProtection="true">
      <alignment horizontal="center" vertical="bottom" textRotation="0" wrapText="false" indent="0" shrinkToFit="false"/>
      <protection locked="true" hidden="false"/>
    </xf>
    <xf numFmtId="167" fontId="8" fillId="6" borderId="13" xfId="0" applyFont="true" applyBorder="true" applyAlignment="true" applyProtection="true">
      <alignment horizontal="right" vertical="bottom" textRotation="0" wrapText="false" indent="0" shrinkToFit="false"/>
      <protection locked="true" hidden="false"/>
    </xf>
    <xf numFmtId="177" fontId="8" fillId="6" borderId="13" xfId="0" applyFont="true" applyBorder="true" applyAlignment="true" applyProtection="true">
      <alignment horizontal="center" vertical="bottom" textRotation="0" wrapText="false" indent="0" shrinkToFit="false"/>
      <protection locked="true" hidden="false"/>
    </xf>
    <xf numFmtId="164" fontId="8" fillId="11" borderId="42" xfId="0" applyFont="true" applyBorder="true" applyAlignment="true" applyProtection="true">
      <alignment horizontal="general" vertical="bottom" textRotation="0" wrapText="false" indent="0" shrinkToFit="false"/>
      <protection locked="true" hidden="false"/>
    </xf>
    <xf numFmtId="164" fontId="8" fillId="20" borderId="41" xfId="0" applyFont="true" applyBorder="true" applyAlignment="true" applyProtection="true">
      <alignment horizontal="center" vertical="bottom" textRotation="0" wrapText="false" indent="0" shrinkToFit="false"/>
      <protection locked="true" hidden="false"/>
    </xf>
    <xf numFmtId="164" fontId="8" fillId="20" borderId="13" xfId="0" applyFont="true" applyBorder="true" applyAlignment="true" applyProtection="true">
      <alignment horizontal="general" vertical="bottom" textRotation="0" wrapText="false" indent="0" shrinkToFit="false"/>
      <protection locked="true" hidden="false"/>
    </xf>
    <xf numFmtId="164" fontId="8" fillId="20" borderId="13" xfId="0" applyFont="true" applyBorder="true" applyAlignment="true" applyProtection="true">
      <alignment horizontal="right" vertical="bottom" textRotation="0" wrapText="false" indent="0" shrinkToFit="false"/>
      <protection locked="true" hidden="false"/>
    </xf>
    <xf numFmtId="184" fontId="15" fillId="20" borderId="13" xfId="0" applyFont="true" applyBorder="true" applyAlignment="true" applyProtection="true">
      <alignment horizontal="center" vertical="bottom" textRotation="0" wrapText="false" indent="0" shrinkToFit="false"/>
      <protection locked="true" hidden="false"/>
    </xf>
    <xf numFmtId="185" fontId="15" fillId="20" borderId="13" xfId="0" applyFont="true" applyBorder="true" applyAlignment="true" applyProtection="true">
      <alignment horizontal="center" vertical="bottom" textRotation="0" wrapText="false" indent="0" shrinkToFit="false"/>
      <protection locked="true" hidden="false"/>
    </xf>
    <xf numFmtId="164" fontId="8" fillId="20" borderId="42" xfId="0" applyFont="true" applyBorder="true" applyAlignment="true" applyProtection="true">
      <alignment horizontal="general" vertical="bottom" textRotation="0" wrapText="false" indent="0" shrinkToFit="false"/>
      <protection locked="true" hidden="false"/>
    </xf>
    <xf numFmtId="164" fontId="8" fillId="11" borderId="5" xfId="0" applyFont="true" applyBorder="true" applyAlignment="true" applyProtection="true">
      <alignment horizontal="center" vertical="bottom" textRotation="0" wrapText="false" indent="0" shrinkToFit="false"/>
      <protection locked="true" hidden="false"/>
    </xf>
    <xf numFmtId="164" fontId="15" fillId="12" borderId="6" xfId="0" applyFont="true" applyBorder="true" applyAlignment="true" applyProtection="true">
      <alignment horizontal="general" vertical="bottom" textRotation="0" wrapText="false" indent="0" shrinkToFit="false"/>
      <protection locked="true" hidden="false"/>
    </xf>
    <xf numFmtId="164" fontId="15" fillId="12" borderId="6" xfId="0" applyFont="true" applyBorder="true" applyAlignment="true" applyProtection="true">
      <alignment horizontal="right" vertical="bottom" textRotation="0" wrapText="false" indent="0" shrinkToFit="false"/>
      <protection locked="true" hidden="false"/>
    </xf>
    <xf numFmtId="184" fontId="15" fillId="11" borderId="6" xfId="0" applyFont="true" applyBorder="true" applyAlignment="true" applyProtection="true">
      <alignment horizontal="center" vertical="bottom" textRotation="0" wrapText="false" indent="0" shrinkToFit="false"/>
      <protection locked="true" hidden="false"/>
    </xf>
    <xf numFmtId="164" fontId="8" fillId="11" borderId="6" xfId="0" applyFont="true" applyBorder="true" applyAlignment="true" applyProtection="true">
      <alignment horizontal="right" vertical="bottom" textRotation="0" wrapText="false" indent="0" shrinkToFit="false"/>
      <protection locked="true" hidden="false"/>
    </xf>
    <xf numFmtId="185" fontId="15" fillId="11" borderId="6" xfId="0" applyFont="true" applyBorder="true" applyAlignment="true" applyProtection="true">
      <alignment horizontal="center" vertical="bottom" textRotation="0" wrapText="false" indent="0" shrinkToFit="false"/>
      <protection locked="true" hidden="false"/>
    </xf>
    <xf numFmtId="167" fontId="15" fillId="12" borderId="6" xfId="0" applyFont="true" applyBorder="true" applyAlignment="true" applyProtection="true">
      <alignment horizontal="center" vertical="bottom" textRotation="0" wrapText="false" indent="0" shrinkToFit="false"/>
      <protection locked="true" hidden="false"/>
    </xf>
    <xf numFmtId="167" fontId="15" fillId="12" borderId="6" xfId="0" applyFont="true" applyBorder="true" applyAlignment="true" applyProtection="true">
      <alignment horizontal="right" vertical="bottom" textRotation="0" wrapText="false" indent="0" shrinkToFit="false"/>
      <protection locked="true" hidden="false"/>
    </xf>
    <xf numFmtId="164" fontId="15" fillId="12" borderId="6" xfId="0" applyFont="true" applyBorder="true" applyAlignment="true" applyProtection="true">
      <alignment horizontal="center" vertical="bottom" textRotation="0" wrapText="false" indent="0" shrinkToFit="false"/>
      <protection locked="true" hidden="false"/>
    </xf>
    <xf numFmtId="164" fontId="8" fillId="11" borderId="26" xfId="0" applyFont="true" applyBorder="true" applyAlignment="true" applyProtection="true">
      <alignment horizontal="general" vertical="bottom" textRotation="0" wrapText="false" indent="0" shrinkToFit="false"/>
      <protection locked="true" hidden="false"/>
    </xf>
    <xf numFmtId="164" fontId="8" fillId="6" borderId="13" xfId="0" applyFont="true" applyBorder="true" applyAlignment="true" applyProtection="true">
      <alignment horizontal="general" vertical="bottom" textRotation="0" wrapText="false" indent="0" shrinkToFit="false"/>
      <protection locked="true" hidden="false"/>
    </xf>
    <xf numFmtId="164" fontId="8" fillId="20" borderId="19" xfId="0" applyFont="true" applyBorder="true" applyAlignment="true" applyProtection="true">
      <alignment horizontal="center" vertical="bottom" textRotation="0" wrapText="false" indent="0" shrinkToFit="false"/>
      <protection locked="true" hidden="false"/>
    </xf>
    <xf numFmtId="164" fontId="8" fillId="20" borderId="20" xfId="0" applyFont="true" applyBorder="true" applyAlignment="true" applyProtection="true">
      <alignment horizontal="general" vertical="bottom" textRotation="0" wrapText="false" indent="0" shrinkToFit="false"/>
      <protection locked="true" hidden="false"/>
    </xf>
    <xf numFmtId="164" fontId="8" fillId="6" borderId="20" xfId="0" applyFont="true" applyBorder="true" applyAlignment="true" applyProtection="true">
      <alignment horizontal="general" vertical="bottom" textRotation="0" wrapText="false" indent="0" shrinkToFit="false"/>
      <protection locked="true" hidden="false"/>
    </xf>
    <xf numFmtId="164" fontId="8" fillId="20" borderId="21" xfId="0" applyFont="true" applyBorder="true" applyAlignment="true" applyProtection="true">
      <alignment horizontal="general" vertical="bottom" textRotation="0" wrapText="false" indent="0" shrinkToFit="false"/>
      <protection locked="true" hidden="false"/>
    </xf>
    <xf numFmtId="164" fontId="8" fillId="11" borderId="22" xfId="0" applyFont="true" applyBorder="true" applyAlignment="true" applyProtection="true">
      <alignment horizontal="center" vertical="bottom" textRotation="0" wrapText="false" indent="0" shrinkToFit="false"/>
      <protection locked="true" hidden="false"/>
    </xf>
    <xf numFmtId="164" fontId="8" fillId="6" borderId="0" xfId="0" applyFont="true" applyBorder="true" applyAlignment="true" applyProtection="true">
      <alignment horizontal="general" vertical="bottom" textRotation="0" wrapText="false" indent="0" shrinkToFit="false"/>
      <protection locked="true" hidden="false"/>
    </xf>
    <xf numFmtId="164" fontId="8" fillId="11" borderId="23" xfId="0" applyFont="true" applyBorder="true" applyAlignment="true" applyProtection="true">
      <alignment horizontal="general" vertical="bottom" textRotation="0" wrapText="false" indent="0" shrinkToFit="false"/>
      <protection locked="true" hidden="false"/>
    </xf>
    <xf numFmtId="164" fontId="8" fillId="20" borderId="22"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general" vertical="bottom" textRotation="0" wrapText="false" indent="0" shrinkToFit="false"/>
      <protection locked="true" hidden="false"/>
    </xf>
    <xf numFmtId="167" fontId="8" fillId="6" borderId="0" xfId="0" applyFont="true" applyBorder="true" applyAlignment="true" applyProtection="true">
      <alignment horizontal="general" vertical="bottom" textRotation="0" wrapText="false" indent="0" shrinkToFit="false"/>
      <protection locked="true" hidden="false"/>
    </xf>
    <xf numFmtId="164" fontId="8" fillId="20" borderId="23" xfId="0" applyFont="true" applyBorder="true" applyAlignment="true" applyProtection="true">
      <alignment horizontal="general" vertical="bottom" textRotation="0" wrapText="false" indent="0" shrinkToFit="false"/>
      <protection locked="true" hidden="false"/>
    </xf>
    <xf numFmtId="164" fontId="15" fillId="20" borderId="0" xfId="0" applyFont="true" applyBorder="true" applyAlignment="true" applyProtection="true">
      <alignment horizontal="left" vertical="bottom" textRotation="0" wrapText="false" indent="0" shrinkToFit="false"/>
      <protection locked="true" hidden="false"/>
    </xf>
    <xf numFmtId="167" fontId="8" fillId="6" borderId="0" xfId="0" applyFont="true" applyBorder="true" applyAlignment="true" applyProtection="true">
      <alignment horizontal="right" vertical="bottom" textRotation="0" wrapText="false" indent="0" shrinkToFit="false"/>
      <protection locked="true" hidden="false"/>
    </xf>
    <xf numFmtId="164" fontId="35" fillId="11" borderId="3" xfId="0" applyFont="true" applyBorder="true" applyAlignment="true" applyProtection="true">
      <alignment horizontal="center" vertical="bottom" textRotation="0" wrapText="true" indent="0" shrinkToFit="false"/>
      <protection locked="true" hidden="false"/>
    </xf>
    <xf numFmtId="184" fontId="15" fillId="12" borderId="43" xfId="0" applyFont="true" applyBorder="true" applyAlignment="true" applyProtection="true">
      <alignment horizontal="center" vertical="bottom" textRotation="0" wrapText="false" indent="0" shrinkToFit="false"/>
      <protection locked="true" hidden="false"/>
    </xf>
    <xf numFmtId="164" fontId="35" fillId="11" borderId="1" xfId="0" applyFont="true" applyBorder="true" applyAlignment="true" applyProtection="true">
      <alignment horizontal="center" vertical="bottom" textRotation="0" wrapText="true" indent="0" shrinkToFit="false"/>
      <protection locked="true" hidden="false"/>
    </xf>
    <xf numFmtId="185" fontId="15" fillId="12" borderId="44" xfId="0" applyFont="true" applyBorder="true" applyAlignment="true" applyProtection="true">
      <alignment horizontal="center" vertical="bottom" textRotation="0" wrapText="false" indent="0" shrinkToFit="false"/>
      <protection locked="true" hidden="false"/>
    </xf>
    <xf numFmtId="164" fontId="8" fillId="20" borderId="5" xfId="0" applyFont="true" applyBorder="true" applyAlignment="true" applyProtection="true">
      <alignment horizontal="center" vertical="bottom" textRotation="0" wrapText="false" indent="0" shrinkToFit="false"/>
      <protection locked="true" hidden="false"/>
    </xf>
    <xf numFmtId="164" fontId="58" fillId="20" borderId="45" xfId="0" applyFont="true" applyBorder="true" applyAlignment="true" applyProtection="true">
      <alignment horizontal="general" vertical="bottom" textRotation="0" wrapText="false" indent="0" shrinkToFit="false"/>
      <protection locked="true" hidden="false"/>
    </xf>
    <xf numFmtId="164" fontId="8" fillId="20" borderId="6" xfId="0" applyFont="true" applyBorder="true" applyAlignment="true" applyProtection="true">
      <alignment horizontal="general" vertical="bottom" textRotation="0" wrapText="false" indent="0" shrinkToFit="false"/>
      <protection locked="true" hidden="false"/>
    </xf>
    <xf numFmtId="164" fontId="15" fillId="20" borderId="6" xfId="0" applyFont="true" applyBorder="true" applyAlignment="true" applyProtection="true">
      <alignment horizontal="left" vertical="bottom" textRotation="0" wrapText="false" indent="0" shrinkToFit="false"/>
      <protection locked="true" hidden="false"/>
    </xf>
    <xf numFmtId="164" fontId="8" fillId="20" borderId="26" xfId="0" applyFont="true" applyBorder="true" applyAlignment="true" applyProtection="true">
      <alignment horizontal="general" vertical="bottom" textRotation="0" wrapText="false" indent="0" shrinkToFit="false"/>
      <protection locked="true" hidden="false"/>
    </xf>
    <xf numFmtId="164" fontId="8" fillId="5" borderId="1" xfId="0" applyFont="true" applyBorder="true" applyAlignment="true" applyProtection="true">
      <alignment horizontal="center" vertical="bottom" textRotation="0" wrapText="false" indent="0" shrinkToFit="false"/>
      <protection locked="true" hidden="false"/>
    </xf>
    <xf numFmtId="164" fontId="8" fillId="5" borderId="1" xfId="0" applyFont="true" applyBorder="true" applyAlignment="true" applyProtection="true">
      <alignment horizontal="general" vertical="bottom" textRotation="0" wrapText="false" indent="0" shrinkToFit="false"/>
      <protection locked="true" hidden="false"/>
    </xf>
    <xf numFmtId="164" fontId="59" fillId="2" borderId="6" xfId="0" applyFont="true" applyBorder="true" applyAlignment="true" applyProtection="true">
      <alignment horizontal="general" vertical="bottom" textRotation="0" wrapText="false" indent="0" shrinkToFit="false"/>
      <protection locked="true" hidden="false"/>
    </xf>
    <xf numFmtId="164" fontId="7" fillId="2" borderId="6" xfId="0" applyFont="true" applyBorder="true" applyAlignment="true" applyProtection="true">
      <alignment horizontal="general" vertical="bottom" textRotation="0" wrapText="false" indent="0" shrinkToFit="false"/>
      <protection locked="true" hidden="false"/>
    </xf>
    <xf numFmtId="167" fontId="15" fillId="6" borderId="0" xfId="0" applyFont="true" applyBorder="true" applyAlignment="true" applyProtection="true">
      <alignment horizontal="right" vertical="bottom" textRotation="0" wrapText="false" indent="0" shrinkToFit="false"/>
      <protection locked="true" hidden="false"/>
    </xf>
    <xf numFmtId="164" fontId="15" fillId="6" borderId="0" xfId="0" applyFont="true" applyBorder="true" applyAlignment="true" applyProtection="true">
      <alignment horizontal="general" vertical="bottom" textRotation="0" wrapText="false" indent="0" shrinkToFit="false"/>
      <protection locked="true" hidden="false"/>
    </xf>
    <xf numFmtId="164" fontId="8" fillId="11" borderId="3" xfId="0" applyFont="true" applyBorder="true" applyAlignment="true" applyProtection="true">
      <alignment horizontal="center" vertical="bottom" textRotation="0" wrapText="true" indent="0" shrinkToFit="false"/>
      <protection locked="true" hidden="false"/>
    </xf>
    <xf numFmtId="164" fontId="10" fillId="8" borderId="4" xfId="0" applyFont="true" applyBorder="true" applyAlignment="true" applyProtection="true">
      <alignment horizontal="general" vertical="bottom" textRotation="0" wrapText="false" indent="0" shrinkToFit="false"/>
      <protection locked="true" hidden="false"/>
    </xf>
    <xf numFmtId="164" fontId="8" fillId="5" borderId="32" xfId="0" applyFont="true" applyBorder="true" applyAlignment="true" applyProtection="true">
      <alignment horizontal="general" vertical="bottom" textRotation="0" wrapText="false" indent="0" shrinkToFit="false"/>
      <protection locked="true" hidden="false"/>
    </xf>
    <xf numFmtId="164" fontId="8" fillId="11" borderId="13" xfId="0" applyFont="true" applyBorder="true" applyAlignment="true" applyProtection="true">
      <alignment horizontal="left" vertical="bottom" textRotation="0" wrapText="false" indent="0" shrinkToFit="false"/>
      <protection locked="true" hidden="false"/>
    </xf>
    <xf numFmtId="164" fontId="15" fillId="11" borderId="6" xfId="0" applyFont="true" applyBorder="true" applyAlignment="true" applyProtection="true">
      <alignment horizontal="general" vertical="bottom" textRotation="0" wrapText="false" indent="0" shrinkToFit="false"/>
      <protection locked="true" hidden="false"/>
    </xf>
    <xf numFmtId="164" fontId="15" fillId="11" borderId="6" xfId="0" applyFont="true" applyBorder="true" applyAlignment="true" applyProtection="true">
      <alignment horizontal="right" vertical="bottom" textRotation="0" wrapText="false" indent="0" shrinkToFit="false"/>
      <protection locked="true" hidden="false"/>
    </xf>
    <xf numFmtId="167" fontId="15" fillId="6" borderId="6" xfId="0" applyFont="true" applyBorder="true" applyAlignment="true" applyProtection="true">
      <alignment horizontal="center" vertical="bottom" textRotation="0" wrapText="false" indent="0" shrinkToFit="false"/>
      <protection locked="true" hidden="false"/>
    </xf>
    <xf numFmtId="167" fontId="15" fillId="6" borderId="6" xfId="0" applyFont="true" applyBorder="true" applyAlignment="true" applyProtection="true">
      <alignment horizontal="right" vertical="bottom" textRotation="0" wrapText="false" indent="0" shrinkToFit="false"/>
      <protection locked="true" hidden="false"/>
    </xf>
    <xf numFmtId="164" fontId="8" fillId="11" borderId="6" xfId="0" applyFont="true" applyBorder="true" applyAlignment="true" applyProtection="true">
      <alignment horizontal="left" vertical="bottom" textRotation="0" wrapText="false" indent="0" shrinkToFit="false"/>
      <protection locked="true" hidden="false"/>
    </xf>
    <xf numFmtId="164" fontId="12" fillId="8" borderId="3" xfId="0" applyFont="true" applyBorder="true" applyAlignment="true" applyProtection="true">
      <alignment horizontal="general" vertical="bottom" textRotation="0" wrapText="false" indent="0" shrinkToFit="false"/>
      <protection locked="true" hidden="false"/>
    </xf>
    <xf numFmtId="164" fontId="8" fillId="8" borderId="1" xfId="0" applyFont="true" applyBorder="true" applyAlignment="true" applyProtection="true">
      <alignment horizontal="general" vertical="bottom" textRotation="0" wrapText="false" indent="0" shrinkToFit="false"/>
      <protection locked="true" hidden="false"/>
    </xf>
    <xf numFmtId="164" fontId="8" fillId="20" borderId="31" xfId="0" applyFont="true" applyBorder="true" applyAlignment="true" applyProtection="true">
      <alignment horizontal="general" vertical="bottom" textRotation="0" wrapText="false" indent="0" shrinkToFit="false"/>
      <protection locked="true" hidden="false"/>
    </xf>
    <xf numFmtId="164" fontId="8" fillId="20" borderId="32" xfId="0" applyFont="true" applyBorder="true" applyAlignment="true" applyProtection="true">
      <alignment horizontal="general" vertical="bottom" textRotation="0" wrapText="false" indent="0" shrinkToFit="false"/>
      <protection locked="true" hidden="false"/>
    </xf>
    <xf numFmtId="164" fontId="8" fillId="20" borderId="31" xfId="0" applyFont="true" applyBorder="true" applyAlignment="true" applyProtection="true">
      <alignment horizontal="left" vertical="bottom" textRotation="0" wrapText="false" indent="0" shrinkToFit="false"/>
      <protection locked="true" hidden="false"/>
    </xf>
    <xf numFmtId="171" fontId="8" fillId="20" borderId="31"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center" vertical="bottom" textRotation="0" wrapText="false" indent="0" shrinkToFit="false"/>
      <protection locked="true" hidden="false"/>
    </xf>
    <xf numFmtId="171" fontId="8" fillId="20" borderId="32" xfId="0" applyFont="true" applyBorder="true" applyAlignment="true" applyProtection="true">
      <alignment horizontal="center" vertical="bottom" textRotation="0" wrapText="false" indent="0" shrinkToFit="false"/>
      <protection locked="true" hidden="false"/>
    </xf>
    <xf numFmtId="164" fontId="8" fillId="20" borderId="34" xfId="0" applyFont="true" applyBorder="true" applyAlignment="true" applyProtection="true">
      <alignment horizontal="general" vertical="bottom" textRotation="0" wrapText="false" indent="0" shrinkToFit="false"/>
      <protection locked="true" hidden="false"/>
    </xf>
    <xf numFmtId="164" fontId="8" fillId="20" borderId="35" xfId="0" applyFont="true" applyBorder="true" applyAlignment="true" applyProtection="true">
      <alignment horizontal="general" vertical="bottom" textRotation="0" wrapText="false" indent="0" shrinkToFit="false"/>
      <protection locked="true" hidden="false"/>
    </xf>
    <xf numFmtId="164" fontId="18" fillId="7" borderId="0" xfId="0" applyFont="true" applyBorder="true" applyAlignment="true" applyProtection="true">
      <alignment horizontal="general" vertical="bottom" textRotation="0" wrapText="false" indent="0" shrinkToFit="false"/>
      <protection locked="true" hidden="false"/>
    </xf>
    <xf numFmtId="164" fontId="8" fillId="7" borderId="46" xfId="0" applyFont="true" applyBorder="true" applyAlignment="true" applyProtection="true">
      <alignment horizontal="general" vertical="bottom" textRotation="0" wrapText="false" indent="0" shrinkToFit="false"/>
      <protection locked="true" hidden="false"/>
    </xf>
    <xf numFmtId="164" fontId="8" fillId="7" borderId="32" xfId="0" applyFont="true" applyBorder="true" applyAlignment="true" applyProtection="true">
      <alignment horizontal="general" vertical="bottom" textRotation="0" wrapText="false" indent="0" shrinkToFit="false"/>
      <protection locked="true" hidden="false"/>
    </xf>
    <xf numFmtId="164" fontId="10" fillId="7" borderId="0" xfId="0" applyFont="true" applyBorder="true" applyAlignment="true" applyProtection="true">
      <alignment horizontal="general" vertical="bottom" textRotation="0" wrapText="false" indent="0" shrinkToFit="false"/>
      <protection locked="true" hidden="false"/>
    </xf>
    <xf numFmtId="164" fontId="8" fillId="2" borderId="6" xfId="0" applyFont="true" applyBorder="true" applyAlignment="true" applyProtection="true">
      <alignment horizontal="center" vertical="bottom" textRotation="0" wrapText="false" indent="0" shrinkToFit="false"/>
      <protection locked="true" hidden="false"/>
    </xf>
    <xf numFmtId="164" fontId="8" fillId="6" borderId="2" xfId="0" applyFont="true" applyBorder="true" applyAlignment="true" applyProtection="true">
      <alignment horizontal="center" vertical="bottom" textRotation="0" wrapText="false" indent="0" shrinkToFit="false"/>
      <protection locked="true" hidden="false"/>
    </xf>
    <xf numFmtId="164" fontId="8" fillId="0" borderId="3" xfId="0" applyFont="true" applyBorder="true" applyAlignment="true" applyProtection="true">
      <alignment horizontal="center" vertical="bottom" textRotation="0" wrapText="false" indent="0" shrinkToFit="false"/>
      <protection locked="true" hidden="false"/>
    </xf>
    <xf numFmtId="164" fontId="8" fillId="6" borderId="11" xfId="0" applyFont="true" applyBorder="true" applyAlignment="true" applyProtection="true">
      <alignment horizontal="left" vertical="bottom" textRotation="0" wrapText="false" indent="0" shrinkToFit="false"/>
      <protection locked="true" hidden="false"/>
    </xf>
    <xf numFmtId="164" fontId="8" fillId="20" borderId="47" xfId="0" applyFont="true" applyBorder="true" applyAlignment="true" applyProtection="true">
      <alignment horizontal="center" vertical="bottom" textRotation="0" wrapText="false" indent="0" shrinkToFit="false"/>
      <protection locked="true" hidden="false"/>
    </xf>
    <xf numFmtId="164" fontId="8" fillId="20" borderId="48" xfId="0" applyFont="true" applyBorder="true" applyAlignment="true" applyProtection="true">
      <alignment horizontal="general" vertical="bottom" textRotation="0" wrapText="false" indent="0" shrinkToFit="false"/>
      <protection locked="true" hidden="false"/>
    </xf>
    <xf numFmtId="164" fontId="8" fillId="20" borderId="48" xfId="0" applyFont="true" applyBorder="true" applyAlignment="true" applyProtection="true">
      <alignment horizontal="right" vertical="bottom" textRotation="0" wrapText="false" indent="0" shrinkToFit="false"/>
      <protection locked="true" hidden="false"/>
    </xf>
    <xf numFmtId="167" fontId="8" fillId="20" borderId="49" xfId="0" applyFont="true" applyBorder="true" applyAlignment="true" applyProtection="true">
      <alignment horizontal="center" vertical="bottom" textRotation="0" wrapText="false" indent="0" shrinkToFit="false"/>
      <protection locked="true" hidden="false"/>
    </xf>
    <xf numFmtId="167" fontId="8" fillId="20" borderId="39" xfId="0" applyFont="true" applyBorder="true" applyAlignment="true" applyProtection="true">
      <alignment horizontal="general" vertical="bottom" textRotation="0" wrapText="false" indent="0" shrinkToFit="false"/>
      <protection locked="true" hidden="false"/>
    </xf>
    <xf numFmtId="171" fontId="8" fillId="11" borderId="11" xfId="0" applyFont="true" applyBorder="true" applyAlignment="true" applyProtection="true">
      <alignment horizontal="general" vertical="bottom" textRotation="0" wrapText="false" indent="0" shrinkToFit="false"/>
      <protection locked="true" hidden="false"/>
    </xf>
    <xf numFmtId="164" fontId="8" fillId="11" borderId="12" xfId="0" applyFont="true" applyBorder="true" applyAlignment="true" applyProtection="true">
      <alignment horizontal="general" vertical="bottom" textRotation="0" wrapText="false" indent="0" shrinkToFit="false"/>
      <protection locked="true" hidden="false"/>
    </xf>
    <xf numFmtId="164" fontId="8" fillId="11" borderId="50" xfId="0" applyFont="true" applyBorder="true" applyAlignment="true" applyProtection="true">
      <alignment horizontal="center" vertical="bottom" textRotation="0" wrapText="false" indent="0" shrinkToFit="false"/>
      <protection locked="true" hidden="false"/>
    </xf>
    <xf numFmtId="167" fontId="8" fillId="11" borderId="7" xfId="0" applyFont="true" applyBorder="true" applyAlignment="true" applyProtection="true">
      <alignment horizontal="center" vertical="bottom" textRotation="0" wrapText="false" indent="0" shrinkToFit="false"/>
      <protection locked="true" hidden="false"/>
    </xf>
    <xf numFmtId="167" fontId="8" fillId="11" borderId="13" xfId="0" applyFont="true" applyBorder="true" applyAlignment="true" applyProtection="true">
      <alignment horizontal="right" vertical="bottom" textRotation="0" wrapText="false" indent="0" shrinkToFit="false"/>
      <protection locked="true" hidden="false"/>
    </xf>
    <xf numFmtId="164" fontId="8" fillId="7" borderId="28" xfId="0" applyFont="true" applyBorder="true" applyAlignment="true" applyProtection="true">
      <alignment horizontal="general" vertical="bottom" textRotation="0" wrapText="false" indent="0" shrinkToFit="false"/>
      <protection locked="true" hidden="false"/>
    </xf>
    <xf numFmtId="164" fontId="8" fillId="7" borderId="30" xfId="0" applyFont="true" applyBorder="true" applyAlignment="true" applyProtection="true">
      <alignment horizontal="general" vertical="bottom" textRotation="0" wrapText="false" indent="0" shrinkToFit="false"/>
      <protection locked="true" hidden="false"/>
    </xf>
    <xf numFmtId="164" fontId="8" fillId="20" borderId="50" xfId="0" applyFont="true" applyBorder="true" applyAlignment="true" applyProtection="true">
      <alignment horizontal="center" vertical="bottom" textRotation="0" wrapText="false" indent="0" shrinkToFit="false"/>
      <protection locked="true" hidden="false"/>
    </xf>
    <xf numFmtId="164" fontId="8" fillId="20" borderId="12" xfId="0" applyFont="true" applyBorder="true" applyAlignment="true" applyProtection="true">
      <alignment horizontal="general" vertical="bottom" textRotation="0" wrapText="false" indent="0" shrinkToFit="false"/>
      <protection locked="true" hidden="false"/>
    </xf>
    <xf numFmtId="167" fontId="8" fillId="20" borderId="7" xfId="0" applyFont="true" applyBorder="true" applyAlignment="true" applyProtection="true">
      <alignment horizontal="center" vertical="bottom" textRotation="0" wrapText="false" indent="0" shrinkToFit="false"/>
      <protection locked="true" hidden="false"/>
    </xf>
    <xf numFmtId="167" fontId="8" fillId="20" borderId="13" xfId="0" applyFont="true" applyBorder="true" applyAlignment="true" applyProtection="true">
      <alignment horizontal="right" vertical="bottom" textRotation="0" wrapText="false" indent="0" shrinkToFit="false"/>
      <protection locked="true" hidden="false"/>
    </xf>
    <xf numFmtId="164" fontId="8" fillId="7" borderId="31" xfId="0" applyFont="true" applyBorder="true" applyAlignment="true" applyProtection="true">
      <alignment horizontal="general" vertical="bottom" textRotation="0" wrapText="false" indent="0" shrinkToFit="false"/>
      <protection locked="true" hidden="false"/>
    </xf>
    <xf numFmtId="164" fontId="8" fillId="11" borderId="51" xfId="0" applyFont="true" applyBorder="true" applyAlignment="true" applyProtection="true">
      <alignment horizontal="center" vertical="bottom" textRotation="0" wrapText="false" indent="0" shrinkToFit="false"/>
      <protection locked="true" hidden="false"/>
    </xf>
    <xf numFmtId="167" fontId="8" fillId="11" borderId="25" xfId="0" applyFont="true" applyBorder="true" applyAlignment="true" applyProtection="true">
      <alignment horizontal="center" vertical="bottom" textRotation="0" wrapText="false" indent="0" shrinkToFit="false"/>
      <protection locked="true" hidden="false"/>
    </xf>
    <xf numFmtId="167" fontId="8" fillId="11" borderId="0" xfId="0" applyFont="true" applyBorder="true" applyAlignment="true" applyProtection="true">
      <alignment horizontal="right" vertical="bottom" textRotation="0" wrapText="false" indent="0" shrinkToFit="false"/>
      <protection locked="true" hidden="false"/>
    </xf>
    <xf numFmtId="164" fontId="8" fillId="11" borderId="52" xfId="0" applyFont="true" applyBorder="true" applyAlignment="true" applyProtection="true">
      <alignment horizontal="general" vertical="bottom" textRotation="0" wrapText="false" indent="0" shrinkToFit="false"/>
      <protection locked="true" hidden="false"/>
    </xf>
    <xf numFmtId="164" fontId="8" fillId="16" borderId="28" xfId="0" applyFont="true" applyBorder="true" applyAlignment="true" applyProtection="true">
      <alignment horizontal="general" vertical="bottom" textRotation="0" wrapText="false" indent="0" shrinkToFit="false"/>
      <protection locked="true" hidden="false"/>
    </xf>
    <xf numFmtId="164" fontId="10" fillId="16" borderId="0" xfId="0" applyFont="true" applyBorder="true" applyAlignment="true" applyProtection="true">
      <alignment horizontal="general" vertical="bottom" textRotation="0" wrapText="false" indent="0" shrinkToFit="false"/>
      <protection locked="true" hidden="false"/>
    </xf>
    <xf numFmtId="167" fontId="8" fillId="6" borderId="11" xfId="0" applyFont="true" applyBorder="true" applyAlignment="true" applyProtection="true">
      <alignment horizontal="general" vertical="bottom" textRotation="0" wrapText="false" indent="0" shrinkToFit="false"/>
      <protection locked="true" hidden="false"/>
    </xf>
    <xf numFmtId="164" fontId="8" fillId="7" borderId="34" xfId="0" applyFont="true" applyBorder="true" applyAlignment="true" applyProtection="true">
      <alignment horizontal="general" vertical="bottom" textRotation="0" wrapText="false" indent="0" shrinkToFit="false"/>
      <protection locked="true" hidden="false"/>
    </xf>
    <xf numFmtId="164" fontId="8" fillId="7" borderId="35" xfId="0" applyFont="true" applyBorder="true" applyAlignment="true" applyProtection="true">
      <alignment horizontal="general" vertical="bottom" textRotation="0" wrapText="false" indent="0" shrinkToFit="false"/>
      <protection locked="true" hidden="false"/>
    </xf>
    <xf numFmtId="164" fontId="15" fillId="11" borderId="32" xfId="0" applyFont="true" applyBorder="true" applyAlignment="true" applyProtection="true">
      <alignment horizontal="general" vertical="bottom" textRotation="0" wrapText="false" indent="0" shrinkToFit="false"/>
      <protection locked="true" hidden="false"/>
    </xf>
    <xf numFmtId="164" fontId="15" fillId="11" borderId="31" xfId="0" applyFont="true" applyBorder="tru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left" vertical="bottom" textRotation="0" wrapText="false" indent="0" shrinkToFit="false"/>
      <protection locked="true" hidden="false"/>
    </xf>
    <xf numFmtId="164" fontId="8" fillId="11" borderId="53" xfId="0" applyFont="true" applyBorder="true" applyAlignment="true" applyProtection="true">
      <alignment horizontal="center" vertical="bottom" textRotation="0" wrapText="false" indent="0" shrinkToFit="false"/>
      <protection locked="true" hidden="false"/>
    </xf>
    <xf numFmtId="164" fontId="8" fillId="11" borderId="9" xfId="0" applyFont="true" applyBorder="true" applyAlignment="true" applyProtection="true">
      <alignment horizontal="general" vertical="bottom" textRotation="0" wrapText="false" indent="0" shrinkToFit="false"/>
      <protection locked="true" hidden="false"/>
    </xf>
    <xf numFmtId="164" fontId="8" fillId="10" borderId="16" xfId="0" applyFont="true" applyBorder="true" applyAlignment="true" applyProtection="true">
      <alignment horizontal="general" vertical="bottom" textRotation="0" wrapText="true" indent="0" shrinkToFit="false"/>
      <protection locked="true" hidden="false"/>
    </xf>
    <xf numFmtId="164" fontId="8" fillId="5" borderId="11" xfId="0" applyFont="true" applyBorder="true" applyAlignment="true" applyProtection="true">
      <alignment horizontal="left" vertical="bottom" textRotation="0" wrapText="false" indent="0" shrinkToFit="false"/>
      <protection locked="true" hidden="false"/>
    </xf>
    <xf numFmtId="164" fontId="8" fillId="5" borderId="12" xfId="0" applyFont="true" applyBorder="true" applyAlignment="true" applyProtection="true">
      <alignment horizontal="left" vertical="bottom" textRotation="0" wrapText="false" indent="0" shrinkToFit="false"/>
      <protection locked="true" hidden="false"/>
    </xf>
    <xf numFmtId="167" fontId="8" fillId="10" borderId="31" xfId="0" applyFont="true" applyBorder="true" applyAlignment="true" applyProtection="true">
      <alignment horizontal="general" vertical="bottom" textRotation="0" wrapText="false" indent="0" shrinkToFit="false"/>
      <protection locked="true" hidden="false"/>
    </xf>
    <xf numFmtId="164" fontId="8" fillId="11" borderId="7" xfId="0" applyFont="true" applyBorder="true" applyAlignment="true" applyProtection="true">
      <alignment horizontal="general" vertical="bottom" textRotation="0" wrapText="true" indent="0" shrinkToFit="false"/>
      <protection locked="true" hidden="false"/>
    </xf>
    <xf numFmtId="167" fontId="8" fillId="11" borderId="31" xfId="0" applyFont="true" applyBorder="true" applyAlignment="true" applyProtection="true">
      <alignment horizontal="general" vertical="bottom" textRotation="0" wrapText="false" indent="0" shrinkToFit="false"/>
      <protection locked="true" hidden="false"/>
    </xf>
    <xf numFmtId="167" fontId="8" fillId="20" borderId="0" xfId="0" applyFont="true" applyBorder="true" applyAlignment="true" applyProtection="true">
      <alignment horizontal="general" vertical="bottom" textRotation="0" wrapText="false" indent="0" shrinkToFit="false"/>
      <protection locked="true" hidden="false"/>
    </xf>
    <xf numFmtId="164" fontId="8" fillId="10" borderId="7" xfId="0" applyFont="true" applyBorder="true" applyAlignment="true" applyProtection="true">
      <alignment horizontal="general" vertical="bottom" textRotation="0" wrapText="true" indent="0" shrinkToFit="false"/>
      <protection locked="true" hidden="false"/>
    </xf>
    <xf numFmtId="164" fontId="8" fillId="20" borderId="0" xfId="0" applyFont="true" applyBorder="true" applyAlignment="true" applyProtection="true">
      <alignment horizontal="left" vertical="bottom" textRotation="0" wrapText="false" indent="0" shrinkToFit="false"/>
      <protection locked="true" hidden="false"/>
    </xf>
    <xf numFmtId="167" fontId="8" fillId="20" borderId="0" xfId="0" applyFont="true" applyBorder="true" applyAlignment="true" applyProtection="true">
      <alignment horizontal="right" vertical="bottom" textRotation="0" wrapText="false" indent="0" shrinkToFit="false"/>
      <protection locked="true" hidden="false"/>
    </xf>
    <xf numFmtId="164" fontId="8" fillId="5" borderId="33" xfId="0" applyFont="true" applyBorder="true" applyAlignment="true" applyProtection="true">
      <alignment horizontal="general" vertical="bottom" textRotation="0" wrapText="false" indent="0" shrinkToFit="false"/>
      <protection locked="true" hidden="false"/>
    </xf>
    <xf numFmtId="164" fontId="8" fillId="5" borderId="35" xfId="0" applyFont="true" applyBorder="true" applyAlignment="true" applyProtection="true">
      <alignment horizontal="general" vertical="bottom" textRotation="0" wrapText="false" indent="0" shrinkToFit="false"/>
      <protection locked="true" hidden="false"/>
    </xf>
    <xf numFmtId="164" fontId="14" fillId="11" borderId="0" xfId="0" applyFont="true" applyBorder="true" applyAlignment="true" applyProtection="true">
      <alignment horizontal="left" vertical="bottom" textRotation="0" wrapText="false" indent="0" shrinkToFit="false"/>
      <protection locked="true" hidden="false"/>
    </xf>
    <xf numFmtId="164" fontId="8" fillId="11" borderId="7" xfId="0" applyFont="true" applyBorder="true" applyAlignment="true" applyProtection="true">
      <alignment horizontal="center" vertical="bottom" textRotation="0" wrapText="true" indent="0" shrinkToFit="false"/>
      <protection locked="true" hidden="false"/>
    </xf>
    <xf numFmtId="164" fontId="8" fillId="5" borderId="13" xfId="0" applyFont="true" applyBorder="true" applyAlignment="true" applyProtection="true">
      <alignment horizontal="left" vertical="bottom" textRotation="0" wrapText="false" indent="0" shrinkToFit="false"/>
      <protection locked="true" hidden="false"/>
    </xf>
    <xf numFmtId="164" fontId="60" fillId="20" borderId="6" xfId="0" applyFont="true" applyBorder="true" applyAlignment="true" applyProtection="true">
      <alignment horizontal="left" vertical="bottom" textRotation="0" wrapText="false" indent="0" shrinkToFit="false"/>
      <protection locked="true" hidden="false"/>
    </xf>
    <xf numFmtId="167" fontId="8" fillId="20" borderId="6" xfId="0" applyFont="true" applyBorder="true" applyAlignment="true" applyProtection="true">
      <alignment horizontal="right" vertical="bottom" textRotation="0" wrapText="false" indent="0" shrinkToFit="false"/>
      <protection locked="true" hidden="false"/>
    </xf>
    <xf numFmtId="164" fontId="35" fillId="10" borderId="7" xfId="0" applyFont="true" applyBorder="true" applyAlignment="true" applyProtection="true">
      <alignment horizontal="center" vertical="bottom" textRotation="0" wrapText="true" indent="0" shrinkToFit="false"/>
      <protection locked="true" hidden="false"/>
    </xf>
    <xf numFmtId="164" fontId="8" fillId="16" borderId="19" xfId="0" applyFont="true" applyBorder="true" applyAlignment="true" applyProtection="true">
      <alignment horizontal="center" vertical="bottom" textRotation="0" wrapText="false" indent="0" shrinkToFit="false"/>
      <protection locked="true" hidden="false"/>
    </xf>
    <xf numFmtId="164" fontId="8" fillId="16" borderId="20" xfId="0" applyFont="true" applyBorder="true" applyAlignment="true" applyProtection="true">
      <alignment horizontal="general" vertical="bottom" textRotation="0" wrapText="false" indent="0" shrinkToFit="false"/>
      <protection locked="true" hidden="false"/>
    </xf>
    <xf numFmtId="164" fontId="8" fillId="16" borderId="21" xfId="0" applyFont="true" applyBorder="true" applyAlignment="true" applyProtection="true">
      <alignment horizontal="general" vertical="bottom" textRotation="0" wrapText="false" indent="0" shrinkToFit="false"/>
      <protection locked="true" hidden="false"/>
    </xf>
    <xf numFmtId="164" fontId="8" fillId="16" borderId="22" xfId="0" applyFont="true" applyBorder="true" applyAlignment="true" applyProtection="true">
      <alignment horizontal="general" vertical="bottom" textRotation="0" wrapText="false" indent="0" shrinkToFit="false"/>
      <protection locked="true" hidden="false"/>
    </xf>
    <xf numFmtId="164" fontId="10" fillId="16" borderId="0" xfId="0" applyFont="true" applyBorder="true" applyAlignment="true" applyProtection="true">
      <alignment horizontal="left" vertical="bottom" textRotation="0" wrapText="false" indent="0" shrinkToFit="false"/>
      <protection locked="true" hidden="false"/>
    </xf>
    <xf numFmtId="164" fontId="8" fillId="16" borderId="23" xfId="0" applyFont="true" applyBorder="true" applyAlignment="true" applyProtection="true">
      <alignment horizontal="general" vertical="bottom" textRotation="0" wrapText="false" indent="0" shrinkToFit="false"/>
      <protection locked="true" hidden="false"/>
    </xf>
    <xf numFmtId="166" fontId="15" fillId="12" borderId="11" xfId="0" applyFont="true" applyBorder="true" applyAlignment="true" applyProtection="true">
      <alignment horizontal="general" vertical="bottom" textRotation="0" wrapText="false" indent="0" shrinkToFit="false"/>
      <protection locked="true" hidden="false"/>
    </xf>
    <xf numFmtId="164" fontId="8" fillId="6" borderId="42" xfId="0" applyFont="true" applyBorder="true" applyAlignment="true" applyProtection="true">
      <alignment horizontal="general" vertical="bottom" textRotation="0" wrapText="false" indent="0" shrinkToFit="false"/>
      <protection locked="true" hidden="false"/>
    </xf>
    <xf numFmtId="164" fontId="8" fillId="16" borderId="5" xfId="0" applyFont="true" applyBorder="true" applyAlignment="true" applyProtection="true">
      <alignment horizontal="general" vertical="bottom" textRotation="0" wrapText="false" indent="0" shrinkToFit="false"/>
      <protection locked="true" hidden="false"/>
    </xf>
    <xf numFmtId="164" fontId="8" fillId="16" borderId="6" xfId="0" applyFont="true" applyBorder="true" applyAlignment="true" applyProtection="true">
      <alignment horizontal="general" vertical="bottom" textRotation="0" wrapText="false" indent="0" shrinkToFit="false"/>
      <protection locked="true" hidden="false"/>
    </xf>
    <xf numFmtId="164" fontId="8" fillId="16" borderId="6" xfId="0" applyFont="true" applyBorder="true" applyAlignment="true" applyProtection="true">
      <alignment horizontal="left" vertical="bottom" textRotation="0" wrapText="false" indent="0" shrinkToFit="false"/>
      <protection locked="true" hidden="false"/>
    </xf>
    <xf numFmtId="164" fontId="8" fillId="16" borderId="26" xfId="0" applyFont="true" applyBorder="true" applyAlignment="true" applyProtection="true">
      <alignment horizontal="general" vertical="bottom" textRotation="0" wrapText="false" indent="0" shrinkToFit="false"/>
      <protection locked="true" hidden="false"/>
    </xf>
    <xf numFmtId="164" fontId="8" fillId="2"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7" fontId="8" fillId="20" borderId="31" xfId="0" applyFont="true" applyBorder="true" applyAlignment="true" applyProtection="true">
      <alignment horizontal="general" vertical="bottom" textRotation="0" wrapText="false" indent="0" shrinkToFit="false"/>
      <protection locked="true" hidden="false"/>
    </xf>
    <xf numFmtId="167" fontId="8" fillId="11" borderId="34" xfId="0" applyFont="true" applyBorder="true" applyAlignment="true" applyProtection="true">
      <alignment horizontal="general" vertical="bottom" textRotation="0" wrapText="false" indent="0" shrinkToFit="false"/>
      <protection locked="true" hidden="false"/>
    </xf>
    <xf numFmtId="164" fontId="8" fillId="7" borderId="31" xfId="0" applyFont="true" applyBorder="true" applyAlignment="true" applyProtection="true">
      <alignment horizontal="center" vertical="bottom" textRotation="0" wrapText="false" indent="0" shrinkToFit="false"/>
      <protection locked="true" hidden="false"/>
    </xf>
    <xf numFmtId="164" fontId="66" fillId="2" borderId="6" xfId="0" applyFont="true" applyBorder="true" applyAlignment="true" applyProtection="true">
      <alignment horizontal="general" vertical="bottom" textRotation="0" wrapText="false" indent="0" shrinkToFit="false"/>
      <protection locked="true" hidden="false"/>
    </xf>
    <xf numFmtId="164" fontId="35" fillId="5" borderId="0" xfId="0" applyFont="true" applyBorder="true" applyAlignment="true" applyProtection="true">
      <alignment horizontal="general" vertical="bottom" textRotation="0" wrapText="false" indent="0" shrinkToFit="false"/>
      <protection locked="true" hidden="false"/>
    </xf>
    <xf numFmtId="164" fontId="8" fillId="7" borderId="29" xfId="0" applyFont="true" applyBorder="true" applyAlignment="true" applyProtection="true">
      <alignment horizontal="general" vertical="bottom" textRotation="0" wrapText="false" indent="0" shrinkToFit="false"/>
      <protection locked="true" hidden="false"/>
    </xf>
    <xf numFmtId="164" fontId="10" fillId="8" borderId="2" xfId="0" applyFont="true" applyBorder="true" applyAlignment="true" applyProtection="true">
      <alignment horizontal="general" vertical="bottom" textRotation="0" wrapText="false" indent="0" shrinkToFit="false"/>
      <protection locked="true" hidden="false"/>
    </xf>
    <xf numFmtId="164" fontId="10" fillId="12" borderId="19" xfId="0" applyFont="true" applyBorder="true" applyAlignment="true" applyProtection="true">
      <alignment horizontal="general" vertical="bottom" textRotation="0" wrapText="false" indent="0" shrinkToFit="false"/>
      <protection locked="true" hidden="false"/>
    </xf>
    <xf numFmtId="164" fontId="10" fillId="12" borderId="20" xfId="0" applyFont="true" applyBorder="true" applyAlignment="true" applyProtection="true">
      <alignment horizontal="general" vertical="bottom" textRotation="0" wrapText="false" indent="0" shrinkToFit="false"/>
      <protection locked="true" hidden="false"/>
    </xf>
    <xf numFmtId="164" fontId="8" fillId="12" borderId="20" xfId="0" applyFont="true" applyBorder="true" applyAlignment="true" applyProtection="true">
      <alignment horizontal="general" vertical="bottom" textRotation="0" wrapText="false" indent="0" shrinkToFit="false"/>
      <protection locked="true" hidden="false"/>
    </xf>
    <xf numFmtId="164" fontId="8" fillId="12" borderId="21" xfId="0" applyFont="true" applyBorder="true" applyAlignment="true" applyProtection="true">
      <alignment horizontal="general" vertical="bottom" textRotation="0" wrapText="false" indent="0" shrinkToFit="false"/>
      <protection locked="true" hidden="false"/>
    </xf>
    <xf numFmtId="164" fontId="21" fillId="20" borderId="22" xfId="0" applyFont="true" applyBorder="true" applyAlignment="true" applyProtection="true">
      <alignment horizontal="general" vertical="bottom" textRotation="0" wrapText="false" indent="0" shrinkToFit="false"/>
      <protection locked="true" hidden="false"/>
    </xf>
    <xf numFmtId="164" fontId="8" fillId="5" borderId="22" xfId="0" applyFont="true" applyBorder="true" applyAlignment="true" applyProtection="true">
      <alignment horizontal="general" vertical="bottom" textRotation="0" wrapText="false" indent="0" shrinkToFit="false"/>
      <protection locked="true" hidden="false"/>
    </xf>
    <xf numFmtId="164" fontId="8" fillId="5" borderId="23" xfId="0" applyFont="true" applyBorder="true" applyAlignment="true" applyProtection="true">
      <alignment horizontal="center" vertical="bottom" textRotation="0" wrapText="false" indent="0" shrinkToFit="false"/>
      <protection locked="true" hidden="false"/>
    </xf>
    <xf numFmtId="171" fontId="8" fillId="0" borderId="0" xfId="0" applyFont="true" applyBorder="false" applyAlignment="true" applyProtection="true">
      <alignment horizontal="center" vertical="bottom" textRotation="0" wrapText="false" indent="0" shrinkToFit="false"/>
      <protection locked="true" hidden="false"/>
    </xf>
    <xf numFmtId="164" fontId="8" fillId="7" borderId="33" xfId="0" applyFont="true" applyBorder="true" applyAlignment="true" applyProtection="true">
      <alignment horizontal="general" vertical="bottom" textRotation="0" wrapText="false" indent="0" shrinkToFit="false"/>
      <protection locked="true" hidden="false"/>
    </xf>
    <xf numFmtId="164" fontId="8" fillId="5" borderId="23" xfId="0" applyFont="true" applyBorder="true" applyAlignment="true" applyProtection="true">
      <alignment horizontal="general" vertical="bottom" textRotation="0" wrapText="false" indent="0" shrinkToFit="false"/>
      <protection locked="true" hidden="false"/>
    </xf>
    <xf numFmtId="186" fontId="8" fillId="0" borderId="0" xfId="0" applyFont="true" applyBorder="false" applyAlignment="true" applyProtection="true">
      <alignment horizontal="center" vertical="bottom" textRotation="0" wrapText="false" indent="0" shrinkToFit="false"/>
      <protection locked="true" hidden="false"/>
    </xf>
    <xf numFmtId="171" fontId="11" fillId="6" borderId="2" xfId="0" applyFont="true" applyBorder="true" applyAlignment="true" applyProtection="true">
      <alignment horizontal="center" vertical="bottom" textRotation="0" wrapText="false" indent="0" shrinkToFit="false"/>
      <protection locked="true" hidden="false"/>
    </xf>
    <xf numFmtId="171" fontId="11" fillId="5" borderId="0" xfId="0" applyFont="true" applyBorder="true" applyAlignment="true" applyProtection="true">
      <alignment horizontal="center" vertical="bottom" textRotation="0" wrapText="false" indent="0" shrinkToFit="false"/>
      <protection locked="true" hidden="false"/>
    </xf>
    <xf numFmtId="164" fontId="8" fillId="20" borderId="0" xfId="0" applyFont="true" applyBorder="true" applyAlignment="true" applyProtection="true">
      <alignment horizontal="right" vertical="bottom" textRotation="0" wrapText="false" indent="0" shrinkToFit="false"/>
      <protection locked="true" hidden="false"/>
    </xf>
    <xf numFmtId="171" fontId="11" fillId="20" borderId="0" xfId="0" applyFont="true" applyBorder="true" applyAlignment="true" applyProtection="true">
      <alignment horizontal="center" vertical="bottom" textRotation="0" wrapText="false" indent="0" shrinkToFit="false"/>
      <protection locked="true" hidden="false"/>
    </xf>
    <xf numFmtId="164" fontId="8" fillId="20" borderId="23" xfId="0" applyFont="true" applyBorder="true" applyAlignment="true" applyProtection="true">
      <alignment horizontal="center" vertical="bottom" textRotation="0" wrapText="false" indent="0" shrinkToFit="false"/>
      <protection locked="true" hidden="false"/>
    </xf>
    <xf numFmtId="186" fontId="8" fillId="0" borderId="7" xfId="0" applyFont="true" applyBorder="true" applyAlignment="true" applyProtection="true">
      <alignment horizontal="center" vertical="bottom" textRotation="0" wrapText="false" indent="0" shrinkToFit="false"/>
      <protection locked="true" hidden="false"/>
    </xf>
    <xf numFmtId="171" fontId="8" fillId="0" borderId="7" xfId="0" applyFont="true" applyBorder="true" applyAlignment="true" applyProtection="true">
      <alignment horizontal="center" vertical="bottom" textRotation="0" wrapText="false" indent="0" shrinkToFit="false"/>
      <protection locked="true" hidden="false"/>
    </xf>
    <xf numFmtId="171" fontId="11" fillId="6" borderId="9" xfId="0" applyFont="true" applyBorder="true" applyAlignment="true" applyProtection="true">
      <alignment horizontal="center" vertical="bottom" textRotation="0" wrapText="false" indent="0" shrinkToFit="false"/>
      <protection locked="true" hidden="false"/>
    </xf>
    <xf numFmtId="164" fontId="8" fillId="5" borderId="5" xfId="0" applyFont="true" applyBorder="true" applyAlignment="true" applyProtection="true">
      <alignment horizontal="general" vertical="bottom" textRotation="0" wrapText="false" indent="0" shrinkToFit="false"/>
      <protection locked="true" hidden="false"/>
    </xf>
    <xf numFmtId="164" fontId="8" fillId="5" borderId="26" xfId="0" applyFont="true" applyBorder="true" applyAlignment="true" applyProtection="true">
      <alignment horizontal="general" vertical="bottom" textRotation="0" wrapText="false" indent="0" shrinkToFit="false"/>
      <protection locked="true" hidden="false"/>
    </xf>
    <xf numFmtId="171" fontId="8" fillId="0" borderId="24" xfId="0" applyFont="true" applyBorder="true" applyAlignment="true" applyProtection="true">
      <alignment horizontal="center" vertical="bottom" textRotation="0" wrapText="false" indent="0" shrinkToFit="false"/>
      <protection locked="true" hidden="false"/>
    </xf>
    <xf numFmtId="164" fontId="10" fillId="2" borderId="0" xfId="0" applyFont="true" applyBorder="true" applyAlignment="true" applyProtection="true">
      <alignment horizontal="general" vertical="bottom" textRotation="0" wrapText="false" indent="0" shrinkToFit="false"/>
      <protection locked="true" hidden="false"/>
    </xf>
    <xf numFmtId="164" fontId="10" fillId="12" borderId="0" xfId="0" applyFont="true" applyBorder="true" applyAlignment="true" applyProtection="true">
      <alignment horizontal="general" vertical="bottom" textRotation="0" wrapText="false" indent="0" shrinkToFit="false"/>
      <protection locked="true" hidden="false"/>
    </xf>
    <xf numFmtId="164" fontId="67" fillId="12" borderId="0" xfId="0" applyFont="true" applyBorder="true" applyAlignment="true" applyProtection="true">
      <alignment horizontal="center" vertical="bottom" textRotation="0" wrapText="false" indent="0" shrinkToFit="false"/>
      <protection locked="true" hidden="false"/>
    </xf>
    <xf numFmtId="164" fontId="21" fillId="20" borderId="7" xfId="0" applyFont="true" applyBorder="true" applyAlignment="true" applyProtection="true">
      <alignment horizontal="general" vertical="bottom" textRotation="0" wrapText="false" indent="0" shrinkToFit="false"/>
      <protection locked="true" hidden="false"/>
    </xf>
    <xf numFmtId="164" fontId="8" fillId="20" borderId="7" xfId="0" applyFont="true" applyBorder="true" applyAlignment="true" applyProtection="true">
      <alignment horizontal="general" vertical="bottom" textRotation="0" wrapText="false" indent="0" shrinkToFit="false"/>
      <protection locked="true" hidden="false"/>
    </xf>
    <xf numFmtId="171" fontId="8" fillId="20" borderId="7" xfId="0" applyFont="true" applyBorder="true" applyAlignment="true" applyProtection="true">
      <alignment horizontal="center" vertical="bottom" textRotation="0" wrapText="false" indent="0" shrinkToFit="false"/>
      <protection locked="true" hidden="false"/>
    </xf>
    <xf numFmtId="167" fontId="10" fillId="20" borderId="7" xfId="0" applyFont="true" applyBorder="true" applyAlignment="true" applyProtection="true">
      <alignment horizontal="center" vertical="bottom" textRotation="0" wrapText="false" indent="0" shrinkToFit="false"/>
      <protection locked="true" hidden="false"/>
    </xf>
    <xf numFmtId="164" fontId="8" fillId="5" borderId="28" xfId="0" applyFont="true" applyBorder="true" applyAlignment="true" applyProtection="true">
      <alignment horizontal="general" vertical="bottom" textRotation="0" wrapText="false" indent="0" shrinkToFit="false"/>
      <protection locked="true" hidden="false"/>
    </xf>
    <xf numFmtId="164" fontId="8" fillId="5" borderId="29" xfId="0" applyFont="true" applyBorder="true" applyAlignment="true" applyProtection="true">
      <alignment horizontal="general" vertical="bottom" textRotation="0" wrapText="false" indent="0" shrinkToFit="false"/>
      <protection locked="true" hidden="false"/>
    </xf>
    <xf numFmtId="164" fontId="8" fillId="5" borderId="30" xfId="0" applyFont="true" applyBorder="true" applyAlignment="true" applyProtection="true">
      <alignment horizontal="general" vertical="bottom" textRotation="0" wrapText="false" indent="0" shrinkToFit="false"/>
      <protection locked="true" hidden="false"/>
    </xf>
    <xf numFmtId="164" fontId="8" fillId="5" borderId="34" xfId="0" applyFont="true" applyBorder="true" applyAlignment="true" applyProtection="true">
      <alignment horizontal="general" vertical="bottom" textRotation="0" wrapText="false" indent="0" shrinkToFit="false"/>
      <protection locked="true" hidden="false"/>
    </xf>
    <xf numFmtId="164" fontId="8" fillId="5" borderId="11" xfId="0" applyFont="true" applyBorder="true" applyAlignment="true" applyProtection="true">
      <alignment horizontal="general" vertical="bottom" textRotation="0" wrapText="false" indent="0" shrinkToFit="false"/>
      <protection locked="true" hidden="false"/>
    </xf>
    <xf numFmtId="164" fontId="8" fillId="20" borderId="7" xfId="0" applyFont="true" applyBorder="true" applyAlignment="true" applyProtection="true">
      <alignment horizontal="center" vertical="bottom" textRotation="0" wrapText="false" indent="0" shrinkToFit="false"/>
      <protection locked="true" hidden="false"/>
    </xf>
    <xf numFmtId="164" fontId="21" fillId="5" borderId="0" xfId="0" applyFont="true" applyBorder="true" applyAlignment="true" applyProtection="true">
      <alignment horizontal="general" vertical="bottom" textRotation="0" wrapText="false" indent="0" shrinkToFit="false"/>
      <protection locked="true" hidden="false"/>
    </xf>
    <xf numFmtId="164" fontId="10" fillId="2" borderId="11" xfId="0" applyFont="true" applyBorder="true" applyAlignment="true" applyProtection="true">
      <alignment horizontal="general" vertical="bottom" textRotation="0" wrapText="false" indent="0" shrinkToFit="false"/>
      <protection locked="true" hidden="false"/>
    </xf>
    <xf numFmtId="164" fontId="10" fillId="2" borderId="13" xfId="0" applyFont="true" applyBorder="true" applyAlignment="true" applyProtection="true">
      <alignment horizontal="general" vertical="bottom" textRotation="0" wrapText="false" indent="0" shrinkToFit="false"/>
      <protection locked="true" hidden="false"/>
    </xf>
    <xf numFmtId="164" fontId="8" fillId="2" borderId="12" xfId="0" applyFont="true" applyBorder="true" applyAlignment="true" applyProtection="true">
      <alignment horizontal="general" vertical="bottom" textRotation="0" wrapText="false" indent="0" shrinkToFit="false"/>
      <protection locked="true" hidden="false"/>
    </xf>
    <xf numFmtId="164" fontId="8" fillId="8" borderId="28" xfId="0" applyFont="true" applyBorder="true" applyAlignment="true" applyProtection="true">
      <alignment horizontal="general" vertical="bottom" textRotation="0" wrapText="false" indent="0" shrinkToFit="false"/>
      <protection locked="true" hidden="false"/>
    </xf>
    <xf numFmtId="164" fontId="8" fillId="8" borderId="30" xfId="0" applyFont="true" applyBorder="true" applyAlignment="true" applyProtection="true">
      <alignment horizontal="general" vertical="bottom" textRotation="0" wrapText="false" indent="0" shrinkToFit="false"/>
      <protection locked="true" hidden="false"/>
    </xf>
    <xf numFmtId="164" fontId="21" fillId="12" borderId="11" xfId="0" applyFont="true" applyBorder="true" applyAlignment="true" applyProtection="true">
      <alignment horizontal="general" vertical="bottom" textRotation="0" wrapText="false" indent="0" shrinkToFit="false"/>
      <protection locked="true" hidden="false"/>
    </xf>
    <xf numFmtId="164" fontId="21" fillId="12" borderId="13" xfId="0" applyFont="true" applyBorder="true" applyAlignment="true" applyProtection="true">
      <alignment horizontal="general" vertical="bottom" textRotation="0" wrapText="false" indent="0" shrinkToFit="false"/>
      <protection locked="true" hidden="false"/>
    </xf>
    <xf numFmtId="164" fontId="21" fillId="12" borderId="13" xfId="0" applyFont="true" applyBorder="true" applyAlignment="true" applyProtection="true">
      <alignment horizontal="center" vertical="bottom" textRotation="0" wrapText="false" indent="0" shrinkToFit="false"/>
      <protection locked="true" hidden="false"/>
    </xf>
    <xf numFmtId="164" fontId="21" fillId="12" borderId="12" xfId="0" applyFont="true" applyBorder="true" applyAlignment="true" applyProtection="true">
      <alignment horizontal="center" vertical="bottom" textRotation="0" wrapText="false" indent="0" shrinkToFit="false"/>
      <protection locked="true" hidden="false"/>
    </xf>
    <xf numFmtId="164" fontId="8" fillId="5" borderId="31" xfId="0" applyFont="true" applyBorder="true" applyAlignment="true" applyProtection="true">
      <alignment horizontal="general" vertical="bottom" textRotation="0" wrapText="false" indent="0" shrinkToFit="false"/>
      <protection locked="true" hidden="false"/>
    </xf>
    <xf numFmtId="164" fontId="70" fillId="12" borderId="2" xfId="0" applyFont="true" applyBorder="true" applyAlignment="true" applyProtection="true">
      <alignment horizontal="center" vertical="bottom" textRotation="0" wrapText="false" indent="0" shrinkToFit="false"/>
      <protection locked="true" hidden="false"/>
    </xf>
    <xf numFmtId="164" fontId="11" fillId="21" borderId="2" xfId="0" applyFont="true" applyBorder="true" applyAlignment="true" applyProtection="true">
      <alignment horizontal="center" vertical="bottom" textRotation="0" wrapText="false" indent="0" shrinkToFit="false"/>
      <protection locked="true" hidden="false"/>
    </xf>
    <xf numFmtId="167" fontId="11" fillId="6" borderId="7" xfId="0" applyFont="true" applyBorder="true" applyAlignment="true" applyProtection="true">
      <alignment horizontal="center" vertical="bottom" textRotation="0" wrapText="false" indent="0" shrinkToFit="false"/>
      <protection locked="true" hidden="false"/>
    </xf>
    <xf numFmtId="164" fontId="8" fillId="2" borderId="13" xfId="0" applyFont="true" applyBorder="true" applyAlignment="true" applyProtection="true">
      <alignment horizontal="general" vertical="bottom" textRotation="0" wrapText="false" indent="0" shrinkToFit="false"/>
      <protection locked="true" hidden="false"/>
    </xf>
    <xf numFmtId="164" fontId="8" fillId="8" borderId="7" xfId="0" applyFont="true" applyBorder="true" applyAlignment="true" applyProtection="true">
      <alignment horizontal="left" vertical="bottom" textRotation="0" wrapText="false" indent="0" shrinkToFit="false"/>
      <protection locked="true" hidden="false"/>
    </xf>
    <xf numFmtId="183" fontId="11" fillId="6" borderId="24" xfId="0" applyFont="true" applyBorder="true" applyAlignment="true" applyProtection="true">
      <alignment horizontal="center" vertical="bottom" textRotation="0" wrapText="false" indent="0" shrinkToFit="false"/>
      <protection locked="true" hidden="false"/>
    </xf>
    <xf numFmtId="164" fontId="8" fillId="7" borderId="0" xfId="0" applyFont="true" applyBorder="true" applyAlignment="true" applyProtection="true">
      <alignment horizontal="left" vertical="bottom" textRotation="0" wrapText="false" indent="0" shrinkToFit="false"/>
      <protection locked="true" hidden="false"/>
    </xf>
    <xf numFmtId="164" fontId="21" fillId="12" borderId="11" xfId="0" applyFont="true" applyBorder="true" applyAlignment="true" applyProtection="true">
      <alignment horizontal="center" vertical="bottom" textRotation="0" wrapText="false" indent="0" shrinkToFit="false"/>
      <protection locked="true" hidden="false"/>
    </xf>
    <xf numFmtId="164" fontId="8" fillId="15" borderId="13" xfId="0" applyFont="true" applyBorder="true" applyAlignment="true" applyProtection="true">
      <alignment horizontal="general" vertical="bottom" textRotation="0" wrapText="false" indent="0" shrinkToFit="false"/>
      <protection locked="true" hidden="false"/>
    </xf>
    <xf numFmtId="164" fontId="8" fillId="15" borderId="29" xfId="0" applyFont="true" applyBorder="true" applyAlignment="true" applyProtection="true">
      <alignment horizontal="general" vertical="bottom" textRotation="0" wrapText="false" indent="0" shrinkToFit="false"/>
      <protection locked="true" hidden="false"/>
    </xf>
    <xf numFmtId="177" fontId="8" fillId="5" borderId="11" xfId="0" applyFont="true" applyBorder="true" applyAlignment="true" applyProtection="true">
      <alignment horizontal="general" vertical="bottom" textRotation="0" wrapText="false" indent="0" shrinkToFit="false"/>
      <protection locked="true" hidden="false"/>
    </xf>
    <xf numFmtId="164" fontId="15" fillId="12" borderId="2" xfId="0" applyFont="true" applyBorder="true" applyAlignment="true" applyProtection="true">
      <alignment horizontal="general" vertical="bottom" textRotation="0" wrapText="false" indent="0" shrinkToFit="false"/>
      <protection locked="true" hidden="false"/>
    </xf>
    <xf numFmtId="164" fontId="11" fillId="7" borderId="0" xfId="0" applyFont="true" applyBorder="true" applyAlignment="true" applyProtection="true">
      <alignment horizontal="general" vertical="bottom" textRotation="0" wrapText="false" indent="0" shrinkToFit="false"/>
      <protection locked="true" hidden="false"/>
    </xf>
    <xf numFmtId="164" fontId="8" fillId="8" borderId="31" xfId="0" applyFont="true" applyBorder="true" applyAlignment="true" applyProtection="true">
      <alignment horizontal="general" vertical="bottom" textRotation="0" wrapText="false" indent="0" shrinkToFit="false"/>
      <protection locked="true" hidden="false"/>
    </xf>
    <xf numFmtId="183" fontId="11" fillId="6" borderId="16" xfId="0" applyFont="true" applyBorder="true" applyAlignment="true" applyProtection="true">
      <alignment horizontal="center" vertical="bottom" textRotation="0" wrapText="false" indent="0" shrinkToFit="false"/>
      <protection locked="true" hidden="false"/>
    </xf>
    <xf numFmtId="164" fontId="21" fillId="12" borderId="31" xfId="0" applyFont="true" applyBorder="true" applyAlignment="true" applyProtection="true">
      <alignment horizontal="center" vertical="bottom" textRotation="0" wrapText="false" indent="0" shrinkToFit="false"/>
      <protection locked="true" hidden="false"/>
    </xf>
    <xf numFmtId="164" fontId="21" fillId="12" borderId="32" xfId="0" applyFont="true" applyBorder="true" applyAlignment="true" applyProtection="true">
      <alignment horizontal="center" vertical="bottom" textRotation="0" wrapText="false" indent="0" shrinkToFit="false"/>
      <protection locked="true" hidden="false"/>
    </xf>
    <xf numFmtId="164" fontId="8" fillId="15" borderId="13" xfId="0" applyFont="true" applyBorder="true" applyAlignment="true" applyProtection="true">
      <alignment horizontal="center" vertical="bottom" textRotation="0" wrapText="false" indent="0" shrinkToFit="false"/>
      <protection locked="true" hidden="false"/>
    </xf>
    <xf numFmtId="164" fontId="11" fillId="6" borderId="34" xfId="0" applyFont="true" applyBorder="true" applyAlignment="true" applyProtection="true">
      <alignment horizontal="general" vertical="bottom" textRotation="0" wrapText="false" indent="0" shrinkToFit="false"/>
      <protection locked="true" hidden="false"/>
    </xf>
    <xf numFmtId="164" fontId="11" fillId="6" borderId="35" xfId="0" applyFont="true" applyBorder="true" applyAlignment="true" applyProtection="true">
      <alignment horizontal="center" vertical="bottom" textRotation="0" wrapText="false" indent="0" shrinkToFit="false"/>
      <protection locked="true" hidden="false"/>
    </xf>
    <xf numFmtId="164" fontId="11" fillId="5" borderId="34" xfId="0" applyFont="true" applyBorder="true" applyAlignment="true" applyProtection="true">
      <alignment horizontal="center" vertical="bottom" textRotation="0" wrapText="false" indent="0" shrinkToFit="false"/>
      <protection locked="true" hidden="false"/>
    </xf>
    <xf numFmtId="164" fontId="10" fillId="8" borderId="34" xfId="0" applyFont="true" applyBorder="true" applyAlignment="true" applyProtection="true">
      <alignment horizontal="general" vertical="bottom" textRotation="0" wrapText="false" indent="0" shrinkToFit="false"/>
      <protection locked="true" hidden="false"/>
    </xf>
    <xf numFmtId="164" fontId="10" fillId="8" borderId="35" xfId="0" applyFont="true" applyBorder="true" applyAlignment="true" applyProtection="true">
      <alignment horizontal="general" vertical="bottom" textRotation="0" wrapText="false" indent="0" shrinkToFit="false"/>
      <protection locked="true" hidden="false"/>
    </xf>
    <xf numFmtId="164" fontId="7" fillId="2" borderId="34" xfId="0" applyFont="true" applyBorder="true" applyAlignment="true" applyProtection="true">
      <alignment horizontal="left" vertical="bottom" textRotation="0" wrapText="false" indent="0" shrinkToFit="false"/>
      <protection locked="true" hidden="false"/>
    </xf>
    <xf numFmtId="164" fontId="7" fillId="2" borderId="13" xfId="0" applyFont="true" applyBorder="true" applyAlignment="true" applyProtection="true">
      <alignment horizontal="center" vertical="bottom" textRotation="0" wrapText="false" indent="0" shrinkToFit="false"/>
      <protection locked="true" hidden="false"/>
    </xf>
    <xf numFmtId="164" fontId="12" fillId="12" borderId="2" xfId="0" applyFont="true" applyBorder="true" applyAlignment="true" applyProtection="true">
      <alignment horizontal="center" vertical="bottom" textRotation="0" wrapText="false" indent="0" shrinkToFit="false"/>
      <protection locked="true" hidden="false"/>
    </xf>
    <xf numFmtId="164" fontId="8" fillId="16" borderId="2" xfId="0" applyFont="true" applyBorder="true" applyAlignment="true" applyProtection="true">
      <alignment horizontal="center" vertical="bottom" textRotation="0" wrapText="false" indent="0" shrinkToFit="false"/>
      <protection locked="true" hidden="false"/>
    </xf>
    <xf numFmtId="164" fontId="10" fillId="12" borderId="24" xfId="0" applyFont="true" applyBorder="true" applyAlignment="true" applyProtection="true">
      <alignment horizontal="center" vertical="bottom" textRotation="0" wrapText="false" indent="0" shrinkToFit="false"/>
      <protection locked="true" hidden="false"/>
    </xf>
    <xf numFmtId="164" fontId="10" fillId="12" borderId="25" xfId="0" applyFont="true" applyBorder="true" applyAlignment="true" applyProtection="true">
      <alignment horizontal="center" vertical="bottom" textRotation="0" wrapText="false" indent="0" shrinkToFit="false"/>
      <protection locked="true" hidden="false"/>
    </xf>
    <xf numFmtId="164" fontId="71" fillId="12" borderId="7" xfId="0" applyFont="true" applyBorder="true" applyAlignment="true" applyProtection="true">
      <alignment horizontal="center" vertical="bottom" textRotation="0" wrapText="false" indent="0" shrinkToFit="false"/>
      <protection locked="true" hidden="false"/>
    </xf>
    <xf numFmtId="167" fontId="19" fillId="6" borderId="53" xfId="0" applyFont="true" applyBorder="true" applyAlignment="true" applyProtection="true">
      <alignment horizontal="center" vertical="bottom" textRotation="0" wrapText="false" indent="0" shrinkToFit="false"/>
      <protection locked="true" hidden="false"/>
    </xf>
    <xf numFmtId="164" fontId="59" fillId="2" borderId="7" xfId="0" applyFont="true" applyBorder="true" applyAlignment="true" applyProtection="true">
      <alignment horizontal="center" vertical="bottom" textRotation="0" wrapText="false" indent="0" shrinkToFit="false"/>
      <protection locked="true" hidden="false"/>
    </xf>
    <xf numFmtId="164" fontId="59" fillId="5" borderId="7" xfId="0" applyFont="true" applyBorder="true" applyAlignment="true" applyProtection="true">
      <alignment horizontal="center" vertical="bottom" textRotation="0" wrapText="false" indent="0" shrinkToFit="false"/>
      <protection locked="true" hidden="false"/>
    </xf>
    <xf numFmtId="187" fontId="59" fillId="5" borderId="7" xfId="0" applyFont="true" applyBorder="true" applyAlignment="true" applyProtection="true">
      <alignment horizontal="center" vertical="bottom" textRotation="0" wrapText="false" indent="0" shrinkToFit="false"/>
      <protection locked="true" hidden="false"/>
    </xf>
    <xf numFmtId="167" fontId="59" fillId="5" borderId="7" xfId="0" applyFont="true" applyBorder="true" applyAlignment="true" applyProtection="true">
      <alignment horizontal="center" vertical="bottom" textRotation="0" wrapText="false" indent="0" shrinkToFit="false"/>
      <protection locked="true" hidden="false"/>
    </xf>
    <xf numFmtId="164" fontId="11" fillId="6" borderId="9" xfId="0" applyFont="true" applyBorder="true" applyAlignment="true" applyProtection="true">
      <alignment horizontal="center" vertical="bottom" textRotation="0" wrapText="false" indent="0" shrinkToFit="false"/>
      <protection locked="true" hidden="false"/>
    </xf>
    <xf numFmtId="164" fontId="72" fillId="5" borderId="7" xfId="0" applyFont="true" applyBorder="true" applyAlignment="true" applyProtection="true">
      <alignment horizontal="center" vertical="bottom" textRotation="0" wrapText="false" indent="0" shrinkToFit="false"/>
      <protection locked="true" hidden="false"/>
    </xf>
    <xf numFmtId="167" fontId="72" fillId="5" borderId="7" xfId="0" applyFont="true" applyBorder="true" applyAlignment="true" applyProtection="true">
      <alignment horizontal="center" vertical="bottom" textRotation="0" wrapText="false" indent="0" shrinkToFit="false"/>
      <protection locked="true" hidden="false"/>
    </xf>
    <xf numFmtId="164" fontId="7" fillId="2" borderId="11" xfId="0" applyFont="true" applyBorder="true" applyAlignment="true" applyProtection="true">
      <alignment horizontal="center" vertical="bottom" textRotation="0" wrapText="false" indent="0" shrinkToFit="false"/>
      <protection locked="true" hidden="false"/>
    </xf>
    <xf numFmtId="188" fontId="13" fillId="12" borderId="2" xfId="0" applyFont="true" applyBorder="true" applyAlignment="true" applyProtection="true">
      <alignment horizontal="center" vertical="bottom" textRotation="0" wrapText="false" indent="0" shrinkToFit="false"/>
      <protection locked="true" hidden="false"/>
    </xf>
    <xf numFmtId="164" fontId="8" fillId="2" borderId="12" xfId="0" applyFont="true" applyBorder="true" applyAlignment="true" applyProtection="true">
      <alignment horizontal="center" vertical="bottom" textRotation="0" wrapText="false" indent="0" shrinkToFit="false"/>
      <protection locked="true" hidden="false"/>
    </xf>
    <xf numFmtId="164" fontId="10" fillId="2" borderId="1" xfId="0" applyFont="true" applyBorder="true" applyAlignment="true" applyProtection="true">
      <alignment horizontal="center" vertical="bottom" textRotation="0" wrapText="false" indent="0" shrinkToFit="false"/>
      <protection locked="true" hidden="false"/>
    </xf>
    <xf numFmtId="164" fontId="7" fillId="2" borderId="11" xfId="0" applyFont="true" applyBorder="true" applyAlignment="true" applyProtection="true">
      <alignment horizontal="left" vertical="bottom" textRotation="0" wrapText="false" indent="0" shrinkToFit="false"/>
      <protection locked="true" hidden="false"/>
    </xf>
    <xf numFmtId="171" fontId="59" fillId="5" borderId="7" xfId="0" applyFont="true" applyBorder="true" applyAlignment="true" applyProtection="true">
      <alignment horizontal="center" vertical="bottom" textRotation="0" wrapText="false" indent="0" shrinkToFit="false"/>
      <protection locked="true" hidden="false"/>
    </xf>
    <xf numFmtId="187" fontId="72" fillId="5" borderId="7" xfId="0" applyFont="true" applyBorder="true" applyAlignment="true" applyProtection="true">
      <alignment horizontal="center" vertical="bottom" textRotation="0" wrapText="false" indent="0" shrinkToFit="false"/>
      <protection locked="true" hidden="false"/>
    </xf>
    <xf numFmtId="164" fontId="74" fillId="3" borderId="0" xfId="0" applyFont="true" applyBorder="true" applyAlignment="true" applyProtection="true">
      <alignment horizontal="center" vertical="bottom" textRotation="0" wrapText="false" indent="0" shrinkToFit="false"/>
      <protection locked="true" hidden="false"/>
    </xf>
    <xf numFmtId="164" fontId="31" fillId="3" borderId="0" xfId="0" applyFont="true" applyBorder="true" applyAlignment="true" applyProtection="true">
      <alignment horizontal="general" vertical="bottom" textRotation="0" wrapText="false" indent="0" shrinkToFit="false"/>
      <protection locked="true" hidden="false"/>
    </xf>
    <xf numFmtId="164" fontId="10" fillId="3" borderId="0" xfId="0" applyFont="true" applyBorder="true" applyAlignment="true" applyProtection="true">
      <alignment horizontal="general" vertical="bottom" textRotation="0" wrapText="false" indent="0" shrinkToFit="false"/>
      <protection locked="true" hidden="false"/>
    </xf>
    <xf numFmtId="165" fontId="10" fillId="3" borderId="0" xfId="0" applyFont="true" applyBorder="true" applyAlignment="true" applyProtection="true">
      <alignment horizontal="general" vertical="bottom" textRotation="0" wrapText="false" indent="0" shrinkToFit="false"/>
      <protection locked="true" hidden="false"/>
    </xf>
    <xf numFmtId="164" fontId="21" fillId="2" borderId="0" xfId="0" applyFont="true" applyBorder="true" applyAlignment="true" applyProtection="true">
      <alignment horizontal="center" vertical="bottom" textRotation="0" wrapText="false" indent="0" shrinkToFit="false"/>
      <protection locked="true" hidden="false"/>
    </xf>
    <xf numFmtId="164" fontId="75" fillId="12" borderId="0" xfId="0" applyFont="true" applyBorder="true" applyAlignment="true" applyProtection="true">
      <alignment horizontal="center" vertical="bottom" textRotation="0" wrapText="false" indent="0" shrinkToFit="false"/>
      <protection locked="true" hidden="false"/>
    </xf>
    <xf numFmtId="164" fontId="8" fillId="2" borderId="11" xfId="0" applyFont="true" applyBorder="true" applyAlignment="true" applyProtection="true">
      <alignment horizontal="general" vertical="bottom" textRotation="0" wrapText="false" indent="0" shrinkToFit="false"/>
      <protection locked="true" hidden="false"/>
    </xf>
    <xf numFmtId="167" fontId="8" fillId="2" borderId="7" xfId="0" applyFont="true" applyBorder="true" applyAlignment="true" applyProtection="true">
      <alignment horizontal="general" vertical="bottom" textRotation="0" wrapText="false" indent="0" shrinkToFit="false"/>
      <protection locked="true" hidden="false"/>
    </xf>
    <xf numFmtId="167" fontId="15" fillId="20" borderId="0" xfId="0" applyFont="true" applyBorder="true" applyAlignment="true" applyProtection="true">
      <alignment horizontal="general" vertical="bottom" textRotation="0" wrapText="false" indent="0" shrinkToFit="false"/>
      <protection locked="true" hidden="false"/>
    </xf>
    <xf numFmtId="164" fontId="76" fillId="12" borderId="0" xfId="0" applyFont="true" applyBorder="true" applyAlignment="true" applyProtection="true">
      <alignment horizontal="general" vertical="bottom" textRotation="0" wrapText="false" indent="0" shrinkToFit="false"/>
      <protection locked="true" hidden="false"/>
    </xf>
    <xf numFmtId="164" fontId="11" fillId="12" borderId="0" xfId="0" applyFont="true" applyBorder="true" applyAlignment="true" applyProtection="true">
      <alignment horizontal="general" vertical="bottom" textRotation="0" wrapText="false" indent="0" shrinkToFit="false"/>
      <protection locked="true" hidden="false"/>
    </xf>
    <xf numFmtId="164" fontId="19" fillId="12" borderId="0" xfId="0" applyFont="true" applyBorder="true" applyAlignment="true" applyProtection="true">
      <alignment horizontal="general" vertical="bottom" textRotation="0" wrapText="false" indent="0" shrinkToFit="false"/>
      <protection locked="true" hidden="false"/>
    </xf>
    <xf numFmtId="166" fontId="8" fillId="20" borderId="0" xfId="0" applyFont="true" applyBorder="true" applyAlignment="true" applyProtection="true">
      <alignment horizontal="general" vertical="bottom" textRotation="0" wrapText="false" indent="0" shrinkToFit="false"/>
      <protection locked="true" hidden="false"/>
    </xf>
    <xf numFmtId="167" fontId="11" fillId="2" borderId="7" xfId="0" applyFont="true" applyBorder="true" applyAlignment="true" applyProtection="true">
      <alignment horizontal="center" vertical="bottom" textRotation="0" wrapText="false" indent="0" shrinkToFit="false"/>
      <protection locked="true" hidden="false"/>
    </xf>
    <xf numFmtId="164" fontId="8" fillId="8" borderId="11" xfId="0" applyFont="true" applyBorder="true" applyAlignment="true" applyProtection="true">
      <alignment horizontal="center" vertical="bottom" textRotation="0" wrapText="false" indent="0" shrinkToFit="false"/>
      <protection locked="true" hidden="false"/>
    </xf>
    <xf numFmtId="164" fontId="8" fillId="8" borderId="13" xfId="0" applyFont="true" applyBorder="true" applyAlignment="true" applyProtection="true">
      <alignment horizontal="center" vertical="bottom" textRotation="0" wrapText="false" indent="0" shrinkToFit="false"/>
      <protection locked="true" hidden="false"/>
    </xf>
    <xf numFmtId="164" fontId="8" fillId="8" borderId="12" xfId="0" applyFont="true" applyBorder="true" applyAlignment="true" applyProtection="true">
      <alignment horizontal="center" vertical="bottom" textRotation="0" wrapText="false" indent="0" shrinkToFit="false"/>
      <protection locked="true" hidden="false"/>
    </xf>
    <xf numFmtId="187" fontId="15" fillId="12" borderId="7" xfId="0" applyFont="true" applyBorder="true" applyAlignment="true" applyProtection="true">
      <alignment horizontal="center" vertical="bottom" textRotation="0" wrapText="false" indent="0" shrinkToFit="false"/>
      <protection locked="true" hidden="false"/>
    </xf>
    <xf numFmtId="179" fontId="15" fillId="20" borderId="0" xfId="0" applyFont="true" applyBorder="true" applyAlignment="true" applyProtection="true">
      <alignment horizontal="general" vertical="bottom" textRotation="0" wrapText="false" indent="0" shrinkToFit="false"/>
      <protection locked="true" hidden="false"/>
    </xf>
    <xf numFmtId="167" fontId="8" fillId="20" borderId="0" xfId="0" applyFont="true" applyBorder="true" applyAlignment="true" applyProtection="true">
      <alignment horizontal="center" vertical="bottom" textRotation="0" wrapText="false" indent="0" shrinkToFit="false"/>
      <protection locked="true" hidden="false"/>
    </xf>
    <xf numFmtId="167" fontId="11" fillId="20" borderId="0" xfId="0" applyFont="true" applyBorder="true" applyAlignment="true" applyProtection="true">
      <alignment horizontal="center" vertical="bottom" textRotation="0" wrapText="false" indent="0" shrinkToFit="false"/>
      <protection locked="true" hidden="false"/>
    </xf>
    <xf numFmtId="167" fontId="24" fillId="16" borderId="24" xfId="0" applyFont="true" applyBorder="true" applyAlignment="true" applyProtection="true">
      <alignment horizontal="center" vertical="bottom" textRotation="0" wrapText="false" indent="0" shrinkToFit="false"/>
      <protection locked="true" hidden="false"/>
    </xf>
    <xf numFmtId="164" fontId="24" fillId="16" borderId="11" xfId="0" applyFont="true" applyBorder="true" applyAlignment="true" applyProtection="true">
      <alignment horizontal="left" vertical="bottom" textRotation="0" wrapText="false" indent="0" shrinkToFit="false"/>
      <protection locked="true" hidden="false"/>
    </xf>
    <xf numFmtId="164" fontId="8" fillId="16" borderId="12" xfId="0" applyFont="true" applyBorder="true" applyAlignment="true" applyProtection="true">
      <alignment horizontal="center" vertical="bottom" textRotation="0" wrapText="false" indent="0" shrinkToFit="false"/>
      <protection locked="true" hidden="false"/>
    </xf>
    <xf numFmtId="189" fontId="8" fillId="16" borderId="7" xfId="0" applyFont="true" applyBorder="true" applyAlignment="true" applyProtection="true">
      <alignment horizontal="center" vertical="bottom" textRotation="0" wrapText="false" indent="0" shrinkToFit="false"/>
      <protection locked="true" hidden="false"/>
    </xf>
    <xf numFmtId="189" fontId="8" fillId="20" borderId="0" xfId="0" applyFont="true" applyBorder="true" applyAlignment="true" applyProtection="true">
      <alignment horizontal="center" vertical="bottom" textRotation="0" wrapText="false" indent="0" shrinkToFit="false"/>
      <protection locked="true" hidden="false"/>
    </xf>
    <xf numFmtId="164" fontId="10" fillId="20" borderId="0" xfId="0" applyFont="true" applyBorder="true" applyAlignment="true" applyProtection="true">
      <alignment horizontal="general" vertical="bottom" textRotation="0" wrapText="false" indent="0" shrinkToFit="false"/>
      <protection locked="true" hidden="false"/>
    </xf>
    <xf numFmtId="167" fontId="19" fillId="20" borderId="0" xfId="0" applyFont="true" applyBorder="true" applyAlignment="true" applyProtection="true">
      <alignment horizontal="center" vertical="bottom" textRotation="0" wrapText="false" indent="0" shrinkToFit="false"/>
      <protection locked="true" hidden="false"/>
    </xf>
    <xf numFmtId="164" fontId="75" fillId="12" borderId="0" xfId="0" applyFont="true" applyBorder="true" applyAlignment="true" applyProtection="true">
      <alignment horizontal="general" vertical="bottom" textRotation="0" wrapText="false" indent="0" shrinkToFit="false"/>
      <protection locked="true" hidden="false"/>
    </xf>
    <xf numFmtId="164" fontId="19" fillId="6" borderId="7" xfId="0" applyFont="true" applyBorder="true" applyAlignment="true" applyProtection="true">
      <alignment horizontal="center" vertical="bottom" textRotation="0" wrapText="false" indent="0" shrinkToFit="false"/>
      <protection locked="true" hidden="false"/>
    </xf>
    <xf numFmtId="179" fontId="15" fillId="12" borderId="7" xfId="0" applyFont="true" applyBorder="true" applyAlignment="true" applyProtection="true">
      <alignment horizontal="center" vertical="bottom" textRotation="0" wrapText="false" indent="0" shrinkToFit="false"/>
      <protection locked="true" hidden="false"/>
    </xf>
    <xf numFmtId="179" fontId="15" fillId="20" borderId="0" xfId="0" applyFont="true" applyBorder="true" applyAlignment="true" applyProtection="true">
      <alignment horizontal="center" vertical="bottom" textRotation="0" wrapText="false" indent="0" shrinkToFit="false"/>
      <protection locked="true" hidden="false"/>
    </xf>
    <xf numFmtId="167" fontId="8" fillId="0" borderId="0" xfId="0" applyFont="true" applyBorder="false" applyAlignment="true" applyProtection="true">
      <alignment horizontal="general" vertical="bottom" textRotation="0" wrapText="false" indent="0" shrinkToFit="false"/>
      <protection locked="true" hidden="false"/>
    </xf>
    <xf numFmtId="165" fontId="10" fillId="3" borderId="0" xfId="0" applyFont="true" applyBorder="true" applyAlignment="true" applyProtection="true">
      <alignment horizontal="left" vertical="bottom" textRotation="0" wrapText="false" indent="0" shrinkToFit="false"/>
      <protection locked="true" hidden="false"/>
    </xf>
    <xf numFmtId="167" fontId="11" fillId="20" borderId="0" xfId="0" applyFont="true" applyBorder="true" applyAlignment="true" applyProtection="true">
      <alignment horizontal="general" vertical="bottom" textRotation="0" wrapText="false" indent="0" shrinkToFit="false"/>
      <protection locked="true" hidden="false"/>
    </xf>
    <xf numFmtId="164" fontId="35" fillId="11" borderId="0" xfId="0" applyFont="true" applyBorder="true" applyAlignment="true" applyProtection="true">
      <alignment horizontal="general" vertical="bottom" textRotation="0" wrapText="false" indent="0" shrinkToFit="false"/>
      <protection locked="true" hidden="false"/>
    </xf>
    <xf numFmtId="167" fontId="24" fillId="20" borderId="0" xfId="0" applyFont="true" applyBorder="true" applyAlignment="true" applyProtection="true">
      <alignment horizontal="center" vertical="bottom" textRotation="0" wrapText="false" indent="0" shrinkToFit="false"/>
      <protection locked="true" hidden="false"/>
    </xf>
    <xf numFmtId="164" fontId="24" fillId="11" borderId="0" xfId="0" applyFont="true" applyBorder="true" applyAlignment="true" applyProtection="true">
      <alignment horizontal="center" vertical="bottom" textRotation="0" wrapText="false" indent="0" shrinkToFit="false"/>
      <protection locked="true" hidden="false"/>
    </xf>
    <xf numFmtId="188" fontId="8" fillId="20" borderId="0" xfId="0" applyFont="true" applyBorder="true" applyAlignment="true" applyProtection="true">
      <alignment horizontal="center" vertical="bottom" textRotation="0" wrapText="false" indent="0" shrinkToFit="false"/>
      <protection locked="true" hidden="false"/>
    </xf>
    <xf numFmtId="165" fontId="10" fillId="2" borderId="0" xfId="0" applyFont="true" applyBorder="true" applyAlignment="true" applyProtection="true">
      <alignment horizontal="general" vertical="bottom" textRotation="0" wrapText="false" indent="0" shrinkToFit="false"/>
      <protection locked="true" hidden="false"/>
    </xf>
    <xf numFmtId="164" fontId="10" fillId="5" borderId="19" xfId="0" applyFont="true" applyBorder="true" applyAlignment="true" applyProtection="true">
      <alignment horizontal="general" vertical="bottom" textRotation="0" wrapText="false" indent="0" shrinkToFit="false"/>
      <protection locked="true" hidden="false"/>
    </xf>
    <xf numFmtId="164" fontId="19" fillId="5" borderId="20" xfId="0" applyFont="true" applyBorder="true" applyAlignment="true" applyProtection="true">
      <alignment horizontal="general" vertical="bottom" textRotation="0" wrapText="false" indent="0" shrinkToFit="false"/>
      <protection locked="true" hidden="false"/>
    </xf>
    <xf numFmtId="164" fontId="8" fillId="5" borderId="20" xfId="0" applyFont="true" applyBorder="true" applyAlignment="true" applyProtection="true">
      <alignment horizontal="general" vertical="bottom" textRotation="0" wrapText="false" indent="0" shrinkToFit="false"/>
      <protection locked="true" hidden="false"/>
    </xf>
    <xf numFmtId="164" fontId="8" fillId="5" borderId="21" xfId="0" applyFont="true" applyBorder="true" applyAlignment="true" applyProtection="true">
      <alignment horizontal="general" vertical="bottom" textRotation="0" wrapText="false" indent="0" shrinkToFit="false"/>
      <protection locked="true" hidden="false"/>
    </xf>
    <xf numFmtId="164" fontId="8" fillId="5" borderId="19" xfId="0" applyFont="true" applyBorder="true" applyAlignment="true" applyProtection="true">
      <alignment horizontal="general" vertical="bottom" textRotation="0" wrapText="false" indent="0" shrinkToFit="false"/>
      <protection locked="true" hidden="false"/>
    </xf>
    <xf numFmtId="164" fontId="59" fillId="8" borderId="12" xfId="0" applyFont="true" applyBorder="true" applyAlignment="true" applyProtection="true">
      <alignment horizontal="general" vertical="bottom" textRotation="0" wrapText="false" indent="0" shrinkToFit="false"/>
      <protection locked="true" hidden="false"/>
    </xf>
    <xf numFmtId="164" fontId="8" fillId="15" borderId="11" xfId="0" applyFont="true" applyBorder="true" applyAlignment="true" applyProtection="true">
      <alignment horizontal="general" vertical="bottom" textRotation="0" wrapText="false" indent="0" shrinkToFit="false"/>
      <protection locked="true" hidden="false"/>
    </xf>
    <xf numFmtId="190" fontId="8" fillId="15" borderId="12" xfId="0" applyFont="true" applyBorder="true" applyAlignment="true" applyProtection="true">
      <alignment horizontal="center" vertical="bottom" textRotation="0" wrapText="false" indent="0" shrinkToFit="false"/>
      <protection locked="true" hidden="false"/>
    </xf>
    <xf numFmtId="190" fontId="8" fillId="15" borderId="12" xfId="0" applyFont="true" applyBorder="true" applyAlignment="true" applyProtection="true">
      <alignment horizontal="general" vertical="bottom" textRotation="0" wrapText="false" indent="0" shrinkToFit="false"/>
      <protection locked="true" hidden="false"/>
    </xf>
    <xf numFmtId="183" fontId="8" fillId="2" borderId="12" xfId="0" applyFont="true" applyBorder="true" applyAlignment="true" applyProtection="true">
      <alignment horizontal="center" vertical="bottom" textRotation="0" wrapText="false" indent="0" shrinkToFit="false"/>
      <protection locked="true" hidden="false"/>
    </xf>
    <xf numFmtId="164" fontId="35" fillId="6" borderId="3" xfId="0" applyFont="true" applyBorder="true" applyAlignment="true" applyProtection="true">
      <alignment horizontal="general" vertical="bottom" textRotation="0" wrapText="false" indent="0" shrinkToFit="false"/>
      <protection locked="true" hidden="false"/>
    </xf>
    <xf numFmtId="183" fontId="10" fillId="6" borderId="4" xfId="0" applyFont="true" applyBorder="true" applyAlignment="true" applyProtection="true">
      <alignment horizontal="center" vertical="bottom" textRotation="0" wrapText="false" indent="0" shrinkToFit="false"/>
      <protection locked="true" hidden="false"/>
    </xf>
    <xf numFmtId="164" fontId="77" fillId="5" borderId="0" xfId="0" applyFont="true" applyBorder="true" applyAlignment="true" applyProtection="true">
      <alignment horizontal="left" vertical="bottom" textRotation="0" wrapText="false" indent="0" shrinkToFit="false"/>
      <protection locked="true" hidden="false"/>
    </xf>
    <xf numFmtId="191" fontId="8" fillId="2" borderId="12" xfId="0" applyFont="true" applyBorder="true" applyAlignment="true" applyProtection="true">
      <alignment horizontal="center" vertical="bottom" textRotation="0" wrapText="false" indent="0" shrinkToFit="false"/>
      <protection locked="true" hidden="false"/>
    </xf>
    <xf numFmtId="164" fontId="8" fillId="2" borderId="28" xfId="0" applyFont="true" applyBorder="true" applyAlignment="true" applyProtection="true">
      <alignment horizontal="left" vertical="bottom" textRotation="0" wrapText="false" indent="0" shrinkToFit="false"/>
      <protection locked="true" hidden="false"/>
    </xf>
    <xf numFmtId="164" fontId="8" fillId="2" borderId="30" xfId="0" applyFont="true" applyBorder="true" applyAlignment="true" applyProtection="true">
      <alignment horizontal="general" vertical="bottom" textRotation="0" wrapText="false" indent="0" shrinkToFit="false"/>
      <protection locked="true" hidden="false"/>
    </xf>
    <xf numFmtId="167" fontId="8" fillId="2" borderId="34" xfId="0" applyFont="true" applyBorder="true" applyAlignment="true" applyProtection="true">
      <alignment horizontal="general" vertical="bottom" textRotation="0" wrapText="false" indent="0" shrinkToFit="false"/>
      <protection locked="true" hidden="false"/>
    </xf>
    <xf numFmtId="164" fontId="8" fillId="2" borderId="35" xfId="0" applyFont="true" applyBorder="true" applyAlignment="true" applyProtection="true">
      <alignment horizontal="general" vertical="bottom" textRotation="0" wrapText="false" indent="0" shrinkToFit="false"/>
      <protection locked="true" hidden="false"/>
    </xf>
    <xf numFmtId="183" fontId="8" fillId="5" borderId="0" xfId="0" applyFont="true" applyBorder="true" applyAlignment="true" applyProtection="true">
      <alignment horizontal="center" vertical="bottom" textRotation="0" wrapText="false" indent="0" shrinkToFit="false"/>
      <protection locked="true" hidden="false"/>
    </xf>
    <xf numFmtId="183" fontId="19" fillId="5" borderId="0" xfId="0" applyFont="true" applyBorder="true" applyAlignment="true" applyProtection="true">
      <alignment horizontal="center" vertical="bottom" textRotation="0" wrapText="false" indent="0" shrinkToFit="false"/>
      <protection locked="true" hidden="false"/>
    </xf>
    <xf numFmtId="164" fontId="8" fillId="2" borderId="28" xfId="0" applyFont="true" applyBorder="true" applyAlignment="true" applyProtection="true">
      <alignment horizontal="general" vertical="bottom" textRotation="0" wrapText="false" indent="0" shrinkToFit="false"/>
      <protection locked="true" hidden="false"/>
    </xf>
    <xf numFmtId="164" fontId="8" fillId="2" borderId="34" xfId="0" applyFont="true" applyBorder="true" applyAlignment="true" applyProtection="true">
      <alignment horizontal="general" vertical="bottom" textRotation="0" wrapText="false" indent="0" shrinkToFit="false"/>
      <protection locked="true" hidden="false"/>
    </xf>
    <xf numFmtId="164" fontId="78" fillId="12" borderId="11" xfId="0" applyFont="true" applyBorder="true" applyAlignment="true" applyProtection="true">
      <alignment horizontal="general" vertical="bottom" textRotation="0" wrapText="false" indent="0" shrinkToFit="false"/>
      <protection locked="true" hidden="false"/>
    </xf>
    <xf numFmtId="192" fontId="15" fillId="12" borderId="12" xfId="0" applyFont="true" applyBorder="true" applyAlignment="true" applyProtection="true">
      <alignment horizontal="center" vertical="bottom" textRotation="0" wrapText="false" indent="0" shrinkToFit="false"/>
      <protection locked="true" hidden="false"/>
    </xf>
    <xf numFmtId="164" fontId="8" fillId="6" borderId="11" xfId="0" applyFont="true" applyBorder="true" applyAlignment="true" applyProtection="true">
      <alignment horizontal="general" vertical="bottom" textRotation="0" wrapText="false" indent="0" shrinkToFit="false"/>
      <protection locked="true" hidden="false"/>
    </xf>
    <xf numFmtId="193" fontId="19" fillId="6" borderId="12" xfId="0" applyFont="true" applyBorder="true" applyAlignment="true" applyProtection="true">
      <alignment horizontal="general" vertical="bottom" textRotation="0" wrapText="false" indent="0" shrinkToFit="false"/>
      <protection locked="true" hidden="false"/>
    </xf>
    <xf numFmtId="164" fontId="14" fillId="6" borderId="11" xfId="0" applyFont="true" applyBorder="true" applyAlignment="true" applyProtection="true">
      <alignment horizontal="general" vertical="bottom" textRotation="0" wrapText="false" indent="0" shrinkToFit="false"/>
      <protection locked="true" hidden="false"/>
    </xf>
    <xf numFmtId="164" fontId="8" fillId="17" borderId="11" xfId="0" applyFont="true" applyBorder="true" applyAlignment="true" applyProtection="true">
      <alignment horizontal="general" vertical="bottom" textRotation="0" wrapText="false" indent="0" shrinkToFit="false"/>
      <protection locked="true" hidden="false"/>
    </xf>
    <xf numFmtId="187" fontId="8" fillId="17" borderId="12" xfId="0" applyFont="true" applyBorder="true" applyAlignment="true" applyProtection="true">
      <alignment horizontal="center" vertical="bottom" textRotation="0" wrapText="false" indent="0" shrinkToFit="false"/>
      <protection locked="true" hidden="false"/>
    </xf>
    <xf numFmtId="193" fontId="8" fillId="2" borderId="12" xfId="0" applyFont="true" applyBorder="true" applyAlignment="true" applyProtection="true">
      <alignment horizontal="center" vertical="bottom" textRotation="0" wrapText="false" indent="0" shrinkToFit="false"/>
      <protection locked="true" hidden="false"/>
    </xf>
    <xf numFmtId="164" fontId="14" fillId="17" borderId="11" xfId="0" applyFont="true" applyBorder="true" applyAlignment="true" applyProtection="true">
      <alignment horizontal="general" vertical="bottom" textRotation="0" wrapText="false" indent="0" shrinkToFit="false"/>
      <protection locked="true" hidden="false"/>
    </xf>
    <xf numFmtId="183" fontId="8" fillId="17" borderId="12" xfId="0" applyFont="true" applyBorder="true" applyAlignment="true" applyProtection="true">
      <alignment horizontal="center" vertical="bottom" textRotation="0" wrapText="false" indent="0" shrinkToFit="false"/>
      <protection locked="true" hidden="false"/>
    </xf>
    <xf numFmtId="194" fontId="8" fillId="2" borderId="12" xfId="0" applyFont="true" applyBorder="true" applyAlignment="true" applyProtection="true">
      <alignment horizontal="center" vertical="bottom" textRotation="0" wrapText="false" indent="0" shrinkToFit="false"/>
      <protection locked="true" hidden="false"/>
    </xf>
    <xf numFmtId="164" fontId="8" fillId="16" borderId="11" xfId="0" applyFont="true" applyBorder="true" applyAlignment="true" applyProtection="true">
      <alignment horizontal="right" vertical="bottom" textRotation="0" wrapText="false" indent="0" shrinkToFit="false"/>
      <protection locked="true" hidden="false"/>
    </xf>
    <xf numFmtId="195" fontId="8" fillId="2" borderId="12" xfId="0" applyFont="true" applyBorder="true" applyAlignment="true" applyProtection="true">
      <alignment horizontal="center" vertical="bottom" textRotation="0" wrapText="false" indent="0" shrinkToFit="false"/>
      <protection locked="true" hidden="false"/>
    </xf>
    <xf numFmtId="196" fontId="8" fillId="2" borderId="30" xfId="0" applyFont="true" applyBorder="true" applyAlignment="true" applyProtection="true">
      <alignment horizontal="center" vertical="bottom" textRotation="0" wrapText="false" indent="0" shrinkToFit="false"/>
      <protection locked="true" hidden="false"/>
    </xf>
    <xf numFmtId="197" fontId="8" fillId="2" borderId="12" xfId="0" applyFont="true" applyBorder="true" applyAlignment="true" applyProtection="true">
      <alignment horizontal="center" vertical="bottom" textRotation="0" wrapText="false" indent="0" shrinkToFit="false"/>
      <protection locked="true" hidden="false"/>
    </xf>
    <xf numFmtId="198" fontId="11" fillId="6" borderId="12" xfId="0" applyFont="true" applyBorder="true" applyAlignment="true" applyProtection="true">
      <alignment horizontal="center" vertical="bottom" textRotation="0" wrapText="false" indent="0" shrinkToFit="false"/>
      <protection locked="true" hidden="false"/>
    </xf>
    <xf numFmtId="167" fontId="11" fillId="2" borderId="34" xfId="0" applyFont="true" applyBorder="true" applyAlignment="true" applyProtection="true">
      <alignment horizontal="general" vertical="bottom" textRotation="0" wrapText="false" indent="0" shrinkToFit="false"/>
      <protection locked="true" hidden="false"/>
    </xf>
    <xf numFmtId="164" fontId="11" fillId="2" borderId="35" xfId="0" applyFont="true" applyBorder="true" applyAlignment="true" applyProtection="true">
      <alignment horizontal="general" vertical="bottom" textRotation="0" wrapText="false" indent="0" shrinkToFit="false"/>
      <protection locked="true" hidden="false"/>
    </xf>
    <xf numFmtId="196" fontId="8" fillId="2" borderId="12" xfId="0" applyFont="true" applyBorder="true" applyAlignment="true" applyProtection="true">
      <alignment horizontal="center" vertical="bottom" textRotation="0" wrapText="false" indent="0" shrinkToFit="false"/>
      <protection locked="true" hidden="false"/>
    </xf>
    <xf numFmtId="182" fontId="11" fillId="2" borderId="12" xfId="0" applyFont="true" applyBorder="true" applyAlignment="true" applyProtection="true">
      <alignment horizontal="center" vertical="bottom" textRotation="0" wrapText="false" indent="0" shrinkToFit="false"/>
      <protection locked="true" hidden="false"/>
    </xf>
    <xf numFmtId="182" fontId="8" fillId="2" borderId="12" xfId="0" applyFont="true" applyBorder="true" applyAlignment="true" applyProtection="true">
      <alignment horizontal="general" vertical="bottom" textRotation="0" wrapText="false" indent="0" shrinkToFit="false"/>
      <protection locked="true" hidden="false"/>
    </xf>
    <xf numFmtId="183" fontId="8" fillId="2" borderId="12" xfId="0" applyFont="true" applyBorder="true" applyAlignment="true" applyProtection="true">
      <alignment horizontal="general" vertical="bottom" textRotation="0" wrapText="false" indent="0" shrinkToFit="false"/>
      <protection locked="true" hidden="false"/>
    </xf>
    <xf numFmtId="182" fontId="8" fillId="2" borderId="12" xfId="0" applyFont="true" applyBorder="true" applyAlignment="true" applyProtection="true">
      <alignment horizontal="center" vertical="bottom" textRotation="0" wrapText="false" indent="0" shrinkToFit="false"/>
      <protection locked="true" hidden="false"/>
    </xf>
    <xf numFmtId="164" fontId="8" fillId="16" borderId="11" xfId="0" applyFont="true" applyBorder="true" applyAlignment="true" applyProtection="true">
      <alignment horizontal="general" vertical="bottom" textRotation="0" wrapText="false" indent="0" shrinkToFit="false"/>
      <protection locked="true" hidden="false"/>
    </xf>
    <xf numFmtId="196" fontId="8" fillId="17" borderId="12" xfId="0" applyFont="true" applyBorder="true" applyAlignment="true" applyProtection="true">
      <alignment horizontal="center" vertical="bottom" textRotation="0" wrapText="false" indent="0" shrinkToFit="false"/>
      <protection locked="true" hidden="false"/>
    </xf>
    <xf numFmtId="164" fontId="8" fillId="2" borderId="30" xfId="0" applyFont="true" applyBorder="true" applyAlignment="true" applyProtection="true">
      <alignment horizontal="left" vertical="bottom" textRotation="0" wrapText="false" indent="0" shrinkToFit="false"/>
      <protection locked="true" hidden="false"/>
    </xf>
    <xf numFmtId="167" fontId="11" fillId="2" borderId="34" xfId="0" applyFont="true" applyBorder="true" applyAlignment="true" applyProtection="true">
      <alignment horizontal="right" vertical="bottom" textRotation="0" wrapText="false" indent="0" shrinkToFit="false"/>
      <protection locked="true" hidden="false"/>
    </xf>
    <xf numFmtId="164" fontId="11" fillId="2" borderId="35" xfId="0" applyFont="true" applyBorder="true" applyAlignment="true" applyProtection="true">
      <alignment horizontal="left" vertical="bottom" textRotation="0" wrapText="false" indent="0" shrinkToFit="false"/>
      <protection locked="true" hidden="false"/>
    </xf>
    <xf numFmtId="198" fontId="11" fillId="6" borderId="12" xfId="0" applyFont="true" applyBorder="true" applyAlignment="true" applyProtection="true">
      <alignment horizontal="general" vertical="bottom" textRotation="0" wrapText="false" indent="0" shrinkToFit="false"/>
      <protection locked="true" hidden="false"/>
    </xf>
    <xf numFmtId="199" fontId="8" fillId="2" borderId="12" xfId="0" applyFont="true" applyBorder="true" applyAlignment="true" applyProtection="true">
      <alignment horizontal="general" vertical="bottom" textRotation="0" wrapText="false" indent="0" shrinkToFit="false"/>
      <protection locked="true" hidden="false"/>
    </xf>
    <xf numFmtId="164" fontId="8" fillId="16" borderId="11" xfId="0" applyFont="true" applyBorder="true" applyAlignment="true" applyProtection="true">
      <alignment horizontal="left" vertical="bottom" textRotation="0" wrapText="false" indent="0" shrinkToFit="false"/>
      <protection locked="true" hidden="false"/>
    </xf>
    <xf numFmtId="187" fontId="8" fillId="17" borderId="12" xfId="0" applyFont="true" applyBorder="true" applyAlignment="true" applyProtection="true">
      <alignment horizontal="general" vertical="bottom" textRotation="0" wrapText="false" indent="0" shrinkToFit="false"/>
      <protection locked="true" hidden="false"/>
    </xf>
    <xf numFmtId="164" fontId="8" fillId="2" borderId="31" xfId="0" applyFont="true" applyBorder="true" applyAlignment="true" applyProtection="true">
      <alignment horizontal="general" vertical="bottom" textRotation="0" wrapText="false" indent="0" shrinkToFit="false"/>
      <protection locked="true" hidden="false"/>
    </xf>
    <xf numFmtId="164" fontId="8" fillId="2" borderId="32" xfId="0" applyFont="true" applyBorder="true" applyAlignment="true" applyProtection="true">
      <alignment horizontal="general" vertical="bottom" textRotation="0" wrapText="false" indent="0" shrinkToFit="false"/>
      <protection locked="true" hidden="false"/>
    </xf>
    <xf numFmtId="167" fontId="8" fillId="2" borderId="31" xfId="0" applyFont="true" applyBorder="true" applyAlignment="true" applyProtection="true">
      <alignment horizontal="general" vertical="bottom" textRotation="0" wrapText="false" indent="0" shrinkToFit="false"/>
      <protection locked="true" hidden="false"/>
    </xf>
    <xf numFmtId="193" fontId="8" fillId="2" borderId="12" xfId="0" applyFont="true" applyBorder="true" applyAlignment="true" applyProtection="true">
      <alignment horizontal="general" vertical="bottom" textRotation="0" wrapText="false" indent="0" shrinkToFit="false"/>
      <protection locked="true" hidden="false"/>
    </xf>
    <xf numFmtId="164" fontId="8" fillId="2" borderId="34" xfId="0" applyFont="true" applyBorder="true" applyAlignment="true" applyProtection="true">
      <alignment horizontal="left" vertical="bottom" textRotation="0" wrapText="false" indent="0" shrinkToFit="false"/>
      <protection locked="true" hidden="false"/>
    </xf>
    <xf numFmtId="164" fontId="8" fillId="6" borderId="3" xfId="0" applyFont="true" applyBorder="true" applyAlignment="true" applyProtection="true">
      <alignment horizontal="general" vertical="bottom" textRotation="0" wrapText="false" indent="0" shrinkToFit="false"/>
      <protection locked="true" hidden="false"/>
    </xf>
    <xf numFmtId="191" fontId="8" fillId="2" borderId="12" xfId="0" applyFont="true" applyBorder="true" applyAlignment="true" applyProtection="true">
      <alignment horizontal="general" vertical="bottom" textRotation="0" wrapText="false" indent="0" shrinkToFit="false"/>
      <protection locked="true" hidden="false"/>
    </xf>
    <xf numFmtId="164" fontId="10" fillId="8" borderId="7" xfId="0" applyFont="true" applyBorder="true" applyAlignment="true" applyProtection="true">
      <alignment horizontal="general" vertical="bottom" textRotation="0" wrapText="false" indent="0" shrinkToFit="false"/>
      <protection locked="true" hidden="false"/>
    </xf>
    <xf numFmtId="164" fontId="8" fillId="2" borderId="7" xfId="0" applyFont="true" applyBorder="true" applyAlignment="true" applyProtection="true">
      <alignment horizontal="center" vertical="bottom" textRotation="0" wrapText="false" indent="0" shrinkToFit="false"/>
      <protection locked="true" hidden="false"/>
    </xf>
    <xf numFmtId="164" fontId="8" fillId="12" borderId="7" xfId="0" applyFont="true" applyBorder="true" applyAlignment="true" applyProtection="true">
      <alignment horizontal="general" vertical="bottom" textRotation="0" wrapText="false" indent="0" shrinkToFit="false"/>
      <protection locked="true" hidden="false"/>
    </xf>
    <xf numFmtId="164" fontId="8" fillId="12" borderId="13" xfId="0" applyFont="true" applyBorder="true" applyAlignment="true" applyProtection="true">
      <alignment horizontal="center" vertical="bottom" textRotation="0" wrapText="false" indent="0" shrinkToFit="false"/>
      <protection locked="true" hidden="false"/>
    </xf>
    <xf numFmtId="167" fontId="8" fillId="5" borderId="0" xfId="0" applyFont="true" applyBorder="true" applyAlignment="true" applyProtection="true">
      <alignment horizontal="general" vertical="bottom" textRotation="0" wrapText="false" indent="0" shrinkToFit="false"/>
      <protection locked="true" hidden="false"/>
    </xf>
    <xf numFmtId="164" fontId="8" fillId="12" borderId="28" xfId="0" applyFont="true" applyBorder="true" applyAlignment="true" applyProtection="true">
      <alignment horizontal="center" vertical="bottom" textRotation="0" wrapText="false" indent="0" shrinkToFit="false"/>
      <protection locked="true" hidden="false"/>
    </xf>
    <xf numFmtId="164" fontId="8" fillId="12" borderId="30" xfId="0" applyFont="true" applyBorder="true" applyAlignment="true" applyProtection="true">
      <alignment horizontal="center" vertical="bottom" textRotation="0" wrapText="false" indent="0" shrinkToFit="false"/>
      <protection locked="true" hidden="false"/>
    </xf>
    <xf numFmtId="164" fontId="8" fillId="12" borderId="33" xfId="0" applyFont="true" applyBorder="true" applyAlignment="true" applyProtection="true">
      <alignment horizontal="general" vertical="bottom" textRotation="0" wrapText="false" indent="0" shrinkToFit="false"/>
      <protection locked="true" hidden="false"/>
    </xf>
    <xf numFmtId="164" fontId="8" fillId="12" borderId="35"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true" indent="0" shrinkToFit="false"/>
      <protection locked="true" hidden="false"/>
    </xf>
    <xf numFmtId="164" fontId="8" fillId="12" borderId="11" xfId="0" applyFont="true" applyBorder="true" applyAlignment="true" applyProtection="true">
      <alignment horizontal="general" vertical="bottom" textRotation="0" wrapText="false" indent="0" shrinkToFit="false"/>
      <protection locked="true" hidden="false"/>
    </xf>
    <xf numFmtId="164" fontId="8" fillId="19" borderId="0" xfId="0" applyFont="true" applyBorder="true" applyAlignment="true" applyProtection="true">
      <alignment horizontal="general" vertical="bottom" textRotation="0" wrapText="false" indent="0" shrinkToFit="false"/>
      <protection locked="true" hidden="false"/>
    </xf>
    <xf numFmtId="164" fontId="35" fillId="12" borderId="11" xfId="0" applyFont="true" applyBorder="true" applyAlignment="true" applyProtection="true">
      <alignment horizontal="general" vertical="bottom" textRotation="0" wrapText="false" indent="0" shrinkToFit="false"/>
      <protection locked="true" hidden="false"/>
    </xf>
    <xf numFmtId="164" fontId="8" fillId="0" borderId="21" xfId="0" applyFont="true" applyBorder="true" applyAlignment="true" applyProtection="true">
      <alignment horizontal="general" vertical="bottom" textRotation="0" wrapText="false" indent="0" shrinkToFit="false"/>
      <protection locked="true" hidden="false"/>
    </xf>
    <xf numFmtId="166" fontId="8" fillId="5" borderId="0" xfId="0" applyFont="true" applyBorder="true" applyAlignment="true" applyProtection="true">
      <alignment horizontal="center" vertical="bottom" textRotation="0" wrapText="false" indent="0" shrinkToFit="false"/>
      <protection locked="true" hidden="false"/>
    </xf>
    <xf numFmtId="164" fontId="8" fillId="0" borderId="23"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right" vertical="bottom" textRotation="0" wrapText="false" indent="0" shrinkToFit="false"/>
      <protection locked="true" hidden="false"/>
    </xf>
    <xf numFmtId="164" fontId="8" fillId="0" borderId="26" xfId="0" applyFont="true" applyBorder="true" applyAlignment="true" applyProtection="true">
      <alignment horizontal="general" vertical="bottom" textRotation="0" wrapText="false" indent="0" shrinkToFit="false"/>
      <protection locked="true" hidden="false"/>
    </xf>
    <xf numFmtId="164" fontId="82" fillId="2" borderId="19" xfId="0" applyFont="true" applyBorder="true" applyAlignment="true" applyProtection="true">
      <alignment horizontal="general" vertical="bottom" textRotation="0" wrapText="false" indent="0" shrinkToFit="false"/>
      <protection locked="true" hidden="false"/>
    </xf>
    <xf numFmtId="164" fontId="82" fillId="2" borderId="20" xfId="0" applyFont="true" applyBorder="true" applyAlignment="true" applyProtection="true">
      <alignment horizontal="general" vertical="bottom" textRotation="0" wrapText="false" indent="0" shrinkToFit="false"/>
      <protection locked="true" hidden="false"/>
    </xf>
    <xf numFmtId="164" fontId="83" fillId="2" borderId="20" xfId="0" applyFont="true" applyBorder="true" applyAlignment="true" applyProtection="true">
      <alignment horizontal="general" vertical="bottom" textRotation="0" wrapText="false" indent="0" shrinkToFit="false"/>
      <protection locked="true" hidden="false"/>
    </xf>
    <xf numFmtId="164" fontId="82" fillId="2" borderId="21" xfId="0" applyFont="true" applyBorder="true" applyAlignment="true" applyProtection="true">
      <alignment horizontal="general" vertical="bottom" textRotation="0" wrapText="false" indent="0" shrinkToFit="false"/>
      <protection locked="true" hidden="false"/>
    </xf>
    <xf numFmtId="164" fontId="18" fillId="2" borderId="22" xfId="0" applyFont="true" applyBorder="true" applyAlignment="true" applyProtection="true">
      <alignment horizontal="general" vertical="bottom" textRotation="0" wrapText="false" indent="0" shrinkToFit="false"/>
      <protection locked="true" hidden="false"/>
    </xf>
    <xf numFmtId="164" fontId="11" fillId="2" borderId="0" xfId="0" applyFont="true" applyBorder="true" applyAlignment="true" applyProtection="true">
      <alignment horizontal="general" vertical="bottom" textRotation="0" wrapText="false" indent="0" shrinkToFit="false"/>
      <protection locked="true" hidden="false"/>
    </xf>
    <xf numFmtId="164" fontId="8" fillId="2" borderId="23" xfId="0" applyFont="true" applyBorder="true" applyAlignment="true" applyProtection="true">
      <alignment horizontal="general" vertical="bottom" textRotation="0" wrapText="false" indent="0" shrinkToFit="false"/>
      <protection locked="true" hidden="false"/>
    </xf>
    <xf numFmtId="164" fontId="7" fillId="2" borderId="5" xfId="0" applyFont="true" applyBorder="true" applyAlignment="true" applyProtection="true">
      <alignment horizontal="general" vertical="bottom" textRotation="0" wrapText="false" indent="0" shrinkToFit="false"/>
      <protection locked="true" hidden="false"/>
    </xf>
    <xf numFmtId="164" fontId="66" fillId="2" borderId="26" xfId="0" applyFont="true" applyBorder="true" applyAlignment="true" applyProtection="true">
      <alignment horizontal="general" vertical="bottom" textRotation="0" wrapText="false" indent="0" shrinkToFit="false"/>
      <protection locked="true" hidden="false"/>
    </xf>
    <xf numFmtId="164" fontId="8" fillId="2" borderId="26" xfId="0" applyFont="true" applyBorder="true" applyAlignment="true" applyProtection="true">
      <alignment horizontal="general" vertical="bottom" textRotation="0" wrapText="false" indent="0" shrinkToFit="false"/>
      <protection locked="true" hidden="false"/>
    </xf>
    <xf numFmtId="168" fontId="8" fillId="12" borderId="42" xfId="0" applyFont="true" applyBorder="true" applyAlignment="true" applyProtection="true">
      <alignment horizontal="left" vertical="bottom" textRotation="0" wrapText="false" indent="0" shrinkToFit="false"/>
      <protection locked="true" hidden="false"/>
    </xf>
    <xf numFmtId="164" fontId="10" fillId="5" borderId="7" xfId="0" applyFont="true" applyBorder="true" applyAlignment="true" applyProtection="true">
      <alignment horizontal="general" vertical="bottom" textRotation="0" wrapText="false" indent="0" shrinkToFit="false"/>
      <protection locked="true" hidden="false"/>
    </xf>
    <xf numFmtId="164" fontId="15" fillId="12" borderId="4" xfId="0" applyFont="true" applyBorder="true" applyAlignment="true" applyProtection="true">
      <alignment horizontal="center" vertical="bottom" textRotation="0" wrapText="false" indent="0" shrinkToFit="false"/>
      <protection locked="true" hidden="false"/>
    </xf>
    <xf numFmtId="164" fontId="26" fillId="5" borderId="0" xfId="0" applyFont="true" applyBorder="true" applyAlignment="true" applyProtection="true">
      <alignment horizontal="general" vertical="bottom" textRotation="0" wrapText="false" indent="0" shrinkToFit="false"/>
      <protection locked="true" hidden="false"/>
    </xf>
    <xf numFmtId="196" fontId="11" fillId="6" borderId="2" xfId="0" applyFont="true" applyBorder="true" applyAlignment="true" applyProtection="true">
      <alignment horizontal="center" vertical="bottom" textRotation="0" wrapText="false" indent="0" shrinkToFit="false"/>
      <protection locked="true" hidden="false"/>
    </xf>
    <xf numFmtId="164" fontId="19" fillId="6" borderId="11" xfId="0" applyFont="true" applyBorder="true" applyAlignment="true" applyProtection="true">
      <alignment horizontal="general" vertical="bottom" textRotation="0" wrapText="false" indent="0" shrinkToFit="false"/>
      <protection locked="true" hidden="false"/>
    </xf>
    <xf numFmtId="164" fontId="24" fillId="5" borderId="7" xfId="0" applyFont="true" applyBorder="true" applyAlignment="true" applyProtection="true">
      <alignment horizontal="general" vertical="bottom" textRotation="0" wrapText="false" indent="0" shrinkToFit="false"/>
      <protection locked="true" hidden="false"/>
    </xf>
    <xf numFmtId="171" fontId="8" fillId="15" borderId="0" xfId="0" applyFont="true" applyBorder="true" applyAlignment="true" applyProtection="true">
      <alignment horizontal="general" vertical="bottom" textRotation="0" wrapText="false" indent="0" shrinkToFit="false"/>
      <protection locked="true" hidden="false"/>
    </xf>
    <xf numFmtId="164" fontId="24" fillId="19" borderId="0" xfId="0" applyFont="true" applyBorder="true" applyAlignment="true" applyProtection="true">
      <alignment horizontal="general" vertical="bottom" textRotation="0" wrapText="false" indent="0" shrinkToFit="false"/>
      <protection locked="true" hidden="false"/>
    </xf>
    <xf numFmtId="164" fontId="15" fillId="19" borderId="0" xfId="0" applyFont="true" applyBorder="true" applyAlignment="true" applyProtection="true">
      <alignment horizontal="center" vertical="bottom" textRotation="0" wrapText="false" indent="0" shrinkToFit="false"/>
      <protection locked="true" hidden="false"/>
    </xf>
    <xf numFmtId="164" fontId="10" fillId="19" borderId="0" xfId="0" applyFont="true" applyBorder="true" applyAlignment="true" applyProtection="true">
      <alignment horizontal="right" vertical="bottom" textRotation="0" wrapText="false" indent="0" shrinkToFit="false"/>
      <protection locked="true" hidden="false"/>
    </xf>
    <xf numFmtId="164" fontId="10" fillId="19" borderId="0" xfId="0" applyFont="true" applyBorder="true" applyAlignment="true" applyProtection="true">
      <alignment horizontal="general" vertical="bottom" textRotation="0" wrapText="false" indent="0" shrinkToFit="false"/>
      <protection locked="true" hidden="false"/>
    </xf>
    <xf numFmtId="177" fontId="11" fillId="19" borderId="0" xfId="0" applyFont="true" applyBorder="true" applyAlignment="true" applyProtection="true">
      <alignment horizontal="center" vertical="bottom" textRotation="0" wrapText="false" indent="0" shrinkToFit="false"/>
      <protection locked="true" hidden="false"/>
    </xf>
    <xf numFmtId="177" fontId="11" fillId="21" borderId="2" xfId="0" applyFont="true" applyBorder="true" applyAlignment="true" applyProtection="true">
      <alignment horizontal="center" vertical="bottom" textRotation="0" wrapText="false" indent="0" shrinkToFit="false"/>
      <protection locked="true" hidden="false"/>
    </xf>
    <xf numFmtId="164" fontId="70" fillId="5" borderId="0" xfId="0" applyFont="true" applyBorder="true" applyAlignment="true" applyProtection="true">
      <alignment horizontal="general" vertical="bottom" textRotation="0" wrapText="false" indent="0" shrinkToFit="false"/>
      <protection locked="true" hidden="false"/>
    </xf>
    <xf numFmtId="164" fontId="10" fillId="19" borderId="0" xfId="0" applyFont="true" applyBorder="true" applyAlignment="true" applyProtection="true">
      <alignment horizontal="left" vertical="bottom" textRotation="0" wrapText="false" indent="0" shrinkToFit="false"/>
      <protection locked="true" hidden="false"/>
    </xf>
    <xf numFmtId="167" fontId="11" fillId="21" borderId="2" xfId="0" applyFont="true" applyBorder="true" applyAlignment="true" applyProtection="true">
      <alignment horizontal="center" vertical="bottom" textRotation="0" wrapText="false" indent="0" shrinkToFit="false"/>
      <protection locked="true" hidden="false"/>
    </xf>
    <xf numFmtId="164" fontId="10" fillId="5" borderId="2" xfId="0" applyFont="true" applyBorder="true" applyAlignment="true" applyProtection="true">
      <alignment horizontal="center" vertical="center" textRotation="0" wrapText="false" indent="0" shrinkToFit="false"/>
      <protection locked="true" hidden="false"/>
    </xf>
    <xf numFmtId="164" fontId="24" fillId="5" borderId="0" xfId="0" applyFont="true" applyBorder="true" applyAlignment="true" applyProtection="true">
      <alignment horizontal="general" vertical="bottom" textRotation="0" wrapText="false" indent="0" shrinkToFit="false"/>
      <protection locked="true" hidden="false"/>
    </xf>
    <xf numFmtId="164" fontId="28" fillId="6" borderId="7" xfId="0" applyFont="true" applyBorder="true" applyAlignment="true" applyProtection="true">
      <alignment horizontal="center" vertical="bottom" textRotation="0" wrapText="false" indent="0" shrinkToFit="false"/>
      <protection locked="true" hidden="false"/>
    </xf>
    <xf numFmtId="164" fontId="8" fillId="11" borderId="11" xfId="0" applyFont="true" applyBorder="true" applyAlignment="true" applyProtection="true">
      <alignment horizontal="general" vertical="bottom" textRotation="0" wrapText="false" indent="0" shrinkToFit="false"/>
      <protection locked="true" hidden="false"/>
    </xf>
    <xf numFmtId="164" fontId="8" fillId="12" borderId="19" xfId="0" applyFont="true" applyBorder="true" applyAlignment="true" applyProtection="true">
      <alignment horizontal="general" vertical="bottom" textRotation="0" wrapText="false" indent="0" shrinkToFit="false"/>
      <protection locked="true" hidden="false"/>
    </xf>
    <xf numFmtId="164" fontId="84" fillId="22" borderId="0" xfId="0" applyFont="true" applyBorder="true" applyAlignment="true" applyProtection="true">
      <alignment horizontal="general" vertical="bottom" textRotation="0" wrapText="false" indent="0" shrinkToFit="false"/>
      <protection locked="true" hidden="false"/>
    </xf>
    <xf numFmtId="164" fontId="85" fillId="22" borderId="0" xfId="0" applyFont="true" applyBorder="true" applyAlignment="true" applyProtection="true">
      <alignment horizontal="general" vertical="bottom" textRotation="0" wrapText="false" indent="0" shrinkToFit="false"/>
      <protection locked="true" hidden="false"/>
    </xf>
    <xf numFmtId="164" fontId="10" fillId="12" borderId="5" xfId="0" applyFont="true" applyBorder="true" applyAlignment="true" applyProtection="true">
      <alignment horizontal="general" vertical="bottom" textRotation="0" wrapText="false" indent="0" shrinkToFit="false"/>
      <protection locked="true" hidden="false"/>
    </xf>
    <xf numFmtId="164" fontId="8" fillId="12" borderId="6" xfId="0" applyFont="true" applyBorder="true" applyAlignment="true" applyProtection="true">
      <alignment horizontal="general" vertical="bottom" textRotation="0" wrapText="false" indent="0" shrinkToFit="false"/>
      <protection locked="true" hidden="false"/>
    </xf>
    <xf numFmtId="164" fontId="86" fillId="12" borderId="6" xfId="0" applyFont="true" applyBorder="true" applyAlignment="true" applyProtection="true">
      <alignment horizontal="general" vertical="bottom" textRotation="0" wrapText="false" indent="0" shrinkToFit="false"/>
      <protection locked="true" hidden="false"/>
    </xf>
    <xf numFmtId="164" fontId="8" fillId="12" borderId="26" xfId="0" applyFont="true" applyBorder="true" applyAlignment="true" applyProtection="true">
      <alignment horizontal="general" vertical="bottom" textRotation="0" wrapText="false" indent="0" shrinkToFit="false"/>
      <protection locked="true" hidden="false"/>
    </xf>
    <xf numFmtId="164" fontId="86" fillId="19" borderId="0" xfId="0" applyFont="true" applyBorder="true" applyAlignment="true" applyProtection="true">
      <alignment horizontal="general" vertical="bottom" textRotation="0" wrapText="false" indent="0" shrinkToFit="false"/>
      <protection locked="true" hidden="false"/>
    </xf>
    <xf numFmtId="164" fontId="87" fillId="22" borderId="0" xfId="0" applyFont="true" applyBorder="true" applyAlignment="true" applyProtection="true">
      <alignment horizontal="general" vertical="bottom" textRotation="0" wrapText="false" indent="0" shrinkToFit="false"/>
      <protection locked="true" hidden="false"/>
    </xf>
    <xf numFmtId="176" fontId="87" fillId="22" borderId="0" xfId="0" applyFont="true" applyBorder="true" applyAlignment="true" applyProtection="true">
      <alignment horizontal="general" vertical="bottom" textRotation="0" wrapText="false" indent="0" shrinkToFit="false"/>
      <protection locked="true" hidden="false"/>
    </xf>
    <xf numFmtId="171" fontId="10" fillId="7" borderId="31" xfId="0" applyFont="true" applyBorder="true" applyAlignment="true" applyProtection="true">
      <alignment horizontal="general" vertical="bottom" textRotation="0" wrapText="false" indent="0" shrinkToFit="false"/>
      <protection locked="true" hidden="false"/>
    </xf>
    <xf numFmtId="178" fontId="10" fillId="7" borderId="0" xfId="0" applyFont="true" applyBorder="true" applyAlignment="true" applyProtection="true">
      <alignment horizontal="general" vertical="bottom" textRotation="0" wrapText="false" indent="0" shrinkToFit="false"/>
      <protection locked="true" hidden="false"/>
    </xf>
    <xf numFmtId="164" fontId="21" fillId="7" borderId="0" xfId="0" applyFont="true" applyBorder="true" applyAlignment="true" applyProtection="true">
      <alignment horizontal="general" vertical="bottom" textRotation="0" wrapText="false" indent="0" shrinkToFit="false"/>
      <protection locked="true" hidden="false"/>
    </xf>
    <xf numFmtId="164" fontId="21" fillId="19" borderId="0" xfId="0" applyFont="true" applyBorder="true" applyAlignment="true" applyProtection="true">
      <alignment horizontal="general" vertical="bottom" textRotation="0" wrapText="false" indent="0" shrinkToFit="false"/>
      <protection locked="true" hidden="false"/>
    </xf>
    <xf numFmtId="178" fontId="8" fillId="19" borderId="0" xfId="0" applyFont="true" applyBorder="true" applyAlignment="true" applyProtection="true">
      <alignment horizontal="general" vertical="bottom" textRotation="0" wrapText="false" indent="0" shrinkToFit="false"/>
      <protection locked="true" hidden="false"/>
    </xf>
    <xf numFmtId="176" fontId="10" fillId="7" borderId="31" xfId="0" applyFont="true" applyBorder="true" applyAlignment="true" applyProtection="true">
      <alignment horizontal="general" vertical="bottom" textRotation="0" wrapText="false" indent="0" shrinkToFit="false"/>
      <protection locked="true" hidden="false"/>
    </xf>
    <xf numFmtId="177" fontId="10" fillId="7" borderId="0" xfId="0" applyFont="true" applyBorder="true" applyAlignment="true" applyProtection="true">
      <alignment horizontal="general" vertical="bottom" textRotation="0" wrapText="false" indent="0" shrinkToFit="false"/>
      <protection locked="true" hidden="false"/>
    </xf>
    <xf numFmtId="177" fontId="8" fillId="19" borderId="0" xfId="0" applyFont="true" applyBorder="true" applyAlignment="true" applyProtection="true">
      <alignment horizontal="general" vertical="bottom" textRotation="0" wrapText="false" indent="0" shrinkToFit="false"/>
      <protection locked="true" hidden="false"/>
    </xf>
    <xf numFmtId="171" fontId="8" fillId="19" borderId="0" xfId="0" applyFont="true" applyBorder="true" applyAlignment="true" applyProtection="true">
      <alignment horizontal="general" vertical="bottom" textRotation="0" wrapText="false" indent="0" shrinkToFit="false"/>
      <protection locked="true" hidden="false"/>
    </xf>
    <xf numFmtId="167" fontId="10" fillId="7" borderId="31" xfId="0" applyFont="true" applyBorder="true" applyAlignment="true" applyProtection="true">
      <alignment horizontal="general" vertical="bottom" textRotation="0" wrapText="false" indent="0" shrinkToFit="false"/>
      <protection locked="true" hidden="false"/>
    </xf>
    <xf numFmtId="167" fontId="10" fillId="7" borderId="0" xfId="0" applyFont="true" applyBorder="true" applyAlignment="true" applyProtection="true">
      <alignment horizontal="general" vertical="bottom" textRotation="0" wrapText="false" indent="0" shrinkToFit="false"/>
      <protection locked="true" hidden="false"/>
    </xf>
    <xf numFmtId="171" fontId="10" fillId="7" borderId="0" xfId="0" applyFont="true" applyBorder="true" applyAlignment="true" applyProtection="true">
      <alignment horizontal="general" vertical="bottom" textRotation="0" wrapText="false" indent="0" shrinkToFit="false"/>
      <protection locked="true" hidden="false"/>
    </xf>
    <xf numFmtId="171" fontId="10" fillId="23" borderId="31" xfId="0" applyFont="true" applyBorder="true" applyAlignment="true" applyProtection="true">
      <alignment horizontal="general" vertical="bottom" textRotation="0" wrapText="false" indent="0" shrinkToFit="false"/>
      <protection locked="true" hidden="false"/>
    </xf>
    <xf numFmtId="164" fontId="10" fillId="23" borderId="0" xfId="0" applyFont="true" applyBorder="true" applyAlignment="true" applyProtection="true">
      <alignment horizontal="general" vertical="bottom" textRotation="0" wrapText="false" indent="0" shrinkToFit="false"/>
      <protection locked="true" hidden="false"/>
    </xf>
    <xf numFmtId="171" fontId="10" fillId="23" borderId="0" xfId="0" applyFont="true" applyBorder="true" applyAlignment="true" applyProtection="true">
      <alignment horizontal="general" vertical="bottom" textRotation="0" wrapText="false" indent="0" shrinkToFit="false"/>
      <protection locked="true" hidden="false"/>
    </xf>
    <xf numFmtId="164" fontId="8" fillId="23" borderId="0" xfId="0" applyFont="true" applyBorder="true" applyAlignment="true" applyProtection="true">
      <alignment horizontal="general" vertical="bottom" textRotation="0" wrapText="false" indent="0" shrinkToFit="false"/>
      <protection locked="true" hidden="false"/>
    </xf>
    <xf numFmtId="164" fontId="8" fillId="23" borderId="32" xfId="0" applyFont="true" applyBorder="true" applyAlignment="true" applyProtection="true">
      <alignment horizontal="general" vertical="bottom" textRotation="0" wrapText="false" indent="0" shrinkToFit="false"/>
      <protection locked="true" hidden="false"/>
    </xf>
    <xf numFmtId="167" fontId="8" fillId="19" borderId="0" xfId="0" applyFont="true" applyBorder="true" applyAlignment="true" applyProtection="true">
      <alignment horizontal="general" vertical="bottom" textRotation="0" wrapText="false" indent="0" shrinkToFit="false"/>
      <protection locked="true" hidden="false"/>
    </xf>
    <xf numFmtId="167" fontId="10" fillId="23" borderId="31" xfId="0" applyFont="true" applyBorder="true" applyAlignment="true" applyProtection="true">
      <alignment horizontal="general" vertical="bottom" textRotation="0" wrapText="false" indent="0" shrinkToFit="false"/>
      <protection locked="true" hidden="false"/>
    </xf>
    <xf numFmtId="167" fontId="11" fillId="5" borderId="0" xfId="0" applyFont="true" applyBorder="true" applyAlignment="true" applyProtection="true">
      <alignment horizontal="general" vertical="bottom" textRotation="0" wrapText="false" indent="0" shrinkToFit="false"/>
      <protection locked="true" hidden="false"/>
    </xf>
    <xf numFmtId="171" fontId="19" fillId="24" borderId="31" xfId="0" applyFont="true" applyBorder="true" applyAlignment="true" applyProtection="true">
      <alignment horizontal="general" vertical="bottom" textRotation="0" wrapText="false" indent="0" shrinkToFit="false"/>
      <protection locked="true" hidden="false"/>
    </xf>
    <xf numFmtId="164" fontId="10" fillId="24" borderId="0" xfId="0" applyFont="true" applyBorder="true" applyAlignment="true" applyProtection="true">
      <alignment horizontal="general" vertical="bottom" textRotation="0" wrapText="false" indent="0" shrinkToFit="false"/>
      <protection locked="true" hidden="false"/>
    </xf>
    <xf numFmtId="171" fontId="19" fillId="24" borderId="0" xfId="0" applyFont="true" applyBorder="true" applyAlignment="true" applyProtection="true">
      <alignment horizontal="general" vertical="bottom" textRotation="0" wrapText="false" indent="0" shrinkToFit="false"/>
      <protection locked="true" hidden="false"/>
    </xf>
    <xf numFmtId="164" fontId="21" fillId="24" borderId="0" xfId="0" applyFont="true" applyBorder="true" applyAlignment="true" applyProtection="true">
      <alignment horizontal="general" vertical="bottom" textRotation="0" wrapText="false" indent="0" shrinkToFit="false"/>
      <protection locked="true" hidden="false"/>
    </xf>
    <xf numFmtId="164" fontId="8" fillId="24" borderId="32" xfId="0" applyFont="true" applyBorder="true" applyAlignment="true" applyProtection="true">
      <alignment horizontal="general" vertical="bottom" textRotation="0" wrapText="false" indent="0" shrinkToFit="false"/>
      <protection locked="true" hidden="false"/>
    </xf>
    <xf numFmtId="167" fontId="10" fillId="23" borderId="0" xfId="0" applyFont="true" applyBorder="true" applyAlignment="true" applyProtection="true">
      <alignment horizontal="general" vertical="bottom" textRotation="0" wrapText="false" indent="0" shrinkToFit="false"/>
      <protection locked="true" hidden="false"/>
    </xf>
    <xf numFmtId="167" fontId="10" fillId="17" borderId="31" xfId="0" applyFont="true" applyBorder="true" applyAlignment="true" applyProtection="true">
      <alignment horizontal="general" vertical="bottom" textRotation="0" wrapText="false" indent="0" shrinkToFit="false"/>
      <protection locked="true" hidden="false"/>
    </xf>
    <xf numFmtId="167" fontId="10" fillId="17" borderId="0" xfId="0" applyFont="true" applyBorder="true" applyAlignment="true" applyProtection="true">
      <alignment horizontal="general" vertical="bottom" textRotation="0" wrapText="false" indent="0" shrinkToFit="false"/>
      <protection locked="true" hidden="false"/>
    </xf>
    <xf numFmtId="167" fontId="10" fillId="6" borderId="31" xfId="0" applyFont="true" applyBorder="true" applyAlignment="true" applyProtection="true">
      <alignment horizontal="general" vertical="bottom" textRotation="0" wrapText="false" indent="0" shrinkToFit="false"/>
      <protection locked="true" hidden="false"/>
    </xf>
    <xf numFmtId="167" fontId="10" fillId="6" borderId="0" xfId="0" applyFont="true" applyBorder="true" applyAlignment="true" applyProtection="true">
      <alignment horizontal="general" vertical="bottom" textRotation="0" wrapText="false" indent="0" shrinkToFit="false"/>
      <protection locked="true" hidden="false"/>
    </xf>
    <xf numFmtId="164" fontId="21" fillId="6" borderId="0" xfId="0" applyFont="true" applyBorder="true" applyAlignment="true" applyProtection="true">
      <alignment horizontal="general" vertical="bottom" textRotation="0" wrapText="false" indent="0" shrinkToFit="false"/>
      <protection locked="true" hidden="false"/>
    </xf>
    <xf numFmtId="164" fontId="8" fillId="6" borderId="32" xfId="0" applyFont="true" applyBorder="true" applyAlignment="true" applyProtection="true">
      <alignment horizontal="general" vertical="bottom" textRotation="0" wrapText="false" indent="0" shrinkToFit="false"/>
      <protection locked="true" hidden="false"/>
    </xf>
    <xf numFmtId="164" fontId="84" fillId="5" borderId="0" xfId="0" applyFont="true" applyBorder="true" applyAlignment="true" applyProtection="true">
      <alignment horizontal="general" vertical="bottom" textRotation="0" wrapText="false" indent="0" shrinkToFit="false"/>
      <protection locked="true" hidden="false"/>
    </xf>
    <xf numFmtId="164" fontId="90" fillId="5" borderId="0" xfId="0" applyFont="true" applyBorder="true" applyAlignment="true" applyProtection="true">
      <alignment horizontal="general" vertical="bottom" textRotation="0" wrapText="false" indent="0" shrinkToFit="false"/>
      <protection locked="true" hidden="false"/>
    </xf>
    <xf numFmtId="164" fontId="10" fillId="11" borderId="19" xfId="0" applyFont="true" applyBorder="true" applyAlignment="true" applyProtection="true">
      <alignment horizontal="general" vertical="bottom" textRotation="0" wrapText="false" indent="0" shrinkToFit="false"/>
      <protection locked="true" hidden="false"/>
    </xf>
    <xf numFmtId="164" fontId="8" fillId="11" borderId="20" xfId="0" applyFont="true" applyBorder="true" applyAlignment="true" applyProtection="true">
      <alignment horizontal="general" vertical="bottom" textRotation="0" wrapText="false" indent="0" shrinkToFit="false"/>
      <protection locked="true" hidden="false"/>
    </xf>
    <xf numFmtId="164" fontId="8" fillId="11" borderId="21" xfId="0" applyFont="true" applyBorder="true" applyAlignment="true" applyProtection="true">
      <alignment horizontal="general" vertical="bottom" textRotation="0" wrapText="false" indent="0" shrinkToFit="false"/>
      <protection locked="true" hidden="false"/>
    </xf>
    <xf numFmtId="164" fontId="8" fillId="11" borderId="22" xfId="0" applyFont="true" applyBorder="true" applyAlignment="true" applyProtection="true">
      <alignment horizontal="general" vertical="bottom" textRotation="0" wrapText="false" indent="0" shrinkToFit="false"/>
      <protection locked="true" hidden="false"/>
    </xf>
    <xf numFmtId="164" fontId="8" fillId="11" borderId="5" xfId="0" applyFont="true" applyBorder="true" applyAlignment="true" applyProtection="true">
      <alignment horizontal="general" vertical="bottom" textRotation="0" wrapText="false" indent="0" shrinkToFit="false"/>
      <protection locked="true" hidden="false"/>
    </xf>
    <xf numFmtId="164" fontId="21" fillId="2" borderId="38" xfId="0" applyFont="true" applyBorder="true" applyAlignment="true" applyProtection="true">
      <alignment horizontal="center" vertical="bottom" textRotation="0" wrapText="false" indent="0" shrinkToFit="false"/>
      <protection locked="true" hidden="false"/>
    </xf>
    <xf numFmtId="164" fontId="21" fillId="2" borderId="33" xfId="0" applyFont="true" applyBorder="true" applyAlignment="true" applyProtection="true">
      <alignment horizontal="general" vertical="bottom" textRotation="0" wrapText="false" indent="0" shrinkToFit="false"/>
      <protection locked="true" hidden="false"/>
    </xf>
    <xf numFmtId="164" fontId="8" fillId="2" borderId="33" xfId="0" applyFont="true" applyBorder="true" applyAlignment="true" applyProtection="true">
      <alignment horizontal="general" vertical="bottom" textRotation="0" wrapText="false" indent="0" shrinkToFit="false"/>
      <protection locked="true" hidden="false"/>
    </xf>
    <xf numFmtId="164" fontId="8" fillId="2" borderId="54" xfId="0" applyFont="true" applyBorder="true" applyAlignment="true" applyProtection="true">
      <alignment horizontal="general" vertical="bottom" textRotation="0" wrapText="false" indent="0" shrinkToFit="false"/>
      <protection locked="true" hidden="false"/>
    </xf>
    <xf numFmtId="164" fontId="8" fillId="9" borderId="22" xfId="0" applyFont="true" applyBorder="true" applyAlignment="true" applyProtection="true">
      <alignment horizontal="center" vertical="bottom" textRotation="0" wrapText="false" indent="0" shrinkToFit="false"/>
      <protection locked="true" hidden="false"/>
    </xf>
    <xf numFmtId="164" fontId="8" fillId="9" borderId="0" xfId="0" applyFont="true" applyBorder="true" applyAlignment="true" applyProtection="true">
      <alignment horizontal="general" vertical="bottom" textRotation="0" wrapText="false" indent="0" shrinkToFit="false"/>
      <protection locked="true" hidden="false"/>
    </xf>
    <xf numFmtId="167" fontId="8" fillId="9" borderId="0" xfId="0" applyFont="true" applyBorder="true" applyAlignment="true" applyProtection="true">
      <alignment horizontal="center" vertical="bottom" textRotation="0" wrapText="false" indent="0" shrinkToFit="false"/>
      <protection locked="true" hidden="false"/>
    </xf>
    <xf numFmtId="164" fontId="8" fillId="9" borderId="0" xfId="0" applyFont="true" applyBorder="true" applyAlignment="true" applyProtection="true">
      <alignment horizontal="center" vertical="bottom" textRotation="0" wrapText="false" indent="0" shrinkToFit="false"/>
      <protection locked="true" hidden="false"/>
    </xf>
    <xf numFmtId="164" fontId="8" fillId="9" borderId="23" xfId="0" applyFont="true" applyBorder="true" applyAlignment="true" applyProtection="true">
      <alignment horizontal="general" vertical="bottom" textRotation="0" wrapText="false" indent="0" shrinkToFit="false"/>
      <protection locked="true" hidden="false"/>
    </xf>
    <xf numFmtId="200" fontId="8" fillId="15" borderId="7" xfId="0" applyFont="true" applyBorder="true" applyAlignment="true" applyProtection="true">
      <alignment horizontal="center" vertical="bottom" textRotation="0" wrapText="false" indent="0" shrinkToFit="false"/>
      <protection locked="true" hidden="false"/>
    </xf>
    <xf numFmtId="201" fontId="15" fillId="12" borderId="7" xfId="0" applyFont="true" applyBorder="true" applyAlignment="true" applyProtection="true">
      <alignment horizontal="center" vertical="bottom" textRotation="0" wrapText="false" indent="0" shrinkToFit="false"/>
      <protection locked="true" hidden="false"/>
    </xf>
    <xf numFmtId="182" fontId="11" fillId="6" borderId="7" xfId="0" applyFont="true" applyBorder="true" applyAlignment="true" applyProtection="true">
      <alignment horizontal="center" vertical="bottom" textRotation="0" wrapText="false" indent="0" shrinkToFit="false"/>
      <protection locked="true" hidden="false"/>
    </xf>
    <xf numFmtId="164" fontId="8" fillId="9" borderId="5" xfId="0" applyFont="true" applyBorder="true" applyAlignment="true" applyProtection="true">
      <alignment horizontal="center" vertical="bottom" textRotation="0" wrapText="false" indent="0" shrinkToFit="false"/>
      <protection locked="true" hidden="false"/>
    </xf>
    <xf numFmtId="164" fontId="8" fillId="9" borderId="6" xfId="0" applyFont="true" applyBorder="true" applyAlignment="true" applyProtection="true">
      <alignment horizontal="general" vertical="bottom" textRotation="0" wrapText="false" indent="0" shrinkToFit="false"/>
      <protection locked="true" hidden="false"/>
    </xf>
    <xf numFmtId="167" fontId="8" fillId="9" borderId="6" xfId="0" applyFont="true" applyBorder="true" applyAlignment="true" applyProtection="true">
      <alignment horizontal="center" vertical="bottom" textRotation="0" wrapText="false" indent="0" shrinkToFit="false"/>
      <protection locked="true" hidden="false"/>
    </xf>
    <xf numFmtId="164" fontId="8" fillId="9" borderId="6" xfId="0" applyFont="true" applyBorder="true" applyAlignment="true" applyProtection="true">
      <alignment horizontal="center" vertical="bottom" textRotation="0" wrapText="false" indent="0" shrinkToFit="false"/>
      <protection locked="true" hidden="false"/>
    </xf>
    <xf numFmtId="164" fontId="8" fillId="9" borderId="26" xfId="0" applyFont="true" applyBorder="true" applyAlignment="true" applyProtection="true">
      <alignment horizontal="general" vertical="bottom" textRotation="0" wrapText="false" indent="0" shrinkToFit="false"/>
      <protection locked="true" hidden="false"/>
    </xf>
    <xf numFmtId="164" fontId="8" fillId="16" borderId="19" xfId="0" applyFont="true" applyBorder="true" applyAlignment="true" applyProtection="true">
      <alignment horizontal="general" vertical="bottom" textRotation="0" wrapText="false" indent="0" shrinkToFit="false"/>
      <protection locked="true" hidden="false"/>
    </xf>
    <xf numFmtId="200" fontId="8" fillId="15" borderId="7" xfId="0" applyFont="true" applyBorder="true" applyAlignment="true" applyProtection="true">
      <alignment horizontal="left" vertical="bottom" textRotation="0" wrapText="false" indent="0" shrinkToFit="false"/>
      <protection locked="true" hidden="false"/>
    </xf>
    <xf numFmtId="167" fontId="10" fillId="9" borderId="0" xfId="0" applyFont="true" applyBorder="true" applyAlignment="true" applyProtection="true">
      <alignment horizontal="center" vertical="bottom" textRotation="0" wrapText="false" indent="0" shrinkToFit="false"/>
      <protection locked="true" hidden="false"/>
    </xf>
    <xf numFmtId="171" fontId="10" fillId="9" borderId="0" xfId="0" applyFont="true" applyBorder="true" applyAlignment="true" applyProtection="true">
      <alignment horizontal="center" vertical="bottom" textRotation="0" wrapText="false" indent="0" shrinkToFit="false"/>
      <protection locked="true" hidden="false"/>
    </xf>
    <xf numFmtId="169" fontId="8" fillId="9" borderId="0" xfId="0" applyFont="true" applyBorder="true" applyAlignment="true" applyProtection="true">
      <alignment horizontal="general" vertical="bottom" textRotation="0" wrapText="false" indent="0" shrinkToFit="false"/>
      <protection locked="true" hidden="false"/>
    </xf>
    <xf numFmtId="167" fontId="8" fillId="9" borderId="0" xfId="0" applyFont="true" applyBorder="true" applyAlignment="true" applyProtection="true">
      <alignment horizontal="general" vertical="bottom" textRotation="0" wrapText="false" indent="0" shrinkToFit="false"/>
      <protection locked="true" hidden="false"/>
    </xf>
    <xf numFmtId="171" fontId="8" fillId="9" borderId="0" xfId="0" applyFont="true" applyBorder="true" applyAlignment="true" applyProtection="true">
      <alignment horizontal="center" vertical="bottom" textRotation="0" wrapText="false" indent="0" shrinkToFit="false"/>
      <protection locked="true" hidden="false"/>
    </xf>
    <xf numFmtId="167" fontId="15" fillId="12" borderId="11" xfId="0" applyFont="true" applyBorder="true" applyAlignment="true" applyProtection="true">
      <alignment horizontal="center" vertical="bottom" textRotation="0" wrapText="false" indent="0" shrinkToFit="false"/>
      <protection locked="true" hidden="false"/>
    </xf>
    <xf numFmtId="202" fontId="8" fillId="5" borderId="0" xfId="0" applyFont="true" applyBorder="true" applyAlignment="true" applyProtection="true">
      <alignment horizontal="right" vertical="bottom" textRotation="0" wrapText="false" indent="0" shrinkToFit="false"/>
      <protection locked="true" hidden="false"/>
    </xf>
    <xf numFmtId="167" fontId="15" fillId="12" borderId="11" xfId="0" applyFont="true" applyBorder="true" applyAlignment="true" applyProtection="true">
      <alignment horizontal="right" vertical="bottom" textRotation="0" wrapText="false" indent="0" shrinkToFit="false"/>
      <protection locked="true" hidden="false"/>
    </xf>
    <xf numFmtId="164" fontId="10" fillId="12" borderId="12" xfId="0" applyFont="true" applyBorder="true" applyAlignment="true" applyProtection="true">
      <alignment horizontal="general" vertical="bottom" textRotation="0" wrapText="false" indent="0" shrinkToFit="false"/>
      <protection locked="true" hidden="false"/>
    </xf>
    <xf numFmtId="171" fontId="8" fillId="6" borderId="11" xfId="0" applyFont="true" applyBorder="true" applyAlignment="true" applyProtection="true">
      <alignment horizontal="center" vertical="bottom" textRotation="0" wrapText="false" indent="0" shrinkToFit="false"/>
      <protection locked="true" hidden="false"/>
    </xf>
    <xf numFmtId="192" fontId="8" fillId="6" borderId="7" xfId="0" applyFont="true" applyBorder="true" applyAlignment="true" applyProtection="true">
      <alignment horizontal="center" vertical="bottom" textRotation="0" wrapText="false" indent="0" shrinkToFit="false"/>
      <protection locked="true" hidden="false"/>
    </xf>
    <xf numFmtId="171" fontId="19" fillId="6" borderId="11" xfId="0" applyFont="true" applyBorder="true" applyAlignment="true" applyProtection="true">
      <alignment horizontal="center" vertical="bottom" textRotation="0" wrapText="false" indent="0" shrinkToFit="false"/>
      <protection locked="true" hidden="false"/>
    </xf>
    <xf numFmtId="164" fontId="56" fillId="5" borderId="0" xfId="0" applyFont="true" applyBorder="true" applyAlignment="true" applyProtection="true">
      <alignment horizontal="general" vertical="bottom" textRotation="0" wrapText="false" indent="0" shrinkToFit="false"/>
      <protection locked="true" hidden="false"/>
    </xf>
    <xf numFmtId="203" fontId="15" fillId="12" borderId="7" xfId="0" applyFont="true" applyBorder="true" applyAlignment="true" applyProtection="true">
      <alignment horizontal="center" vertical="bottom" textRotation="0" wrapText="false" indent="0" shrinkToFit="false"/>
      <protection locked="true" hidden="false"/>
    </xf>
    <xf numFmtId="204" fontId="11" fillId="6" borderId="7" xfId="0" applyFont="true" applyBorder="true" applyAlignment="true" applyProtection="true">
      <alignment horizontal="center" vertical="bottom" textRotation="0" wrapText="false" indent="0" shrinkToFit="false"/>
      <protection locked="true" hidden="false"/>
    </xf>
    <xf numFmtId="193" fontId="15" fillId="12" borderId="7" xfId="0" applyFont="true" applyBorder="true" applyAlignment="true" applyProtection="true">
      <alignment horizontal="center" vertical="bottom" textRotation="0" wrapText="false" indent="0" shrinkToFit="false"/>
      <protection locked="true" hidden="false"/>
    </xf>
    <xf numFmtId="205" fontId="15" fillId="12" borderId="7" xfId="0" applyFont="true" applyBorder="true" applyAlignment="true" applyProtection="true">
      <alignment horizontal="center" vertical="bottom" textRotation="0" wrapText="false" indent="0" shrinkToFit="false"/>
      <protection locked="true" hidden="false"/>
    </xf>
    <xf numFmtId="164" fontId="18" fillId="2" borderId="0" xfId="0" applyFont="true" applyBorder="true" applyAlignment="true" applyProtection="true">
      <alignment horizontal="general" vertical="bottom" textRotation="0" wrapText="false" indent="0" shrinkToFit="false"/>
      <protection locked="true" hidden="false"/>
    </xf>
    <xf numFmtId="164" fontId="19" fillId="5" borderId="22" xfId="0" applyFont="true" applyBorder="true" applyAlignment="true" applyProtection="true">
      <alignment horizontal="general" vertical="bottom" textRotation="0" wrapText="false" indent="0" shrinkToFit="false"/>
      <protection locked="true" hidden="false"/>
    </xf>
    <xf numFmtId="164" fontId="10" fillId="5" borderId="50" xfId="0" applyFont="true" applyBorder="true" applyAlignment="true" applyProtection="true">
      <alignment horizontal="general" vertical="bottom" textRotation="0" wrapText="false" indent="0" shrinkToFit="false"/>
      <protection locked="true" hidden="false"/>
    </xf>
    <xf numFmtId="177" fontId="10" fillId="15" borderId="7" xfId="0" applyFont="true" applyBorder="true" applyAlignment="true" applyProtection="true">
      <alignment horizontal="center" vertical="bottom" textRotation="0" wrapText="false" indent="0" shrinkToFit="false"/>
      <protection locked="true" hidden="false"/>
    </xf>
    <xf numFmtId="177" fontId="10" fillId="15" borderId="7" xfId="0" applyFont="true" applyBorder="true" applyAlignment="true" applyProtection="true">
      <alignment horizontal="general" vertical="bottom" textRotation="0" wrapText="false" indent="0" shrinkToFit="false"/>
      <protection locked="true" hidden="false"/>
    </xf>
    <xf numFmtId="177" fontId="8" fillId="2" borderId="11" xfId="0" applyFont="true" applyBorder="true" applyAlignment="true" applyProtection="true">
      <alignment horizontal="general" vertical="bottom" textRotation="0" wrapText="false" indent="0" shrinkToFit="false"/>
      <protection locked="true" hidden="false"/>
    </xf>
    <xf numFmtId="176" fontId="8" fillId="0" borderId="0" xfId="0" applyFont="true" applyBorder="false" applyAlignment="true" applyProtection="true">
      <alignment horizontal="center" vertical="bottom" textRotation="0" wrapText="false" indent="0" shrinkToFit="false"/>
      <protection locked="true" hidden="false"/>
    </xf>
    <xf numFmtId="176" fontId="8" fillId="12" borderId="0" xfId="0" applyFont="true" applyBorder="true" applyAlignment="true" applyProtection="true">
      <alignment horizontal="right" vertical="bottom" textRotation="0" wrapText="false" indent="0" shrinkToFit="false"/>
      <protection locked="true" hidden="false"/>
    </xf>
    <xf numFmtId="164" fontId="8" fillId="12" borderId="0" xfId="0" applyFont="true" applyBorder="tru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1FB714"/>
        </patternFill>
      </fill>
    </dxf>
    <dxf>
      <fill>
        <patternFill>
          <bgColor rgb="FFDD0806"/>
        </patternFill>
      </fill>
    </dxf>
    <dxf>
      <font>
        <color rgb="FF1FB714"/>
      </font>
      <fill>
        <patternFill>
          <bgColor rgb="FF1FB714"/>
        </patternFill>
      </fill>
    </dxf>
    <dxf>
      <font>
        <color rgb="FFDD0806"/>
      </font>
      <fill>
        <patternFill>
          <bgColor rgb="FFDD0806"/>
        </patternFill>
      </fill>
    </dxf>
    <dxf>
      <fill>
        <patternFill>
          <bgColor rgb="FFFCF305"/>
        </patternFill>
      </fill>
    </dxf>
  </dxfs>
  <colors>
    <indexedColors>
      <rgbColor rgb="FF000000"/>
      <rgbColor rgb="FFFFFFFF"/>
      <rgbColor rgb="FFFF0000"/>
      <rgbColor rgb="FF00FF00"/>
      <rgbColor rgb="FF0000FF"/>
      <rgbColor rgb="FFFFFF00"/>
      <rgbColor rgb="FFFF00FF"/>
      <rgbColor rgb="FF00FFFF"/>
      <rgbColor rgb="FF800000"/>
      <rgbColor rgb="FF1FB714"/>
      <rgbColor rgb="FF000080"/>
      <rgbColor rgb="FF8B8B8B"/>
      <rgbColor rgb="FF800080"/>
      <rgbColor rgb="FF008080"/>
      <rgbColor rgb="FFC0C0C0"/>
      <rgbColor rgb="FF808080"/>
      <rgbColor rgb="FF9999FF"/>
      <rgbColor rgb="FFC0504D"/>
      <rgbColor rgb="FFDDD9C3"/>
      <rgbColor rgb="FFCCFFFF"/>
      <rgbColor rgb="FF660066"/>
      <rgbColor rgb="FFA5A5A5"/>
      <rgbColor rgb="FF0066CC"/>
      <rgbColor rgb="FFD9D9D9"/>
      <rgbColor rgb="FF000080"/>
      <rgbColor rgb="FFFF00FF"/>
      <rgbColor rgb="FFFCF305"/>
      <rgbColor rgb="FF00FFFF"/>
      <rgbColor rgb="FF800080"/>
      <rgbColor rgb="FF800000"/>
      <rgbColor rgb="FF008080"/>
      <rgbColor rgb="FF0000D4"/>
      <rgbColor rgb="FF00CCFF"/>
      <rgbColor rgb="FFBFBFBF"/>
      <rgbColor rgb="FFCCFFCC"/>
      <rgbColor rgb="FFFFFF99"/>
      <rgbColor rgb="FF99CCFF"/>
      <rgbColor rgb="FFFF99CC"/>
      <rgbColor rgb="FFB2A1C7"/>
      <rgbColor rgb="FFFFCC99"/>
      <rgbColor rgb="FFB7B7B7"/>
      <rgbColor rgb="FF33CCCC"/>
      <rgbColor rgb="FF99CC00"/>
      <rgbColor rgb="FFFFCC00"/>
      <rgbColor rgb="FFFF9900"/>
      <rgbColor rgb="FFFF6600"/>
      <rgbColor rgb="FF4F81BD"/>
      <rgbColor rgb="FF969696"/>
      <rgbColor rgb="FF003366"/>
      <rgbColor rgb="FF339966"/>
      <rgbColor rgb="FF003300"/>
      <rgbColor rgb="FF1A1A1A"/>
      <rgbColor rgb="FFDD0806"/>
      <rgbColor rgb="FF993366"/>
      <rgbColor rgb="FF333399"/>
      <rgbColor rgb="FF2E343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scatterChart>
        <c:scatterStyle val="lineMarker"/>
        <c:varyColors val="0"/>
        <c:ser>
          <c:idx val="0"/>
          <c:order val="0"/>
          <c:spPr>
            <a:solidFill>
              <a:srgbClr val="000080"/>
            </a:solidFill>
            <a:ln w="19080">
              <a:noFill/>
            </a:ln>
          </c:spPr>
          <c:marker>
            <c:symbol val="circle"/>
            <c:size val="7"/>
            <c:spPr>
              <a:solidFill>
                <a:srgbClr val="000080"/>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'Orbit Shape Data'!$F$3:$F$79</c:f>
              <c:numCache>
                <c:formatCode>General</c:formatCode>
                <c:ptCount val="77"/>
                <c:pt idx="0">
                  <c:v>-1.9</c:v>
                </c:pt>
                <c:pt idx="1">
                  <c:v>-1.85</c:v>
                </c:pt>
                <c:pt idx="2">
                  <c:v>-1.8</c:v>
                </c:pt>
                <c:pt idx="3">
                  <c:v>-1.75</c:v>
                </c:pt>
                <c:pt idx="4">
                  <c:v>-1.7</c:v>
                </c:pt>
                <c:pt idx="5">
                  <c:v>-1.65</c:v>
                </c:pt>
                <c:pt idx="6">
                  <c:v>-1.6</c:v>
                </c:pt>
                <c:pt idx="7">
                  <c:v>-1.55</c:v>
                </c:pt>
                <c:pt idx="8">
                  <c:v>-1.5</c:v>
                </c:pt>
                <c:pt idx="9">
                  <c:v>-1.45</c:v>
                </c:pt>
                <c:pt idx="10">
                  <c:v>-1.4</c:v>
                </c:pt>
                <c:pt idx="11">
                  <c:v>-1.35</c:v>
                </c:pt>
                <c:pt idx="12">
                  <c:v>-1.3</c:v>
                </c:pt>
                <c:pt idx="13">
                  <c:v>-1.25</c:v>
                </c:pt>
                <c:pt idx="14">
                  <c:v>-1.2</c:v>
                </c:pt>
                <c:pt idx="15">
                  <c:v>-1.15</c:v>
                </c:pt>
                <c:pt idx="16">
                  <c:v>-1.1</c:v>
                </c:pt>
                <c:pt idx="17">
                  <c:v>-1.05</c:v>
                </c:pt>
                <c:pt idx="18">
                  <c:v>-0.999999999999999</c:v>
                </c:pt>
                <c:pt idx="19">
                  <c:v>-0.949999999999999</c:v>
                </c:pt>
                <c:pt idx="20">
                  <c:v>-0.899999999999999</c:v>
                </c:pt>
                <c:pt idx="21">
                  <c:v>-0.849999999999999</c:v>
                </c:pt>
                <c:pt idx="22">
                  <c:v>-0.799999999999999</c:v>
                </c:pt>
                <c:pt idx="23">
                  <c:v>-0.749999999999999</c:v>
                </c:pt>
                <c:pt idx="24">
                  <c:v>-0.699999999999999</c:v>
                </c:pt>
                <c:pt idx="25">
                  <c:v>-0.649999999999999</c:v>
                </c:pt>
                <c:pt idx="26">
                  <c:v>-0.599999999999999</c:v>
                </c:pt>
                <c:pt idx="27">
                  <c:v>-0.549999999999999</c:v>
                </c:pt>
                <c:pt idx="28">
                  <c:v>-0.499999999999999</c:v>
                </c:pt>
                <c:pt idx="29">
                  <c:v>-0.449999999999999</c:v>
                </c:pt>
                <c:pt idx="30">
                  <c:v>-0.399999999999999</c:v>
                </c:pt>
                <c:pt idx="31">
                  <c:v>-0.349999999999999</c:v>
                </c:pt>
                <c:pt idx="32">
                  <c:v>-0.299999999999999</c:v>
                </c:pt>
                <c:pt idx="33">
                  <c:v>-0.249999999999999</c:v>
                </c:pt>
                <c:pt idx="34">
                  <c:v>-0.199999999999999</c:v>
                </c:pt>
                <c:pt idx="35">
                  <c:v>-0.149999999999999</c:v>
                </c:pt>
                <c:pt idx="36">
                  <c:v>-0.0999999999999988</c:v>
                </c:pt>
                <c:pt idx="37">
                  <c:v>-0.0499999999999988</c:v>
                </c:pt>
                <c:pt idx="38">
                  <c:v>0</c:v>
                </c:pt>
                <c:pt idx="39">
                  <c:v>0.05</c:v>
                </c:pt>
                <c:pt idx="40">
                  <c:v>0.1</c:v>
                </c:pt>
                <c:pt idx="41">
                  <c:v>0.15</c:v>
                </c:pt>
                <c:pt idx="42">
                  <c:v>0.2</c:v>
                </c:pt>
                <c:pt idx="43">
                  <c:v>0.25</c:v>
                </c:pt>
                <c:pt idx="44">
                  <c:v>0.3</c:v>
                </c:pt>
                <c:pt idx="45">
                  <c:v>0.35</c:v>
                </c:pt>
                <c:pt idx="46">
                  <c:v>0.4</c:v>
                </c:pt>
                <c:pt idx="47">
                  <c:v>0.45</c:v>
                </c:pt>
                <c:pt idx="48">
                  <c:v>0.5</c:v>
                </c:pt>
                <c:pt idx="49">
                  <c:v>0.55</c:v>
                </c:pt>
                <c:pt idx="50">
                  <c:v>0.6</c:v>
                </c:pt>
                <c:pt idx="51">
                  <c:v>0.65</c:v>
                </c:pt>
                <c:pt idx="52">
                  <c:v>0.7</c:v>
                </c:pt>
                <c:pt idx="53">
                  <c:v>0.75</c:v>
                </c:pt>
                <c:pt idx="54">
                  <c:v>0.8</c:v>
                </c:pt>
                <c:pt idx="55">
                  <c:v>0.85</c:v>
                </c:pt>
                <c:pt idx="56">
                  <c:v>0.9</c:v>
                </c:pt>
                <c:pt idx="57">
                  <c:v>0.95</c:v>
                </c:pt>
                <c:pt idx="58">
                  <c:v>1</c:v>
                </c:pt>
                <c:pt idx="59">
                  <c:v>1.05</c:v>
                </c:pt>
                <c:pt idx="60">
                  <c:v>1.1</c:v>
                </c:pt>
                <c:pt idx="61">
                  <c:v>1.15</c:v>
                </c:pt>
                <c:pt idx="62">
                  <c:v>1.2</c:v>
                </c:pt>
                <c:pt idx="63">
                  <c:v>1.25</c:v>
                </c:pt>
                <c:pt idx="64">
                  <c:v>1.3</c:v>
                </c:pt>
                <c:pt idx="65">
                  <c:v>1.35</c:v>
                </c:pt>
                <c:pt idx="66">
                  <c:v>1.4</c:v>
                </c:pt>
                <c:pt idx="67">
                  <c:v>1.45</c:v>
                </c:pt>
                <c:pt idx="68">
                  <c:v>1.5</c:v>
                </c:pt>
                <c:pt idx="69">
                  <c:v>1.55</c:v>
                </c:pt>
                <c:pt idx="70">
                  <c:v>1.6</c:v>
                </c:pt>
                <c:pt idx="71">
                  <c:v>1.65</c:v>
                </c:pt>
                <c:pt idx="72">
                  <c:v>1.7</c:v>
                </c:pt>
                <c:pt idx="73">
                  <c:v>1.75</c:v>
                </c:pt>
                <c:pt idx="74">
                  <c:v>1.8</c:v>
                </c:pt>
                <c:pt idx="75">
                  <c:v>1.85</c:v>
                </c:pt>
                <c:pt idx="76">
                  <c:v>1.9</c:v>
                </c:pt>
              </c:numCache>
            </c:numRef>
          </c:xVal>
          <c:yVal>
            <c:numRef>
              <c:f>'Orbit Shape Data'!$B$3:$B$79</c:f>
              <c:numCache>
                <c:formatCode>General</c:formatCode>
                <c:ptCount val="77"/>
                <c:pt idx="0">
                  <c:v>3.51994318135961</c:v>
                </c:pt>
                <c:pt idx="1">
                  <c:v>3.54647712526107</c:v>
                </c:pt>
                <c:pt idx="2">
                  <c:v>3.57211421989835</c:v>
                </c:pt>
                <c:pt idx="3">
                  <c:v>3.59687364248454</c:v>
                </c:pt>
                <c:pt idx="4">
                  <c:v>3.62077339804634</c:v>
                </c:pt>
                <c:pt idx="5">
                  <c:v>3.64383040220041</c:v>
                </c:pt>
                <c:pt idx="6">
                  <c:v>3.66606055596467</c:v>
                </c:pt>
                <c:pt idx="7">
                  <c:v>3.68747881349846</c:v>
                </c:pt>
                <c:pt idx="8">
                  <c:v>3.70809924354783</c:v>
                </c:pt>
                <c:pt idx="9">
                  <c:v>3.72793508527174</c:v>
                </c:pt>
                <c:pt idx="10">
                  <c:v>3.74699879903904</c:v>
                </c:pt>
                <c:pt idx="11">
                  <c:v>3.76530211271287</c:v>
                </c:pt>
                <c:pt idx="12">
                  <c:v>3.78285606387555</c:v>
                </c:pt>
                <c:pt idx="13">
                  <c:v>3.79967103839267</c:v>
                </c:pt>
                <c:pt idx="14">
                  <c:v>3.81575680566778</c:v>
                </c:pt>
                <c:pt idx="15">
                  <c:v>3.83112255089811</c:v>
                </c:pt>
                <c:pt idx="16">
                  <c:v>3.84577690460588</c:v>
                </c:pt>
                <c:pt idx="17">
                  <c:v>3.85972796968906</c:v>
                </c:pt>
                <c:pt idx="18">
                  <c:v>3.87298334620742</c:v>
                </c:pt>
                <c:pt idx="19">
                  <c:v>3.88555015409659</c:v>
                </c:pt>
                <c:pt idx="20">
                  <c:v>3.89743505398102</c:v>
                </c:pt>
                <c:pt idx="21">
                  <c:v>3.90864426623862</c:v>
                </c:pt>
                <c:pt idx="22">
                  <c:v>3.91918358845309</c:v>
                </c:pt>
                <c:pt idx="23">
                  <c:v>3.92905841137543</c:v>
                </c:pt>
                <c:pt idx="24">
                  <c:v>3.93827373350304</c:v>
                </c:pt>
                <c:pt idx="25">
                  <c:v>3.94683417437318</c:v>
                </c:pt>
                <c:pt idx="26">
                  <c:v>3.95474398665704</c:v>
                </c:pt>
                <c:pt idx="27">
                  <c:v>3.96200706713151</c:v>
                </c:pt>
                <c:pt idx="28">
                  <c:v>3.96862696659689</c:v>
                </c:pt>
                <c:pt idx="29">
                  <c:v>3.97460689880144</c:v>
                </c:pt>
                <c:pt idx="30">
                  <c:v>3.97994974842648</c:v>
                </c:pt>
                <c:pt idx="31">
                  <c:v>3.98465807817936</c:v>
                </c:pt>
                <c:pt idx="32">
                  <c:v>3.98873413503583</c:v>
                </c:pt>
                <c:pt idx="33">
                  <c:v>3.99217985566783</c:v>
                </c:pt>
                <c:pt idx="34">
                  <c:v>3.99499687108764</c:v>
                </c:pt>
                <c:pt idx="35">
                  <c:v>3.99718651053463</c:v>
                </c:pt>
                <c:pt idx="36">
                  <c:v>3.99874980462644</c:v>
                </c:pt>
                <c:pt idx="37">
                  <c:v>3.99968748779202</c:v>
                </c:pt>
                <c:pt idx="38">
                  <c:v>4</c:v>
                </c:pt>
                <c:pt idx="39">
                  <c:v>3.99968748779202</c:v>
                </c:pt>
                <c:pt idx="40">
                  <c:v>3.99874980462644</c:v>
                </c:pt>
                <c:pt idx="41">
                  <c:v>3.99718651053463</c:v>
                </c:pt>
                <c:pt idx="42">
                  <c:v>3.99499687108764</c:v>
                </c:pt>
                <c:pt idx="43">
                  <c:v>3.99217985566783</c:v>
                </c:pt>
                <c:pt idx="44">
                  <c:v>3.98873413503583</c:v>
                </c:pt>
                <c:pt idx="45">
                  <c:v>3.98465807817936</c:v>
                </c:pt>
                <c:pt idx="46">
                  <c:v>3.97994974842648</c:v>
                </c:pt>
                <c:pt idx="47">
                  <c:v>3.97460689880144</c:v>
                </c:pt>
                <c:pt idx="48">
                  <c:v>3.96862696659689</c:v>
                </c:pt>
                <c:pt idx="49">
                  <c:v>3.96200706713151</c:v>
                </c:pt>
                <c:pt idx="50">
                  <c:v>3.95474398665704</c:v>
                </c:pt>
                <c:pt idx="51">
                  <c:v>3.94683417437318</c:v>
                </c:pt>
                <c:pt idx="52">
                  <c:v>3.93827373350304</c:v>
                </c:pt>
                <c:pt idx="53">
                  <c:v>3.92905841137543</c:v>
                </c:pt>
                <c:pt idx="54">
                  <c:v>3.91918358845309</c:v>
                </c:pt>
                <c:pt idx="55">
                  <c:v>3.90864426623862</c:v>
                </c:pt>
                <c:pt idx="56">
                  <c:v>3.89743505398102</c:v>
                </c:pt>
                <c:pt idx="57">
                  <c:v>3.88555015409659</c:v>
                </c:pt>
                <c:pt idx="58">
                  <c:v>3.87298334620742</c:v>
                </c:pt>
                <c:pt idx="59">
                  <c:v>3.85972796968906</c:v>
                </c:pt>
                <c:pt idx="60">
                  <c:v>3.84577690460588</c:v>
                </c:pt>
                <c:pt idx="61">
                  <c:v>3.8311225508981</c:v>
                </c:pt>
                <c:pt idx="62">
                  <c:v>3.81575680566778</c:v>
                </c:pt>
                <c:pt idx="63">
                  <c:v>3.79967103839267</c:v>
                </c:pt>
                <c:pt idx="64">
                  <c:v>3.78285606387555</c:v>
                </c:pt>
                <c:pt idx="65">
                  <c:v>3.76530211271287</c:v>
                </c:pt>
                <c:pt idx="66">
                  <c:v>3.74699879903904</c:v>
                </c:pt>
                <c:pt idx="67">
                  <c:v>3.72793508527174</c:v>
                </c:pt>
                <c:pt idx="68">
                  <c:v>3.70809924354783</c:v>
                </c:pt>
                <c:pt idx="69">
                  <c:v>3.68747881349846</c:v>
                </c:pt>
                <c:pt idx="70">
                  <c:v>3.66606055596467</c:v>
                </c:pt>
                <c:pt idx="71">
                  <c:v>3.64383040220041</c:v>
                </c:pt>
                <c:pt idx="72">
                  <c:v>3.62077339804633</c:v>
                </c:pt>
                <c:pt idx="73">
                  <c:v>3.59687364248454</c:v>
                </c:pt>
                <c:pt idx="74">
                  <c:v>3.57211421989835</c:v>
                </c:pt>
                <c:pt idx="75">
                  <c:v>3.54647712526107</c:v>
                </c:pt>
                <c:pt idx="76">
                  <c:v>3.51994318135961</c:v>
                </c:pt>
              </c:numCache>
            </c:numRef>
          </c:yVal>
          <c:smooth val="1"/>
        </c:ser>
        <c:ser>
          <c:idx val="1"/>
          <c:order val="1"/>
          <c:spPr>
            <a:solidFill>
              <a:srgbClr val="ff00ff"/>
            </a:solidFill>
            <a:ln w="19080">
              <a:noFill/>
            </a:ln>
          </c:spPr>
          <c:marker>
            <c:symbol val="circle"/>
            <c:size val="7"/>
            <c:spPr>
              <a:solidFill>
                <a:srgbClr val="ff00ff"/>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'Orbit Shape Data'!$F$3:$F$79</c:f>
              <c:numCache>
                <c:formatCode>General</c:formatCode>
                <c:ptCount val="77"/>
                <c:pt idx="0">
                  <c:v>-1.9</c:v>
                </c:pt>
                <c:pt idx="1">
                  <c:v>-1.85</c:v>
                </c:pt>
                <c:pt idx="2">
                  <c:v>-1.8</c:v>
                </c:pt>
                <c:pt idx="3">
                  <c:v>-1.75</c:v>
                </c:pt>
                <c:pt idx="4">
                  <c:v>-1.7</c:v>
                </c:pt>
                <c:pt idx="5">
                  <c:v>-1.65</c:v>
                </c:pt>
                <c:pt idx="6">
                  <c:v>-1.6</c:v>
                </c:pt>
                <c:pt idx="7">
                  <c:v>-1.55</c:v>
                </c:pt>
                <c:pt idx="8">
                  <c:v>-1.5</c:v>
                </c:pt>
                <c:pt idx="9">
                  <c:v>-1.45</c:v>
                </c:pt>
                <c:pt idx="10">
                  <c:v>-1.4</c:v>
                </c:pt>
                <c:pt idx="11">
                  <c:v>-1.35</c:v>
                </c:pt>
                <c:pt idx="12">
                  <c:v>-1.3</c:v>
                </c:pt>
                <c:pt idx="13">
                  <c:v>-1.25</c:v>
                </c:pt>
                <c:pt idx="14">
                  <c:v>-1.2</c:v>
                </c:pt>
                <c:pt idx="15">
                  <c:v>-1.15</c:v>
                </c:pt>
                <c:pt idx="16">
                  <c:v>-1.1</c:v>
                </c:pt>
                <c:pt idx="17">
                  <c:v>-1.05</c:v>
                </c:pt>
                <c:pt idx="18">
                  <c:v>-0.999999999999999</c:v>
                </c:pt>
                <c:pt idx="19">
                  <c:v>-0.949999999999999</c:v>
                </c:pt>
                <c:pt idx="20">
                  <c:v>-0.899999999999999</c:v>
                </c:pt>
                <c:pt idx="21">
                  <c:v>-0.849999999999999</c:v>
                </c:pt>
                <c:pt idx="22">
                  <c:v>-0.799999999999999</c:v>
                </c:pt>
                <c:pt idx="23">
                  <c:v>-0.749999999999999</c:v>
                </c:pt>
                <c:pt idx="24">
                  <c:v>-0.699999999999999</c:v>
                </c:pt>
                <c:pt idx="25">
                  <c:v>-0.649999999999999</c:v>
                </c:pt>
                <c:pt idx="26">
                  <c:v>-0.599999999999999</c:v>
                </c:pt>
                <c:pt idx="27">
                  <c:v>-0.549999999999999</c:v>
                </c:pt>
                <c:pt idx="28">
                  <c:v>-0.499999999999999</c:v>
                </c:pt>
                <c:pt idx="29">
                  <c:v>-0.449999999999999</c:v>
                </c:pt>
                <c:pt idx="30">
                  <c:v>-0.399999999999999</c:v>
                </c:pt>
                <c:pt idx="31">
                  <c:v>-0.349999999999999</c:v>
                </c:pt>
                <c:pt idx="32">
                  <c:v>-0.299999999999999</c:v>
                </c:pt>
                <c:pt idx="33">
                  <c:v>-0.249999999999999</c:v>
                </c:pt>
                <c:pt idx="34">
                  <c:v>-0.199999999999999</c:v>
                </c:pt>
                <c:pt idx="35">
                  <c:v>-0.149999999999999</c:v>
                </c:pt>
                <c:pt idx="36">
                  <c:v>-0.0999999999999988</c:v>
                </c:pt>
                <c:pt idx="37">
                  <c:v>-0.0499999999999988</c:v>
                </c:pt>
                <c:pt idx="38">
                  <c:v>0</c:v>
                </c:pt>
                <c:pt idx="39">
                  <c:v>0.05</c:v>
                </c:pt>
                <c:pt idx="40">
                  <c:v>0.1</c:v>
                </c:pt>
                <c:pt idx="41">
                  <c:v>0.15</c:v>
                </c:pt>
                <c:pt idx="42">
                  <c:v>0.2</c:v>
                </c:pt>
                <c:pt idx="43">
                  <c:v>0.25</c:v>
                </c:pt>
                <c:pt idx="44">
                  <c:v>0.3</c:v>
                </c:pt>
                <c:pt idx="45">
                  <c:v>0.35</c:v>
                </c:pt>
                <c:pt idx="46">
                  <c:v>0.4</c:v>
                </c:pt>
                <c:pt idx="47">
                  <c:v>0.45</c:v>
                </c:pt>
                <c:pt idx="48">
                  <c:v>0.5</c:v>
                </c:pt>
                <c:pt idx="49">
                  <c:v>0.55</c:v>
                </c:pt>
                <c:pt idx="50">
                  <c:v>0.6</c:v>
                </c:pt>
                <c:pt idx="51">
                  <c:v>0.65</c:v>
                </c:pt>
                <c:pt idx="52">
                  <c:v>0.7</c:v>
                </c:pt>
                <c:pt idx="53">
                  <c:v>0.75</c:v>
                </c:pt>
                <c:pt idx="54">
                  <c:v>0.8</c:v>
                </c:pt>
                <c:pt idx="55">
                  <c:v>0.85</c:v>
                </c:pt>
                <c:pt idx="56">
                  <c:v>0.9</c:v>
                </c:pt>
                <c:pt idx="57">
                  <c:v>0.95</c:v>
                </c:pt>
                <c:pt idx="58">
                  <c:v>1</c:v>
                </c:pt>
                <c:pt idx="59">
                  <c:v>1.05</c:v>
                </c:pt>
                <c:pt idx="60">
                  <c:v>1.1</c:v>
                </c:pt>
                <c:pt idx="61">
                  <c:v>1.15</c:v>
                </c:pt>
                <c:pt idx="62">
                  <c:v>1.2</c:v>
                </c:pt>
                <c:pt idx="63">
                  <c:v>1.25</c:v>
                </c:pt>
                <c:pt idx="64">
                  <c:v>1.3</c:v>
                </c:pt>
                <c:pt idx="65">
                  <c:v>1.35</c:v>
                </c:pt>
                <c:pt idx="66">
                  <c:v>1.4</c:v>
                </c:pt>
                <c:pt idx="67">
                  <c:v>1.45</c:v>
                </c:pt>
                <c:pt idx="68">
                  <c:v>1.5</c:v>
                </c:pt>
                <c:pt idx="69">
                  <c:v>1.55</c:v>
                </c:pt>
                <c:pt idx="70">
                  <c:v>1.6</c:v>
                </c:pt>
                <c:pt idx="71">
                  <c:v>1.65</c:v>
                </c:pt>
                <c:pt idx="72">
                  <c:v>1.7</c:v>
                </c:pt>
                <c:pt idx="73">
                  <c:v>1.75</c:v>
                </c:pt>
                <c:pt idx="74">
                  <c:v>1.8</c:v>
                </c:pt>
                <c:pt idx="75">
                  <c:v>1.85</c:v>
                </c:pt>
                <c:pt idx="76">
                  <c:v>1.9</c:v>
                </c:pt>
              </c:numCache>
            </c:numRef>
          </c:xVal>
          <c:yVal>
            <c:numRef>
              <c:f>'Orbit Shape Data'!$E$3:$E$79</c:f>
              <c:numCache>
                <c:formatCode>General</c:formatCode>
                <c:ptCount val="77"/>
                <c:pt idx="0">
                  <c:v>3.57456291034303</c:v>
                </c:pt>
                <c:pt idx="1">
                  <c:v>3.6</c:v>
                </c:pt>
                <c:pt idx="2">
                  <c:v>3.62456893988789</c:v>
                </c:pt>
                <c:pt idx="3">
                  <c:v>3.64828726939094</c:v>
                </c:pt>
                <c:pt idx="4">
                  <c:v>3.67117147515613</c:v>
                </c:pt>
                <c:pt idx="5">
                  <c:v>3.69323706252388</c:v>
                </c:pt>
                <c:pt idx="6">
                  <c:v>3.71449862027165</c:v>
                </c:pt>
                <c:pt idx="7">
                  <c:v>3.73496987939662</c:v>
                </c:pt>
                <c:pt idx="8">
                  <c:v>3.75466376657085</c:v>
                </c:pt>
                <c:pt idx="9">
                  <c:v>3.77359245282264</c:v>
                </c:pt>
                <c:pt idx="10">
                  <c:v>3.79176739792936</c:v>
                </c:pt>
                <c:pt idx="11">
                  <c:v>3.80919939094818</c:v>
                </c:pt>
                <c:pt idx="12">
                  <c:v>3.82589858726025</c:v>
                </c:pt>
                <c:pt idx="13">
                  <c:v>3.84187454245971</c:v>
                </c:pt>
                <c:pt idx="14">
                  <c:v>3.85713624338057</c:v>
                </c:pt>
                <c:pt idx="15">
                  <c:v>3.87169213652119</c:v>
                </c:pt>
                <c:pt idx="16">
                  <c:v>3.88555015409659</c:v>
                </c:pt>
                <c:pt idx="17">
                  <c:v>3.89871773792359</c:v>
                </c:pt>
                <c:pt idx="18">
                  <c:v>3.91120186132089</c:v>
                </c:pt>
                <c:pt idx="19">
                  <c:v>3.92300904918661</c:v>
                </c:pt>
                <c:pt idx="20">
                  <c:v>3.93414539639805</c:v>
                </c:pt>
                <c:pt idx="21">
                  <c:v>3.9446165846632</c:v>
                </c:pt>
                <c:pt idx="22">
                  <c:v>3.95442789793922</c:v>
                </c:pt>
                <c:pt idx="23">
                  <c:v>3.96358423652128</c:v>
                </c:pt>
                <c:pt idx="24">
                  <c:v>3.97209012989383</c:v>
                </c:pt>
                <c:pt idx="25">
                  <c:v>3.97994974842648</c:v>
                </c:pt>
                <c:pt idx="26">
                  <c:v>3.98716691398793</c:v>
                </c:pt>
                <c:pt idx="27">
                  <c:v>3.99374510954317</c:v>
                </c:pt>
                <c:pt idx="28">
                  <c:v>3.99968748779202</c:v>
                </c:pt>
                <c:pt idx="29">
                  <c:v>4.00499687890016</c:v>
                </c:pt>
                <c:pt idx="30">
                  <c:v>4.00967579736816</c:v>
                </c:pt>
                <c:pt idx="31">
                  <c:v>4.0137264480779</c:v>
                </c:pt>
                <c:pt idx="32">
                  <c:v>4.01715073155091</c:v>
                </c:pt>
                <c:pt idx="33">
                  <c:v>4.01995024844836</c:v>
                </c:pt>
                <c:pt idx="34">
                  <c:v>4.02212630333758</c:v>
                </c:pt>
                <c:pt idx="35">
                  <c:v>4.02367990774614</c:v>
                </c:pt>
                <c:pt idx="36">
                  <c:v>4.02461178252015</c:v>
                </c:pt>
                <c:pt idx="37">
                  <c:v>4.02492235949962</c:v>
                </c:pt>
                <c:pt idx="38">
                  <c:v>4.02492235949962</c:v>
                </c:pt>
                <c:pt idx="39">
                  <c:v>4.02461178252015</c:v>
                </c:pt>
                <c:pt idx="40">
                  <c:v>4.02367990774614</c:v>
                </c:pt>
                <c:pt idx="41">
                  <c:v>4.02212630333758</c:v>
                </c:pt>
                <c:pt idx="42">
                  <c:v>4.01995024844836</c:v>
                </c:pt>
                <c:pt idx="43">
                  <c:v>4.01715073155091</c:v>
                </c:pt>
                <c:pt idx="44">
                  <c:v>4.0137264480779</c:v>
                </c:pt>
                <c:pt idx="45">
                  <c:v>4.00967579736816</c:v>
                </c:pt>
                <c:pt idx="46">
                  <c:v>4.00499687890016</c:v>
                </c:pt>
                <c:pt idx="47">
                  <c:v>3.99968748779202</c:v>
                </c:pt>
                <c:pt idx="48">
                  <c:v>3.99374510954317</c:v>
                </c:pt>
                <c:pt idx="49">
                  <c:v>3.98716691398793</c:v>
                </c:pt>
                <c:pt idx="50">
                  <c:v>3.97994974842648</c:v>
                </c:pt>
                <c:pt idx="51">
                  <c:v>3.97209012989383</c:v>
                </c:pt>
                <c:pt idx="52">
                  <c:v>3.96358423652128</c:v>
                </c:pt>
                <c:pt idx="53">
                  <c:v>3.95442789793922</c:v>
                </c:pt>
                <c:pt idx="54">
                  <c:v>3.9446165846632</c:v>
                </c:pt>
                <c:pt idx="55">
                  <c:v>3.93414539639805</c:v>
                </c:pt>
                <c:pt idx="56">
                  <c:v>3.92300904918661</c:v>
                </c:pt>
                <c:pt idx="57">
                  <c:v>3.91120186132089</c:v>
                </c:pt>
                <c:pt idx="58">
                  <c:v>3.89871773792359</c:v>
                </c:pt>
                <c:pt idx="59">
                  <c:v>3.88555015409659</c:v>
                </c:pt>
                <c:pt idx="60">
                  <c:v>3.87169213652119</c:v>
                </c:pt>
                <c:pt idx="61">
                  <c:v>3.85713624338057</c:v>
                </c:pt>
                <c:pt idx="62">
                  <c:v>3.84187454245971</c:v>
                </c:pt>
                <c:pt idx="63">
                  <c:v>3.82589858726025</c:v>
                </c:pt>
                <c:pt idx="64">
                  <c:v>3.80919939094818</c:v>
                </c:pt>
                <c:pt idx="65">
                  <c:v>3.79176739792936</c:v>
                </c:pt>
                <c:pt idx="66">
                  <c:v>3.77359245282264</c:v>
                </c:pt>
                <c:pt idx="67">
                  <c:v>3.75466376657085</c:v>
                </c:pt>
                <c:pt idx="68">
                  <c:v>3.73496987939662</c:v>
                </c:pt>
                <c:pt idx="69">
                  <c:v>3.71449862027165</c:v>
                </c:pt>
                <c:pt idx="70">
                  <c:v>3.69323706252388</c:v>
                </c:pt>
                <c:pt idx="71">
                  <c:v>3.67117147515613</c:v>
                </c:pt>
                <c:pt idx="72">
                  <c:v>3.64828726939094</c:v>
                </c:pt>
                <c:pt idx="73">
                  <c:v>3.62456893988789</c:v>
                </c:pt>
                <c:pt idx="74">
                  <c:v>3.6</c:v>
                </c:pt>
                <c:pt idx="75">
                  <c:v>3.57456291034302</c:v>
                </c:pt>
                <c:pt idx="76">
                  <c:v>3.54823899984203</c:v>
                </c:pt>
              </c:numCache>
            </c:numRef>
          </c:yVal>
          <c:smooth val="1"/>
        </c:ser>
        <c:axId val="1181211"/>
        <c:axId val="38499682"/>
      </c:scatterChart>
      <c:valAx>
        <c:axId val="1181211"/>
        <c:scaling>
          <c:orientation val="minMax"/>
          <c:max val="0.3"/>
        </c:scaling>
        <c:delete val="0"/>
        <c:axPos val="b"/>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38499682"/>
        <c:crosses val="autoZero"/>
        <c:crossBetween val="midCat"/>
      </c:valAx>
      <c:valAx>
        <c:axId val="38499682"/>
        <c:scaling>
          <c:orientation val="minMax"/>
          <c:max val="4.03"/>
        </c:scaling>
        <c:delete val="0"/>
        <c:axPos val="l"/>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1181211"/>
        <c:crosses val="autoZero"/>
        <c:crossBetween val="midCat"/>
      </c:valAx>
      <c:spPr>
        <a:noFill/>
        <a:ln w="0">
          <a:noFill/>
        </a:ln>
      </c:spPr>
    </c:plotArea>
    <c:plotVisOnly val="1"/>
    <c:dispBlanksAs val="zero"/>
  </c:chart>
  <c:spPr>
    <a:solidFill>
      <a:srgbClr val="969696"/>
    </a:solidFill>
    <a:ln w="9360">
      <a:solidFill>
        <a:srgbClr val="d9d9d9"/>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2200" strike="noStrike" u="none">
                <a:solidFill>
                  <a:srgbClr val="000000"/>
                </a:solidFill>
                <a:uFillTx/>
                <a:latin typeface="Arial"/>
                <a:ea typeface="Arial"/>
              </a:rPr>
              <a:t>Turnstyle Gain in RHCP and LHCP</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Patterns'!$D$99:$D$171</c:f>
              <c:numCache>
                <c:formatCode>0.0</c:formatCode>
                <c:ptCount val="73"/>
                <c:pt idx="0">
                  <c:v>2</c:v>
                </c:pt>
                <c:pt idx="1">
                  <c:v>1.98125</c:v>
                </c:pt>
                <c:pt idx="2">
                  <c:v>1.925</c:v>
                </c:pt>
                <c:pt idx="3">
                  <c:v>1.83125</c:v>
                </c:pt>
                <c:pt idx="4">
                  <c:v>1.7</c:v>
                </c:pt>
                <c:pt idx="5">
                  <c:v>1.53125</c:v>
                </c:pt>
                <c:pt idx="6">
                  <c:v>1.325</c:v>
                </c:pt>
                <c:pt idx="7">
                  <c:v>1.08125</c:v>
                </c:pt>
                <c:pt idx="8">
                  <c:v>0.8</c:v>
                </c:pt>
                <c:pt idx="9">
                  <c:v>0.48125</c:v>
                </c:pt>
                <c:pt idx="10">
                  <c:v>0.125</c:v>
                </c:pt>
                <c:pt idx="11">
                  <c:v>-0.26875</c:v>
                </c:pt>
                <c:pt idx="12">
                  <c:v>-0.7</c:v>
                </c:pt>
                <c:pt idx="13">
                  <c:v>-1.16875</c:v>
                </c:pt>
                <c:pt idx="14">
                  <c:v>-1.675</c:v>
                </c:pt>
                <c:pt idx="15">
                  <c:v>-2.21875</c:v>
                </c:pt>
                <c:pt idx="16">
                  <c:v>-2.8</c:v>
                </c:pt>
                <c:pt idx="17">
                  <c:v>-3.41875</c:v>
                </c:pt>
                <c:pt idx="18">
                  <c:v>-4.075</c:v>
                </c:pt>
                <c:pt idx="19">
                  <c:v>-4.76875</c:v>
                </c:pt>
                <c:pt idx="20">
                  <c:v>-5.5</c:v>
                </c:pt>
                <c:pt idx="21">
                  <c:v>-6.26875</c:v>
                </c:pt>
                <c:pt idx="22">
                  <c:v>-7.075</c:v>
                </c:pt>
                <c:pt idx="23">
                  <c:v>-7.91875</c:v>
                </c:pt>
                <c:pt idx="24">
                  <c:v>-8.8</c:v>
                </c:pt>
                <c:pt idx="25">
                  <c:v>-9.71875</c:v>
                </c:pt>
                <c:pt idx="26">
                  <c:v>-10.675</c:v>
                </c:pt>
                <c:pt idx="27">
                  <c:v>-11.66875</c:v>
                </c:pt>
                <c:pt idx="28">
                  <c:v>-12.7</c:v>
                </c:pt>
                <c:pt idx="29">
                  <c:v>-13.76875</c:v>
                </c:pt>
                <c:pt idx="30">
                  <c:v>-14.875</c:v>
                </c:pt>
                <c:pt idx="31">
                  <c:v>-16.01875</c:v>
                </c:pt>
                <c:pt idx="32">
                  <c:v>-17.2</c:v>
                </c:pt>
                <c:pt idx="33">
                  <c:v>-18.41875</c:v>
                </c:pt>
                <c:pt idx="34">
                  <c:v>-19.675</c:v>
                </c:pt>
                <c:pt idx="35">
                  <c:v>-20.96875</c:v>
                </c:pt>
                <c:pt idx="36">
                  <c:v>-22.3</c:v>
                </c:pt>
                <c:pt idx="37">
                  <c:v>-20.96875</c:v>
                </c:pt>
                <c:pt idx="38">
                  <c:v>-19.675</c:v>
                </c:pt>
                <c:pt idx="39">
                  <c:v>-18.41875</c:v>
                </c:pt>
                <c:pt idx="40">
                  <c:v>-17.2</c:v>
                </c:pt>
                <c:pt idx="41">
                  <c:v>-16.01875</c:v>
                </c:pt>
                <c:pt idx="42">
                  <c:v>-14.875</c:v>
                </c:pt>
                <c:pt idx="43">
                  <c:v>-13.76875</c:v>
                </c:pt>
                <c:pt idx="44">
                  <c:v>-12.7</c:v>
                </c:pt>
                <c:pt idx="45">
                  <c:v>-11.66875</c:v>
                </c:pt>
                <c:pt idx="46">
                  <c:v>-10.675</c:v>
                </c:pt>
                <c:pt idx="47">
                  <c:v>-9.71875</c:v>
                </c:pt>
                <c:pt idx="48">
                  <c:v>-8.8</c:v>
                </c:pt>
                <c:pt idx="49">
                  <c:v>-7.91875</c:v>
                </c:pt>
                <c:pt idx="50">
                  <c:v>-7.075</c:v>
                </c:pt>
                <c:pt idx="51">
                  <c:v>-6.26875</c:v>
                </c:pt>
                <c:pt idx="52">
                  <c:v>-5.5</c:v>
                </c:pt>
                <c:pt idx="53">
                  <c:v>-4.76875</c:v>
                </c:pt>
                <c:pt idx="54">
                  <c:v>-4.075</c:v>
                </c:pt>
                <c:pt idx="55">
                  <c:v>-3.41875</c:v>
                </c:pt>
                <c:pt idx="56">
                  <c:v>-2.8</c:v>
                </c:pt>
                <c:pt idx="57">
                  <c:v>-2.21875</c:v>
                </c:pt>
                <c:pt idx="58">
                  <c:v>-1.675</c:v>
                </c:pt>
                <c:pt idx="59">
                  <c:v>-1.16875</c:v>
                </c:pt>
                <c:pt idx="60">
                  <c:v>-0.7</c:v>
                </c:pt>
                <c:pt idx="61">
                  <c:v>-0.26875</c:v>
                </c:pt>
                <c:pt idx="62">
                  <c:v>0.125</c:v>
                </c:pt>
                <c:pt idx="63">
                  <c:v>0.48125</c:v>
                </c:pt>
                <c:pt idx="64">
                  <c:v>0.8</c:v>
                </c:pt>
                <c:pt idx="65">
                  <c:v>1.08125</c:v>
                </c:pt>
                <c:pt idx="66">
                  <c:v>1.325</c:v>
                </c:pt>
                <c:pt idx="67">
                  <c:v>1.53125</c:v>
                </c:pt>
                <c:pt idx="68">
                  <c:v>1.7</c:v>
                </c:pt>
                <c:pt idx="69">
                  <c:v>1.83125</c:v>
                </c:pt>
                <c:pt idx="70">
                  <c:v>1.925</c:v>
                </c:pt>
                <c:pt idx="71">
                  <c:v>1.98125</c:v>
                </c:pt>
                <c:pt idx="72">
                  <c:v>2</c:v>
                </c:pt>
              </c:numCache>
            </c:numRef>
          </c:val>
        </c:ser>
        <c:ser>
          <c:idx val="1"/>
          <c:order val="1"/>
          <c:spPr>
            <a:solidFill>
              <a:srgbClr val="c0504d"/>
            </a:solidFill>
            <a:ln w="19080">
              <a:solidFill>
                <a:srgbClr val="c0504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Patterns'!$E$99:$E$171</c:f>
              <c:numCache>
                <c:formatCode>0.0</c:formatCode>
                <c:ptCount val="73"/>
                <c:pt idx="0">
                  <c:v>-23.8</c:v>
                </c:pt>
                <c:pt idx="1">
                  <c:v>-22.46875</c:v>
                </c:pt>
                <c:pt idx="2">
                  <c:v>-21.175</c:v>
                </c:pt>
                <c:pt idx="3">
                  <c:v>-19.91875</c:v>
                </c:pt>
                <c:pt idx="4">
                  <c:v>-18.7</c:v>
                </c:pt>
                <c:pt idx="5">
                  <c:v>-17.51875</c:v>
                </c:pt>
                <c:pt idx="6">
                  <c:v>-16.375</c:v>
                </c:pt>
                <c:pt idx="7">
                  <c:v>-15.26875</c:v>
                </c:pt>
                <c:pt idx="8">
                  <c:v>-14.2</c:v>
                </c:pt>
                <c:pt idx="9">
                  <c:v>-13.16875</c:v>
                </c:pt>
                <c:pt idx="10">
                  <c:v>-12.175</c:v>
                </c:pt>
                <c:pt idx="11">
                  <c:v>-11.21875</c:v>
                </c:pt>
                <c:pt idx="12">
                  <c:v>-10.3</c:v>
                </c:pt>
                <c:pt idx="13">
                  <c:v>-9.41875</c:v>
                </c:pt>
                <c:pt idx="14">
                  <c:v>-8.575</c:v>
                </c:pt>
                <c:pt idx="15">
                  <c:v>-7.76875</c:v>
                </c:pt>
                <c:pt idx="16">
                  <c:v>-7</c:v>
                </c:pt>
                <c:pt idx="17">
                  <c:v>-6.26875</c:v>
                </c:pt>
                <c:pt idx="18">
                  <c:v>-5.575</c:v>
                </c:pt>
                <c:pt idx="19">
                  <c:v>-4.91875</c:v>
                </c:pt>
                <c:pt idx="20">
                  <c:v>-4.3</c:v>
                </c:pt>
                <c:pt idx="21">
                  <c:v>-3.71875</c:v>
                </c:pt>
                <c:pt idx="22">
                  <c:v>-3.175</c:v>
                </c:pt>
                <c:pt idx="23">
                  <c:v>-2.66875</c:v>
                </c:pt>
                <c:pt idx="24">
                  <c:v>-2.2</c:v>
                </c:pt>
                <c:pt idx="25">
                  <c:v>-1.76875</c:v>
                </c:pt>
                <c:pt idx="26">
                  <c:v>-1.375</c:v>
                </c:pt>
                <c:pt idx="27">
                  <c:v>-1.01875</c:v>
                </c:pt>
                <c:pt idx="28">
                  <c:v>-0.7</c:v>
                </c:pt>
                <c:pt idx="29">
                  <c:v>-0.41875</c:v>
                </c:pt>
                <c:pt idx="30">
                  <c:v>-0.175</c:v>
                </c:pt>
                <c:pt idx="31">
                  <c:v>0.03125</c:v>
                </c:pt>
                <c:pt idx="32">
                  <c:v>0.2</c:v>
                </c:pt>
                <c:pt idx="33">
                  <c:v>0.33125</c:v>
                </c:pt>
                <c:pt idx="34">
                  <c:v>0.425</c:v>
                </c:pt>
                <c:pt idx="35">
                  <c:v>0.48125</c:v>
                </c:pt>
                <c:pt idx="36">
                  <c:v>0.5</c:v>
                </c:pt>
                <c:pt idx="37">
                  <c:v>0.48125</c:v>
                </c:pt>
                <c:pt idx="38">
                  <c:v>0.425</c:v>
                </c:pt>
                <c:pt idx="39">
                  <c:v>0.33125</c:v>
                </c:pt>
                <c:pt idx="40">
                  <c:v>0.2</c:v>
                </c:pt>
                <c:pt idx="41">
                  <c:v>0.03125</c:v>
                </c:pt>
                <c:pt idx="42">
                  <c:v>-0.175</c:v>
                </c:pt>
                <c:pt idx="43">
                  <c:v>-0.41875</c:v>
                </c:pt>
                <c:pt idx="44">
                  <c:v>-0.7</c:v>
                </c:pt>
                <c:pt idx="45">
                  <c:v>-1.01875</c:v>
                </c:pt>
                <c:pt idx="46">
                  <c:v>-1.375</c:v>
                </c:pt>
                <c:pt idx="47">
                  <c:v>-1.76875</c:v>
                </c:pt>
                <c:pt idx="48">
                  <c:v>-2.2</c:v>
                </c:pt>
                <c:pt idx="49">
                  <c:v>-2.66875</c:v>
                </c:pt>
                <c:pt idx="50">
                  <c:v>-3.175</c:v>
                </c:pt>
                <c:pt idx="51">
                  <c:v>-3.71875</c:v>
                </c:pt>
                <c:pt idx="52">
                  <c:v>-4.3</c:v>
                </c:pt>
                <c:pt idx="53">
                  <c:v>-4.91875</c:v>
                </c:pt>
                <c:pt idx="54">
                  <c:v>-5.575</c:v>
                </c:pt>
                <c:pt idx="55">
                  <c:v>-6.26875</c:v>
                </c:pt>
                <c:pt idx="56">
                  <c:v>-7</c:v>
                </c:pt>
                <c:pt idx="57">
                  <c:v>-7.76875</c:v>
                </c:pt>
                <c:pt idx="58">
                  <c:v>-8.575</c:v>
                </c:pt>
                <c:pt idx="59">
                  <c:v>-9.41875</c:v>
                </c:pt>
                <c:pt idx="60">
                  <c:v>-10.3</c:v>
                </c:pt>
                <c:pt idx="61">
                  <c:v>-11.21875</c:v>
                </c:pt>
                <c:pt idx="62">
                  <c:v>-12.175</c:v>
                </c:pt>
                <c:pt idx="63">
                  <c:v>-13.16875</c:v>
                </c:pt>
                <c:pt idx="64">
                  <c:v>-14.2</c:v>
                </c:pt>
                <c:pt idx="65">
                  <c:v>-15.26875</c:v>
                </c:pt>
                <c:pt idx="66">
                  <c:v>-16.375</c:v>
                </c:pt>
                <c:pt idx="67">
                  <c:v>-17.51875</c:v>
                </c:pt>
                <c:pt idx="68">
                  <c:v>-18.7</c:v>
                </c:pt>
                <c:pt idx="69">
                  <c:v>-19.91875</c:v>
                </c:pt>
                <c:pt idx="70">
                  <c:v>-21.175</c:v>
                </c:pt>
                <c:pt idx="71">
                  <c:v>-22.46875</c:v>
                </c:pt>
                <c:pt idx="72">
                  <c:v>-23.8</c:v>
                </c:pt>
              </c:numCache>
            </c:numRef>
          </c:val>
        </c:ser>
        <c:axId val="472865"/>
        <c:axId val="30663290"/>
      </c:radarChart>
      <c:catAx>
        <c:axId val="472865"/>
        <c:scaling>
          <c:orientation val="minMax"/>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30663290"/>
        <c:crosses val="autoZero"/>
        <c:auto val="1"/>
        <c:lblAlgn val="ctr"/>
        <c:lblOffset val="100"/>
        <c:noMultiLvlLbl val="0"/>
      </c:catAx>
      <c:valAx>
        <c:axId val="30663290"/>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472865"/>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9999ff"/>
    </a:solidFill>
    <a:ln w="9360">
      <a:solidFill>
        <a:srgbClr val="d9d9d9"/>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0" sz="1900" strike="noStrike" u="none">
                <a:solidFill>
                  <a:srgbClr val="000000"/>
                </a:solidFill>
                <a:uFillTx/>
                <a:latin typeface="Arial"/>
                <a:ea typeface="Arial"/>
              </a:rPr>
              <a:t>Turnstyle Gain in RHCP and LHCP
- Elevation Plot -</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Patterns'!$D$99:$D$171</c:f>
              <c:numCache>
                <c:formatCode>0.0</c:formatCode>
                <c:ptCount val="73"/>
                <c:pt idx="0">
                  <c:v>2</c:v>
                </c:pt>
                <c:pt idx="1">
                  <c:v>1.98125</c:v>
                </c:pt>
                <c:pt idx="2">
                  <c:v>1.925</c:v>
                </c:pt>
                <c:pt idx="3">
                  <c:v>1.83125</c:v>
                </c:pt>
                <c:pt idx="4">
                  <c:v>1.7</c:v>
                </c:pt>
                <c:pt idx="5">
                  <c:v>1.53125</c:v>
                </c:pt>
                <c:pt idx="6">
                  <c:v>1.325</c:v>
                </c:pt>
                <c:pt idx="7">
                  <c:v>1.08125</c:v>
                </c:pt>
                <c:pt idx="8">
                  <c:v>0.8</c:v>
                </c:pt>
                <c:pt idx="9">
                  <c:v>0.48125</c:v>
                </c:pt>
                <c:pt idx="10">
                  <c:v>0.125</c:v>
                </c:pt>
                <c:pt idx="11">
                  <c:v>-0.26875</c:v>
                </c:pt>
                <c:pt idx="12">
                  <c:v>-0.7</c:v>
                </c:pt>
                <c:pt idx="13">
                  <c:v>-1.16875</c:v>
                </c:pt>
                <c:pt idx="14">
                  <c:v>-1.675</c:v>
                </c:pt>
                <c:pt idx="15">
                  <c:v>-2.21875</c:v>
                </c:pt>
                <c:pt idx="16">
                  <c:v>-2.8</c:v>
                </c:pt>
                <c:pt idx="17">
                  <c:v>-3.41875</c:v>
                </c:pt>
                <c:pt idx="18">
                  <c:v>-4.075</c:v>
                </c:pt>
                <c:pt idx="19">
                  <c:v>-4.76875</c:v>
                </c:pt>
                <c:pt idx="20">
                  <c:v>-5.5</c:v>
                </c:pt>
                <c:pt idx="21">
                  <c:v>-6.26875</c:v>
                </c:pt>
                <c:pt idx="22">
                  <c:v>-7.075</c:v>
                </c:pt>
                <c:pt idx="23">
                  <c:v>-7.91875</c:v>
                </c:pt>
                <c:pt idx="24">
                  <c:v>-8.8</c:v>
                </c:pt>
                <c:pt idx="25">
                  <c:v>-9.71875</c:v>
                </c:pt>
                <c:pt idx="26">
                  <c:v>-10.675</c:v>
                </c:pt>
                <c:pt idx="27">
                  <c:v>-11.66875</c:v>
                </c:pt>
                <c:pt idx="28">
                  <c:v>-12.7</c:v>
                </c:pt>
                <c:pt idx="29">
                  <c:v>-13.76875</c:v>
                </c:pt>
                <c:pt idx="30">
                  <c:v>-14.875</c:v>
                </c:pt>
                <c:pt idx="31">
                  <c:v>-16.01875</c:v>
                </c:pt>
                <c:pt idx="32">
                  <c:v>-17.2</c:v>
                </c:pt>
                <c:pt idx="33">
                  <c:v>-18.41875</c:v>
                </c:pt>
                <c:pt idx="34">
                  <c:v>-19.675</c:v>
                </c:pt>
                <c:pt idx="35">
                  <c:v>-20.96875</c:v>
                </c:pt>
                <c:pt idx="36">
                  <c:v>-22.3</c:v>
                </c:pt>
                <c:pt idx="37">
                  <c:v>-20.96875</c:v>
                </c:pt>
                <c:pt idx="38">
                  <c:v>-19.675</c:v>
                </c:pt>
                <c:pt idx="39">
                  <c:v>-18.41875</c:v>
                </c:pt>
                <c:pt idx="40">
                  <c:v>-17.2</c:v>
                </c:pt>
                <c:pt idx="41">
                  <c:v>-16.01875</c:v>
                </c:pt>
                <c:pt idx="42">
                  <c:v>-14.875</c:v>
                </c:pt>
                <c:pt idx="43">
                  <c:v>-13.76875</c:v>
                </c:pt>
                <c:pt idx="44">
                  <c:v>-12.7</c:v>
                </c:pt>
                <c:pt idx="45">
                  <c:v>-11.66875</c:v>
                </c:pt>
                <c:pt idx="46">
                  <c:v>-10.675</c:v>
                </c:pt>
                <c:pt idx="47">
                  <c:v>-9.71875</c:v>
                </c:pt>
                <c:pt idx="48">
                  <c:v>-8.8</c:v>
                </c:pt>
                <c:pt idx="49">
                  <c:v>-7.91875</c:v>
                </c:pt>
                <c:pt idx="50">
                  <c:v>-7.075</c:v>
                </c:pt>
                <c:pt idx="51">
                  <c:v>-6.26875</c:v>
                </c:pt>
                <c:pt idx="52">
                  <c:v>-5.5</c:v>
                </c:pt>
                <c:pt idx="53">
                  <c:v>-4.76875</c:v>
                </c:pt>
                <c:pt idx="54">
                  <c:v>-4.075</c:v>
                </c:pt>
                <c:pt idx="55">
                  <c:v>-3.41875</c:v>
                </c:pt>
                <c:pt idx="56">
                  <c:v>-2.8</c:v>
                </c:pt>
                <c:pt idx="57">
                  <c:v>-2.21875</c:v>
                </c:pt>
                <c:pt idx="58">
                  <c:v>-1.675</c:v>
                </c:pt>
                <c:pt idx="59">
                  <c:v>-1.16875</c:v>
                </c:pt>
                <c:pt idx="60">
                  <c:v>-0.7</c:v>
                </c:pt>
                <c:pt idx="61">
                  <c:v>-0.26875</c:v>
                </c:pt>
                <c:pt idx="62">
                  <c:v>0.125</c:v>
                </c:pt>
                <c:pt idx="63">
                  <c:v>0.48125</c:v>
                </c:pt>
                <c:pt idx="64">
                  <c:v>0.8</c:v>
                </c:pt>
                <c:pt idx="65">
                  <c:v>1.08125</c:v>
                </c:pt>
                <c:pt idx="66">
                  <c:v>1.325</c:v>
                </c:pt>
                <c:pt idx="67">
                  <c:v>1.53125</c:v>
                </c:pt>
                <c:pt idx="68">
                  <c:v>1.7</c:v>
                </c:pt>
                <c:pt idx="69">
                  <c:v>1.83125</c:v>
                </c:pt>
                <c:pt idx="70">
                  <c:v>1.925</c:v>
                </c:pt>
                <c:pt idx="71">
                  <c:v>1.98125</c:v>
                </c:pt>
                <c:pt idx="72">
                  <c:v>2</c:v>
                </c:pt>
              </c:numCache>
            </c:numRef>
          </c:val>
        </c:ser>
        <c:ser>
          <c:idx val="1"/>
          <c:order val="1"/>
          <c:spPr>
            <a:solidFill>
              <a:srgbClr val="c0504d"/>
            </a:solidFill>
            <a:ln w="19080">
              <a:solidFill>
                <a:srgbClr val="c0504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Patterns'!$C$99:$C$170</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Patterns'!$E$99:$E$171</c:f>
              <c:numCache>
                <c:formatCode>0.0</c:formatCode>
                <c:ptCount val="73"/>
                <c:pt idx="0">
                  <c:v>-23.8</c:v>
                </c:pt>
                <c:pt idx="1">
                  <c:v>-22.46875</c:v>
                </c:pt>
                <c:pt idx="2">
                  <c:v>-21.175</c:v>
                </c:pt>
                <c:pt idx="3">
                  <c:v>-19.91875</c:v>
                </c:pt>
                <c:pt idx="4">
                  <c:v>-18.7</c:v>
                </c:pt>
                <c:pt idx="5">
                  <c:v>-17.51875</c:v>
                </c:pt>
                <c:pt idx="6">
                  <c:v>-16.375</c:v>
                </c:pt>
                <c:pt idx="7">
                  <c:v>-15.26875</c:v>
                </c:pt>
                <c:pt idx="8">
                  <c:v>-14.2</c:v>
                </c:pt>
                <c:pt idx="9">
                  <c:v>-13.16875</c:v>
                </c:pt>
                <c:pt idx="10">
                  <c:v>-12.175</c:v>
                </c:pt>
                <c:pt idx="11">
                  <c:v>-11.21875</c:v>
                </c:pt>
                <c:pt idx="12">
                  <c:v>-10.3</c:v>
                </c:pt>
                <c:pt idx="13">
                  <c:v>-9.41875</c:v>
                </c:pt>
                <c:pt idx="14">
                  <c:v>-8.575</c:v>
                </c:pt>
                <c:pt idx="15">
                  <c:v>-7.76875</c:v>
                </c:pt>
                <c:pt idx="16">
                  <c:v>-7</c:v>
                </c:pt>
                <c:pt idx="17">
                  <c:v>-6.26875</c:v>
                </c:pt>
                <c:pt idx="18">
                  <c:v>-5.575</c:v>
                </c:pt>
                <c:pt idx="19">
                  <c:v>-4.91875</c:v>
                </c:pt>
                <c:pt idx="20">
                  <c:v>-4.3</c:v>
                </c:pt>
                <c:pt idx="21">
                  <c:v>-3.71875</c:v>
                </c:pt>
                <c:pt idx="22">
                  <c:v>-3.175</c:v>
                </c:pt>
                <c:pt idx="23">
                  <c:v>-2.66875</c:v>
                </c:pt>
                <c:pt idx="24">
                  <c:v>-2.2</c:v>
                </c:pt>
                <c:pt idx="25">
                  <c:v>-1.76875</c:v>
                </c:pt>
                <c:pt idx="26">
                  <c:v>-1.375</c:v>
                </c:pt>
                <c:pt idx="27">
                  <c:v>-1.01875</c:v>
                </c:pt>
                <c:pt idx="28">
                  <c:v>-0.7</c:v>
                </c:pt>
                <c:pt idx="29">
                  <c:v>-0.41875</c:v>
                </c:pt>
                <c:pt idx="30">
                  <c:v>-0.175</c:v>
                </c:pt>
                <c:pt idx="31">
                  <c:v>0.03125</c:v>
                </c:pt>
                <c:pt idx="32">
                  <c:v>0.2</c:v>
                </c:pt>
                <c:pt idx="33">
                  <c:v>0.33125</c:v>
                </c:pt>
                <c:pt idx="34">
                  <c:v>0.425</c:v>
                </c:pt>
                <c:pt idx="35">
                  <c:v>0.48125</c:v>
                </c:pt>
                <c:pt idx="36">
                  <c:v>0.5</c:v>
                </c:pt>
                <c:pt idx="37">
                  <c:v>0.48125</c:v>
                </c:pt>
                <c:pt idx="38">
                  <c:v>0.425</c:v>
                </c:pt>
                <c:pt idx="39">
                  <c:v>0.33125</c:v>
                </c:pt>
                <c:pt idx="40">
                  <c:v>0.2</c:v>
                </c:pt>
                <c:pt idx="41">
                  <c:v>0.03125</c:v>
                </c:pt>
                <c:pt idx="42">
                  <c:v>-0.175</c:v>
                </c:pt>
                <c:pt idx="43">
                  <c:v>-0.41875</c:v>
                </c:pt>
                <c:pt idx="44">
                  <c:v>-0.7</c:v>
                </c:pt>
                <c:pt idx="45">
                  <c:v>-1.01875</c:v>
                </c:pt>
                <c:pt idx="46">
                  <c:v>-1.375</c:v>
                </c:pt>
                <c:pt idx="47">
                  <c:v>-1.76875</c:v>
                </c:pt>
                <c:pt idx="48">
                  <c:v>-2.2</c:v>
                </c:pt>
                <c:pt idx="49">
                  <c:v>-2.66875</c:v>
                </c:pt>
                <c:pt idx="50">
                  <c:v>-3.175</c:v>
                </c:pt>
                <c:pt idx="51">
                  <c:v>-3.71875</c:v>
                </c:pt>
                <c:pt idx="52">
                  <c:v>-4.3</c:v>
                </c:pt>
                <c:pt idx="53">
                  <c:v>-4.91875</c:v>
                </c:pt>
                <c:pt idx="54">
                  <c:v>-5.575</c:v>
                </c:pt>
                <c:pt idx="55">
                  <c:v>-6.26875</c:v>
                </c:pt>
                <c:pt idx="56">
                  <c:v>-7</c:v>
                </c:pt>
                <c:pt idx="57">
                  <c:v>-7.76875</c:v>
                </c:pt>
                <c:pt idx="58">
                  <c:v>-8.575</c:v>
                </c:pt>
                <c:pt idx="59">
                  <c:v>-9.41875</c:v>
                </c:pt>
                <c:pt idx="60">
                  <c:v>-10.3</c:v>
                </c:pt>
                <c:pt idx="61">
                  <c:v>-11.21875</c:v>
                </c:pt>
                <c:pt idx="62">
                  <c:v>-12.175</c:v>
                </c:pt>
                <c:pt idx="63">
                  <c:v>-13.16875</c:v>
                </c:pt>
                <c:pt idx="64">
                  <c:v>-14.2</c:v>
                </c:pt>
                <c:pt idx="65">
                  <c:v>-15.26875</c:v>
                </c:pt>
                <c:pt idx="66">
                  <c:v>-16.375</c:v>
                </c:pt>
                <c:pt idx="67">
                  <c:v>-17.51875</c:v>
                </c:pt>
                <c:pt idx="68">
                  <c:v>-18.7</c:v>
                </c:pt>
                <c:pt idx="69">
                  <c:v>-19.91875</c:v>
                </c:pt>
                <c:pt idx="70">
                  <c:v>-21.175</c:v>
                </c:pt>
                <c:pt idx="71">
                  <c:v>-22.46875</c:v>
                </c:pt>
                <c:pt idx="72">
                  <c:v>-23.8</c:v>
                </c:pt>
              </c:numCache>
            </c:numRef>
          </c:val>
        </c:ser>
        <c:axId val="1261202"/>
        <c:axId val="18464092"/>
      </c:radarChart>
      <c:catAx>
        <c:axId val="1261202"/>
        <c:scaling>
          <c:orientation val="minMax"/>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18464092"/>
        <c:crosses val="autoZero"/>
        <c:auto val="1"/>
        <c:lblAlgn val="ctr"/>
        <c:lblOffset val="100"/>
        <c:noMultiLvlLbl val="0"/>
      </c:catAx>
      <c:valAx>
        <c:axId val="18464092"/>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1261202"/>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9999ff"/>
    </a:solidFill>
    <a:ln w="9360">
      <a:solidFill>
        <a:srgbClr val="d9d9d9"/>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1800" strike="noStrike" u="none">
                <a:solidFill>
                  <a:srgbClr val="000000"/>
                </a:solidFill>
                <a:uFillTx/>
                <a:latin typeface="Arial"/>
                <a:ea typeface="Arial"/>
              </a:rPr>
              <a:t>Patch Antenna Gain </a:t>
            </a:r>
          </a:p>
        </c:rich>
      </c:tx>
      <c:overlay val="0"/>
      <c:spPr>
        <a:noFill/>
        <a:ln w="0">
          <a:noFill/>
        </a:ln>
      </c:spPr>
    </c:title>
    <c:autoTitleDeleted val="0"/>
    <c:plotArea>
      <c:radarChart>
        <c:radarStyle val="marker"/>
        <c:varyColors val="0"/>
        <c:ser>
          <c:idx val="0"/>
          <c:order val="0"/>
          <c:spPr>
            <a:solidFill>
              <a:srgbClr val="4f81bd"/>
            </a:solidFill>
            <a:ln w="19080">
              <a:solidFill>
                <a:srgbClr val="4f81bd"/>
              </a:solidFill>
              <a:round/>
            </a:ln>
          </c:spPr>
          <c:marker>
            <c:symbol val="none"/>
          </c:marker>
          <c:dLbls>
            <c:txPr>
              <a:bodyPr wrap="none"/>
              <a:lstStyle/>
              <a:p>
                <a:pPr>
                  <a:defRPr b="0" sz="1000" strike="noStrike" u="none">
                    <a:solidFill>
                      <a:srgbClr val="000000"/>
                    </a:solidFill>
                    <a:uFillTx/>
                    <a:latin typeface="Arial"/>
                    <a:ea typeface="Arial"/>
                  </a:defRPr>
                </a:pPr>
              </a:p>
            </c:txP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cat>
            <c:strRef>
              <c:f>'Antenna Patterns'!$C$216:$C$287</c:f>
              <c:strCache>
                <c:ptCount val="7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pt idx="51">
                  <c:v>255</c:v>
                </c:pt>
                <c:pt idx="52">
                  <c:v>260</c:v>
                </c:pt>
                <c:pt idx="53">
                  <c:v>265</c:v>
                </c:pt>
                <c:pt idx="54">
                  <c:v>270</c:v>
                </c:pt>
                <c:pt idx="55">
                  <c:v>275</c:v>
                </c:pt>
                <c:pt idx="56">
                  <c:v>280</c:v>
                </c:pt>
                <c:pt idx="57">
                  <c:v>285</c:v>
                </c:pt>
                <c:pt idx="58">
                  <c:v>290</c:v>
                </c:pt>
                <c:pt idx="59">
                  <c:v>295</c:v>
                </c:pt>
                <c:pt idx="60">
                  <c:v>300</c:v>
                </c:pt>
                <c:pt idx="61">
                  <c:v>305</c:v>
                </c:pt>
                <c:pt idx="62">
                  <c:v>310</c:v>
                </c:pt>
                <c:pt idx="63">
                  <c:v>315</c:v>
                </c:pt>
                <c:pt idx="64">
                  <c:v>320</c:v>
                </c:pt>
                <c:pt idx="65">
                  <c:v>325</c:v>
                </c:pt>
                <c:pt idx="66">
                  <c:v>330</c:v>
                </c:pt>
                <c:pt idx="67">
                  <c:v>335</c:v>
                </c:pt>
                <c:pt idx="68">
                  <c:v>340</c:v>
                </c:pt>
                <c:pt idx="69">
                  <c:v>345</c:v>
                </c:pt>
                <c:pt idx="70">
                  <c:v>350</c:v>
                </c:pt>
                <c:pt idx="71">
                  <c:v>355</c:v>
                </c:pt>
              </c:strCache>
            </c:strRef>
          </c:cat>
          <c:val>
            <c:numRef>
              <c:f>'Antenna Patterns'!$D$216:$D$287</c:f>
              <c:numCache>
                <c:formatCode>0.0</c:formatCode>
                <c:ptCount val="72"/>
                <c:pt idx="0">
                  <c:v>6.0000048287004</c:v>
                </c:pt>
                <c:pt idx="1">
                  <c:v>5.96534473493824</c:v>
                </c:pt>
                <c:pt idx="2">
                  <c:v>5.86103078844933</c:v>
                </c:pt>
                <c:pt idx="3">
                  <c:v>5.68604567511034</c:v>
                </c:pt>
                <c:pt idx="4">
                  <c:v>5.43864063420619</c:v>
                </c:pt>
                <c:pt idx="5">
                  <c:v>5.11624967347159</c:v>
                </c:pt>
                <c:pt idx="6">
                  <c:v>4.71535646446191</c:v>
                </c:pt>
                <c:pt idx="7">
                  <c:v>4.23129787992015</c:v>
                </c:pt>
                <c:pt idx="8">
                  <c:v>3.65797816520126</c:v>
                </c:pt>
                <c:pt idx="9">
                  <c:v>2.98745135255591</c:v>
                </c:pt>
                <c:pt idx="10">
                  <c:v>2.209301246348</c:v>
                </c:pt>
                <c:pt idx="11">
                  <c:v>1.30969706232094</c:v>
                </c:pt>
                <c:pt idx="12">
                  <c:v>0.269904900649277</c:v>
                </c:pt>
                <c:pt idx="13">
                  <c:v>-0.936163627741855</c:v>
                </c:pt>
                <c:pt idx="14">
                  <c:v>-2.34621909600655</c:v>
                </c:pt>
                <c:pt idx="15">
                  <c:v>-4.01757343051761</c:v>
                </c:pt>
                <c:pt idx="16">
                  <c:v>-6.04353310707954</c:v>
                </c:pt>
                <c:pt idx="17">
                  <c:v>-8.59177890144453</c:v>
                </c:pt>
                <c:pt idx="18">
                  <c:v>-12.0136200011736</c:v>
                </c:pt>
                <c:pt idx="19">
                  <c:v>-17.2797439732173</c:v>
                </c:pt>
                <c:pt idx="20">
                  <c:v>-30.156464421918</c:v>
                </c:pt>
                <c:pt idx="21">
                  <c:v>-23.7019734054069</c:v>
                </c:pt>
                <c:pt idx="22">
                  <c:v>-16.3970905011324</c:v>
                </c:pt>
                <c:pt idx="23">
                  <c:v>-12.8959518749307</c:v>
                </c:pt>
                <c:pt idx="24">
                  <c:v>-10.7434932200076</c:v>
                </c:pt>
                <c:pt idx="25">
                  <c:v>-9.31312388349205</c:v>
                </c:pt>
                <c:pt idx="26">
                  <c:v>-8.35053607017271</c:v>
                </c:pt>
                <c:pt idx="27">
                  <c:v>-7.72931642785516</c:v>
                </c:pt>
                <c:pt idx="28">
                  <c:v>-7.37971893504547</c:v>
                </c:pt>
                <c:pt idx="29">
                  <c:v>-7.26172872074141</c:v>
                </c:pt>
                <c:pt idx="30">
                  <c:v>-7.35329727919447</c:v>
                </c:pt>
                <c:pt idx="31">
                  <c:v>-7.64494344304176</c:v>
                </c:pt>
                <c:pt idx="32">
                  <c:v>-8.13761496099577</c:v>
                </c:pt>
                <c:pt idx="33">
                  <c:v>-8.84276461181656</c:v>
                </c:pt>
                <c:pt idx="34">
                  <c:v>-9.78467257583358</c:v>
                </c:pt>
                <c:pt idx="35">
                  <c:v>-11.0061519190342</c:v>
                </c:pt>
                <c:pt idx="36">
                  <c:v>-12.580956411964</c:v>
                </c:pt>
                <c:pt idx="37">
                  <c:v>-11</c:v>
                </c:pt>
                <c:pt idx="38">
                  <c:v>-9.8</c:v>
                </c:pt>
                <c:pt idx="39">
                  <c:v>-8.8</c:v>
                </c:pt>
                <c:pt idx="40">
                  <c:v>-8.1</c:v>
                </c:pt>
                <c:pt idx="41">
                  <c:v>-7.6</c:v>
                </c:pt>
                <c:pt idx="42">
                  <c:v>-7.4</c:v>
                </c:pt>
                <c:pt idx="43">
                  <c:v>-7.3</c:v>
                </c:pt>
                <c:pt idx="44">
                  <c:v>-7.4</c:v>
                </c:pt>
                <c:pt idx="45">
                  <c:v>-7.7</c:v>
                </c:pt>
                <c:pt idx="46">
                  <c:v>-8.4</c:v>
                </c:pt>
                <c:pt idx="47">
                  <c:v>-9.3</c:v>
                </c:pt>
                <c:pt idx="48">
                  <c:v>-10.7</c:v>
                </c:pt>
                <c:pt idx="49">
                  <c:v>-12.9</c:v>
                </c:pt>
                <c:pt idx="50">
                  <c:v>-16.4</c:v>
                </c:pt>
                <c:pt idx="51">
                  <c:v>-23.7</c:v>
                </c:pt>
                <c:pt idx="52">
                  <c:v>-30.2</c:v>
                </c:pt>
                <c:pt idx="53">
                  <c:v>-17.3</c:v>
                </c:pt>
                <c:pt idx="54">
                  <c:v>-8.6</c:v>
                </c:pt>
                <c:pt idx="55">
                  <c:v>-6</c:v>
                </c:pt>
                <c:pt idx="56">
                  <c:v>-4</c:v>
                </c:pt>
                <c:pt idx="57">
                  <c:v>-2.3</c:v>
                </c:pt>
                <c:pt idx="58">
                  <c:v>-0.9</c:v>
                </c:pt>
                <c:pt idx="59">
                  <c:v>0.3</c:v>
                </c:pt>
                <c:pt idx="60">
                  <c:v>1.3</c:v>
                </c:pt>
                <c:pt idx="61">
                  <c:v>2.2</c:v>
                </c:pt>
                <c:pt idx="62">
                  <c:v>3</c:v>
                </c:pt>
                <c:pt idx="63">
                  <c:v>3.7</c:v>
                </c:pt>
                <c:pt idx="64">
                  <c:v>4.2</c:v>
                </c:pt>
                <c:pt idx="65">
                  <c:v>4.7</c:v>
                </c:pt>
                <c:pt idx="66">
                  <c:v>5.1</c:v>
                </c:pt>
                <c:pt idx="67">
                  <c:v>5.4</c:v>
                </c:pt>
                <c:pt idx="68">
                  <c:v>5.7</c:v>
                </c:pt>
                <c:pt idx="69">
                  <c:v>5.9</c:v>
                </c:pt>
                <c:pt idx="70">
                  <c:v>6</c:v>
                </c:pt>
                <c:pt idx="71">
                  <c:v>6</c:v>
                </c:pt>
              </c:numCache>
            </c:numRef>
          </c:val>
        </c:ser>
        <c:axId val="74854964"/>
        <c:axId val="99620261"/>
      </c:radarChart>
      <c:catAx>
        <c:axId val="74854964"/>
        <c:scaling>
          <c:orientation val="minMax"/>
        </c:scaling>
        <c:delete val="0"/>
        <c:axPos val="b"/>
        <c:numFmt formatCode="General" sourceLinked="0"/>
        <c:majorTickMark val="none"/>
        <c:minorTickMark val="none"/>
        <c:tickLblPos val="nextTo"/>
        <c:spPr>
          <a:ln w="6480">
            <a:noFill/>
          </a:ln>
        </c:spPr>
        <c:txPr>
          <a:bodyPr/>
          <a:lstStyle/>
          <a:p>
            <a:pPr>
              <a:defRPr b="0" sz="1000" strike="noStrike" u="none">
                <a:solidFill>
                  <a:srgbClr val="000000"/>
                </a:solidFill>
                <a:uFillTx/>
                <a:latin typeface="Arial"/>
                <a:ea typeface="Arial"/>
              </a:defRPr>
            </a:pPr>
          </a:p>
        </c:txPr>
        <c:crossAx val="99620261"/>
        <c:crosses val="autoZero"/>
        <c:auto val="1"/>
        <c:lblAlgn val="ctr"/>
        <c:lblOffset val="100"/>
        <c:noMultiLvlLbl val="0"/>
      </c:catAx>
      <c:valAx>
        <c:axId val="99620261"/>
        <c:scaling>
          <c:orientation val="minMax"/>
        </c:scaling>
        <c:delete val="0"/>
        <c:axPos val="l"/>
        <c:majorGridlines>
          <c:spPr>
            <a:ln w="6480">
              <a:solidFill>
                <a:srgbClr val="b7b7b7"/>
              </a:solidFill>
              <a:round/>
            </a:ln>
          </c:spPr>
        </c:majorGridlines>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74854964"/>
        <c:crosses val="autoZero"/>
        <c:crossBetween val="midCat"/>
      </c:valAx>
      <c:spPr>
        <a:noFill/>
        <a:ln w="0">
          <a:noFill/>
        </a:ln>
      </c:spPr>
    </c:plotArea>
    <c:legend>
      <c:legendPos val="r"/>
      <c:overlay val="0"/>
      <c:spPr>
        <a:noFill/>
        <a:ln w="0">
          <a:noFill/>
        </a:ln>
      </c:spPr>
      <c:txPr>
        <a:bodyPr/>
        <a:lstStyle/>
        <a:p>
          <a:pPr>
            <a:defRPr b="0" sz="1000" strike="noStrike" u="none">
              <a:solidFill>
                <a:srgbClr val="1a1a1a"/>
              </a:solidFill>
              <a:uFillTx/>
              <a:latin typeface="Arial"/>
              <a:ea typeface="Arial"/>
            </a:defRPr>
          </a:pPr>
        </a:p>
      </c:txPr>
    </c:legend>
    <c:plotVisOnly val="1"/>
    <c:dispBlanksAs val="zero"/>
  </c:chart>
  <c:spPr>
    <a:solidFill>
      <a:srgbClr val="c0c0c0"/>
    </a:solidFill>
    <a:ln w="9360">
      <a:solidFill>
        <a:srgbClr val="d9d9d9"/>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2000" strike="noStrike" u="none">
                <a:solidFill>
                  <a:srgbClr val="000000"/>
                </a:solidFill>
                <a:uFillTx/>
                <a:latin typeface="Arial"/>
                <a:ea typeface="Arial"/>
              </a:rPr>
              <a:t>Main Beam Roll-Off &amp; Sidelobe Positions</a:t>
            </a:r>
          </a:p>
        </c:rich>
      </c:tx>
      <c:overlay val="0"/>
      <c:spPr>
        <a:noFill/>
        <a:ln w="0">
          <a:noFill/>
        </a:ln>
      </c:spPr>
    </c:title>
    <c:autoTitleDeleted val="0"/>
    <c:plotArea>
      <c:scatterChart>
        <c:scatterStyle val="lineMarker"/>
        <c:varyColors val="0"/>
        <c:ser>
          <c:idx val="0"/>
          <c:order val="0"/>
          <c:spPr>
            <a:solidFill>
              <a:srgbClr val="ff00ff"/>
            </a:solidFill>
            <a:ln w="19080">
              <a:noFill/>
            </a:ln>
          </c:spPr>
          <c:marker>
            <c:symbol val="circle"/>
            <c:size val="7"/>
            <c:spPr>
              <a:solidFill>
                <a:srgbClr val="ff00ff"/>
              </a:solidFill>
            </c:spPr>
          </c:marker>
          <c:dLbls>
            <c:txPr>
              <a:bodyPr wrap="square"/>
              <a:lstStyle/>
              <a:p>
                <a:pPr>
                  <a:defRPr b="0" sz="1000" strike="noStrike" u="none">
                    <a:solidFill>
                      <a:srgbClr val="000000"/>
                    </a:solidFill>
                    <a:uFillTx/>
                    <a:latin typeface="Arial"/>
                    <a:ea typeface="Arial"/>
                  </a:defRPr>
                </a:pPr>
              </a:p>
            </c:txPr>
            <c:dLblPos val="r"/>
            <c:showLegendKey val="0"/>
            <c:showVal val="0"/>
            <c:showCatName val="0"/>
            <c:showSerName val="0"/>
            <c:showPercent val="0"/>
            <c:separator>; </c:separator>
            <c:showLeaderLines val="1"/>
            <c:leaderLines>
              <c:spPr>
                <a:ln w="19080">
                  <a:solidFill>
                    <a:srgbClr val="000000"/>
                  </a:solidFill>
                </a:ln>
              </c:spPr>
            </c:leaderLines>
            <c:extLst>
              <c:ext xmlns:c15="http://schemas.microsoft.com/office/drawing/2012/chart" uri="{CE6537A1-D6FC-4f65-9D91-7224C49458BB}">
                <c15:showLeaderLines val="1"/>
              </c:ext>
            </c:extLst>
          </c:dLbls>
          <c:xVal>
            <c:numRef>
              <c:f>'Beam Roll-Off Tool'!$I$15:$I$106</c:f>
              <c:numCache>
                <c:formatCode>0.0000</c:formatCode>
                <c:ptCount val="92"/>
                <c:pt idx="0">
                  <c:v>1.18920447E-007</c:v>
                </c:pt>
                <c:pt idx="1">
                  <c:v>0.000118920447</c:v>
                </c:pt>
                <c:pt idx="2">
                  <c:v>0.004162215644</c:v>
                </c:pt>
                <c:pt idx="3">
                  <c:v>0.0118920447</c:v>
                </c:pt>
                <c:pt idx="4">
                  <c:v>0.02973011174</c:v>
                </c:pt>
                <c:pt idx="5">
                  <c:v>0.03567613409</c:v>
                </c:pt>
                <c:pt idx="6">
                  <c:v>0.04756817879</c:v>
                </c:pt>
                <c:pt idx="7">
                  <c:v>0.05589261008</c:v>
                </c:pt>
                <c:pt idx="8">
                  <c:v>0.06719005254</c:v>
                </c:pt>
                <c:pt idx="9">
                  <c:v>0.07135226819</c:v>
                </c:pt>
                <c:pt idx="10">
                  <c:v>0.07729829054</c:v>
                </c:pt>
                <c:pt idx="11">
                  <c:v>0.08324431288</c:v>
                </c:pt>
                <c:pt idx="12">
                  <c:v>0.09485094851</c:v>
                </c:pt>
                <c:pt idx="13">
                  <c:v>0.09513635758</c:v>
                </c:pt>
                <c:pt idx="14">
                  <c:v>0.1079797659</c:v>
                </c:pt>
                <c:pt idx="15">
                  <c:v>0.118920447</c:v>
                </c:pt>
                <c:pt idx="16">
                  <c:v>0.1308124917</c:v>
                </c:pt>
                <c:pt idx="17">
                  <c:v>0.1450829453</c:v>
                </c:pt>
                <c:pt idx="18">
                  <c:v>0.1545965811</c:v>
                </c:pt>
                <c:pt idx="19">
                  <c:v>0.1579858138</c:v>
                </c:pt>
                <c:pt idx="20">
                  <c:v>0.1664886258</c:v>
                </c:pt>
                <c:pt idx="21">
                  <c:v>0.1783806705</c:v>
                </c:pt>
                <c:pt idx="22">
                  <c:v>0.1902727152</c:v>
                </c:pt>
                <c:pt idx="23">
                  <c:v>0.205137771</c:v>
                </c:pt>
                <c:pt idx="24">
                  <c:v>0.2140568046</c:v>
                </c:pt>
                <c:pt idx="25">
                  <c:v>0.2259488493</c:v>
                </c:pt>
                <c:pt idx="26">
                  <c:v>0.237840894</c:v>
                </c:pt>
                <c:pt idx="27">
                  <c:v>0.2497329387</c:v>
                </c:pt>
                <c:pt idx="28">
                  <c:v>0.2616249834</c:v>
                </c:pt>
                <c:pt idx="29">
                  <c:v>0.273517028</c:v>
                </c:pt>
                <c:pt idx="30">
                  <c:v>0.2854090727</c:v>
                </c:pt>
                <c:pt idx="31">
                  <c:v>0.2973011174</c:v>
                </c:pt>
                <c:pt idx="32">
                  <c:v>0.3091931621</c:v>
                </c:pt>
                <c:pt idx="33">
                  <c:v>0.3210852068</c:v>
                </c:pt>
                <c:pt idx="34">
                  <c:v>0.3329772515</c:v>
                </c:pt>
                <c:pt idx="35">
                  <c:v>0.3448692962</c:v>
                </c:pt>
                <c:pt idx="36">
                  <c:v>0.3567613409</c:v>
                </c:pt>
                <c:pt idx="37">
                  <c:v>0.3686533856</c:v>
                </c:pt>
                <c:pt idx="38">
                  <c:v>0.3805454303</c:v>
                </c:pt>
                <c:pt idx="39">
                  <c:v>0.392437475</c:v>
                </c:pt>
                <c:pt idx="40">
                  <c:v>0.4043295197</c:v>
                </c:pt>
                <c:pt idx="41">
                  <c:v>0.4162215644</c:v>
                </c:pt>
                <c:pt idx="42">
                  <c:v>0.4281136091</c:v>
                </c:pt>
                <c:pt idx="43">
                  <c:v>0.4400056538</c:v>
                </c:pt>
                <c:pt idx="44">
                  <c:v>0.4518976985</c:v>
                </c:pt>
                <c:pt idx="45">
                  <c:v>0.4637897432</c:v>
                </c:pt>
                <c:pt idx="46">
                  <c:v>0.4756817879</c:v>
                </c:pt>
                <c:pt idx="47">
                  <c:v>0.4875738326</c:v>
                </c:pt>
                <c:pt idx="48">
                  <c:v>0.4994658773</c:v>
                </c:pt>
                <c:pt idx="49">
                  <c:v>0.511357922</c:v>
                </c:pt>
                <c:pt idx="50">
                  <c:v>0.5232499667</c:v>
                </c:pt>
                <c:pt idx="51">
                  <c:v>0.5351420114</c:v>
                </c:pt>
                <c:pt idx="52">
                  <c:v>0.5470340561</c:v>
                </c:pt>
                <c:pt idx="53">
                  <c:v>0.5589261008</c:v>
                </c:pt>
                <c:pt idx="54">
                  <c:v>0.5708181455</c:v>
                </c:pt>
                <c:pt idx="55">
                  <c:v>0.5827101902</c:v>
                </c:pt>
                <c:pt idx="56">
                  <c:v>0.5946022349</c:v>
                </c:pt>
                <c:pt idx="57">
                  <c:v>0.6064942796</c:v>
                </c:pt>
                <c:pt idx="58">
                  <c:v>0.6183863243</c:v>
                </c:pt>
                <c:pt idx="59">
                  <c:v>0.630278369</c:v>
                </c:pt>
                <c:pt idx="60">
                  <c:v>0.6421704137</c:v>
                </c:pt>
                <c:pt idx="61">
                  <c:v>0.6540624584</c:v>
                </c:pt>
                <c:pt idx="62">
                  <c:v>0.6659545031</c:v>
                </c:pt>
                <c:pt idx="63">
                  <c:v>0.6778465478</c:v>
                </c:pt>
                <c:pt idx="64">
                  <c:v>0.6897385925</c:v>
                </c:pt>
                <c:pt idx="65">
                  <c:v>0.7016306372</c:v>
                </c:pt>
                <c:pt idx="66">
                  <c:v>0.7135226819</c:v>
                </c:pt>
                <c:pt idx="67">
                  <c:v>0.7254147266</c:v>
                </c:pt>
                <c:pt idx="68">
                  <c:v>0.7373067713</c:v>
                </c:pt>
                <c:pt idx="69">
                  <c:v>0.749198816</c:v>
                </c:pt>
                <c:pt idx="70">
                  <c:v>0.7610908607</c:v>
                </c:pt>
                <c:pt idx="71">
                  <c:v>0.7729829054</c:v>
                </c:pt>
                <c:pt idx="72">
                  <c:v>0.7967669948</c:v>
                </c:pt>
                <c:pt idx="73">
                  <c:v>0.8086590394</c:v>
                </c:pt>
                <c:pt idx="74">
                  <c:v>0.8205510841</c:v>
                </c:pt>
                <c:pt idx="75">
                  <c:v>0.8324431288</c:v>
                </c:pt>
                <c:pt idx="76">
                  <c:v>0.8443351735</c:v>
                </c:pt>
                <c:pt idx="77">
                  <c:v>0.8562272182</c:v>
                </c:pt>
                <c:pt idx="78">
                  <c:v>0.8681192629</c:v>
                </c:pt>
                <c:pt idx="79">
                  <c:v>0.8800113076</c:v>
                </c:pt>
                <c:pt idx="80">
                  <c:v>0.8919033523</c:v>
                </c:pt>
                <c:pt idx="81">
                  <c:v>0.903795397</c:v>
                </c:pt>
                <c:pt idx="82">
                  <c:v>0.9156874417</c:v>
                </c:pt>
                <c:pt idx="83">
                  <c:v>0.9275794864</c:v>
                </c:pt>
                <c:pt idx="84">
                  <c:v>0.9394715311</c:v>
                </c:pt>
                <c:pt idx="85">
                  <c:v>0.9513635758</c:v>
                </c:pt>
                <c:pt idx="86">
                  <c:v>0.9632556205</c:v>
                </c:pt>
                <c:pt idx="87">
                  <c:v>0.9751476652</c:v>
                </c:pt>
                <c:pt idx="88">
                  <c:v>0.9870397099</c:v>
                </c:pt>
                <c:pt idx="89">
                  <c:v>0.9989317546</c:v>
                </c:pt>
              </c:numCache>
            </c:numRef>
          </c:xVal>
          <c:yVal>
            <c:numRef>
              <c:f>'Beam Roll-Off Tool'!$F$15:$F$105</c:f>
              <c:numCache>
                <c:formatCode>0.00</c:formatCode>
                <c:ptCount val="91"/>
                <c:pt idx="0">
                  <c:v>0</c:v>
                </c:pt>
                <c:pt idx="1">
                  <c:v>-4.12768922464339E-006</c:v>
                </c:pt>
                <c:pt idx="2">
                  <c:v>-0.00540238128891986</c:v>
                </c:pt>
                <c:pt idx="3">
                  <c:v>-0.044142469484505</c:v>
                </c:pt>
                <c:pt idx="4">
                  <c:v>-0.277382055094473</c:v>
                </c:pt>
                <c:pt idx="5">
                  <c:v>-0.400572077389389</c:v>
                </c:pt>
                <c:pt idx="6">
                  <c:v>-0.717396961227066</c:v>
                </c:pt>
                <c:pt idx="7">
                  <c:v>-0.996954951642838</c:v>
                </c:pt>
                <c:pt idx="8">
                  <c:v>-1.45638422775849</c:v>
                </c:pt>
                <c:pt idx="9">
                  <c:v>-1.64995944347239</c:v>
                </c:pt>
                <c:pt idx="10">
                  <c:v>-1.95029997284566</c:v>
                </c:pt>
                <c:pt idx="11">
                  <c:v>-2.27979154114292</c:v>
                </c:pt>
                <c:pt idx="12">
                  <c:v>-3.01271477534604</c:v>
                </c:pt>
                <c:pt idx="13">
                  <c:v>-3.03231763015668</c:v>
                </c:pt>
                <c:pt idx="14">
                  <c:v>-4.00011074710323</c:v>
                </c:pt>
                <c:pt idx="15">
                  <c:v>-4.9705178903178</c:v>
                </c:pt>
                <c:pt idx="16">
                  <c:v>-6.20568444402229</c:v>
                </c:pt>
                <c:pt idx="17">
                  <c:v>-7.99633401300626</c:v>
                </c:pt>
                <c:pt idx="18">
                  <c:v>-9.43133478478286</c:v>
                </c:pt>
                <c:pt idx="19">
                  <c:v>-10.001079502146</c:v>
                </c:pt>
                <c:pt idx="20">
                  <c:v>-11.5987578482326</c:v>
                </c:pt>
                <c:pt idx="21">
                  <c:v>-14.3799721641098</c:v>
                </c:pt>
                <c:pt idx="22">
                  <c:v>-18.2389130299247</c:v>
                </c:pt>
                <c:pt idx="23">
                  <c:v>-27.2593756833808</c:v>
                </c:pt>
                <c:pt idx="24">
                  <c:v>-328.182780137352</c:v>
                </c:pt>
                <c:pt idx="25">
                  <c:v>-25.6192144885411</c:v>
                </c:pt>
                <c:pt idx="26">
                  <c:v>-20.1771132900858</c:v>
                </c:pt>
                <c:pt idx="27">
                  <c:v>-17.3025328776745</c:v>
                </c:pt>
                <c:pt idx="28">
                  <c:v>-15.5246507511119</c:v>
                </c:pt>
                <c:pt idx="29">
                  <c:v>-14.387024458998</c:v>
                </c:pt>
                <c:pt idx="30">
                  <c:v>-13.6911592700316</c:v>
                </c:pt>
                <c:pt idx="31">
                  <c:v>-13.3366309142985</c:v>
                </c:pt>
                <c:pt idx="32">
                  <c:v>-13.2699848497342</c:v>
                </c:pt>
                <c:pt idx="33">
                  <c:v>-13.4648223528963</c:v>
                </c:pt>
                <c:pt idx="34">
                  <c:v>-13.9136785171622</c:v>
                </c:pt>
                <c:pt idx="35">
                  <c:v>-14.6257906988369</c:v>
                </c:pt>
                <c:pt idx="36">
                  <c:v>-15.6293595301928</c:v>
                </c:pt>
                <c:pt idx="37">
                  <c:v>-16.9797016153316</c:v>
                </c:pt>
                <c:pt idx="38">
                  <c:v>-18.7791967010659</c:v>
                </c:pt>
                <c:pt idx="39">
                  <c:v>-21.2284257805539</c:v>
                </c:pt>
                <c:pt idx="40">
                  <c:v>-24.7860917176513</c:v>
                </c:pt>
                <c:pt idx="41">
                  <c:v>-30.92550335649</c:v>
                </c:pt>
                <c:pt idx="42">
                  <c:v>-328.182780137352</c:v>
                </c:pt>
                <c:pt idx="43">
                  <c:v>-31.4081769508244</c:v>
                </c:pt>
                <c:pt idx="44">
                  <c:v>-25.7521853091424</c:v>
                </c:pt>
                <c:pt idx="45">
                  <c:v>-22.6794391235261</c:v>
                </c:pt>
                <c:pt idx="46">
                  <c:v>-20.7173969612271</c:v>
                </c:pt>
                <c:pt idx="47">
                  <c:v>-19.4081448730408</c:v>
                </c:pt>
                <c:pt idx="48">
                  <c:v>-18.5519202437575</c:v>
                </c:pt>
                <c:pt idx="49">
                  <c:v>-18.0471998524495</c:v>
                </c:pt>
                <c:pt idx="50">
                  <c:v>-17.8395714200416</c:v>
                </c:pt>
                <c:pt idx="51">
                  <c:v>-17.9017973452234</c:v>
                </c:pt>
                <c:pt idx="52">
                  <c:v>-18.2256745239493</c:v>
                </c:pt>
                <c:pt idx="53">
                  <c:v>-18.8197878995721</c:v>
                </c:pt>
                <c:pt idx="54">
                  <c:v>-19.7117591833113</c:v>
                </c:pt>
                <c:pt idx="55">
                  <c:v>-20.9563893392164</c:v>
                </c:pt>
                <c:pt idx="56">
                  <c:v>-22.6555972213882</c:v>
                </c:pt>
                <c:pt idx="57">
                  <c:v>-25.0095505049549</c:v>
                </c:pt>
                <c:pt idx="58">
                  <c:v>-28.4765802495022</c:v>
                </c:pt>
                <c:pt idx="59">
                  <c:v>-34.5296598615003</c:v>
                </c:pt>
                <c:pt idx="60">
                  <c:v>-328.182780137352</c:v>
                </c:pt>
                <c:pt idx="61">
                  <c:v>-34.8513962593694</c:v>
                </c:pt>
                <c:pt idx="62">
                  <c:v>-29.1202739169302</c:v>
                </c:pt>
                <c:pt idx="63">
                  <c:v>-25.975644096446</c:v>
                </c:pt>
                <c:pt idx="64">
                  <c:v>-23.9447570059266</c:v>
                </c:pt>
                <c:pt idx="65">
                  <c:v>-22.569507971489</c:v>
                </c:pt>
                <c:pt idx="66">
                  <c:v>-21.6499594434724</c:v>
                </c:pt>
                <c:pt idx="67">
                  <c:v>-21.0844274410731</c:v>
                </c:pt>
                <c:pt idx="68">
                  <c:v>-20.8183516802829</c:v>
                </c:pt>
                <c:pt idx="69">
                  <c:v>-20.8243580587882</c:v>
                </c:pt>
                <c:pt idx="70">
                  <c:v>-21.0941173699955</c:v>
                </c:pt>
                <c:pt idx="71">
                  <c:v>-21.6360978737149</c:v>
                </c:pt>
                <c:pt idx="72">
                  <c:v>-23.6739637926627</c:v>
                </c:pt>
                <c:pt idx="73">
                  <c:v>-25.3263753887925</c:v>
                </c:pt>
                <c:pt idx="74">
                  <c:v>-27.6351287977412</c:v>
                </c:pt>
                <c:pt idx="75">
                  <c:v>-31.0584741770913</c:v>
                </c:pt>
                <c:pt idx="76">
                  <c:v>-37.069309443866</c:v>
                </c:pt>
                <c:pt idx="77">
                  <c:v>-328.182780137352</c:v>
                </c:pt>
                <c:pt idx="78">
                  <c:v>-37.3105996718937</c:v>
                </c:pt>
                <c:pt idx="79">
                  <c:v>-31.5411477714257</c:v>
                </c:pt>
                <c:pt idx="80">
                  <c:v>-28.3593722508301</c:v>
                </c:pt>
                <c:pt idx="81">
                  <c:v>-26.2924689802836</c:v>
                </c:pt>
                <c:pt idx="82">
                  <c:v>-24.8822822420958</c:v>
                </c:pt>
                <c:pt idx="83">
                  <c:v>-23.9288264896091</c:v>
                </c:pt>
                <c:pt idx="84">
                  <c:v>-23.3303725666666</c:v>
                </c:pt>
                <c:pt idx="85">
                  <c:v>-23.0323176301567</c:v>
                </c:pt>
                <c:pt idx="86">
                  <c:v>-23.0072474472895</c:v>
                </c:pt>
                <c:pt idx="87">
                  <c:v>-23.2467949379921</c:v>
                </c:pt>
                <c:pt idx="88">
                  <c:v>-23.7593925883793</c:v>
                </c:pt>
                <c:pt idx="89">
                  <c:v>-24.5725201570372</c:v>
                </c:pt>
              </c:numCache>
            </c:numRef>
          </c:yVal>
          <c:smooth val="1"/>
        </c:ser>
        <c:axId val="94026662"/>
        <c:axId val="24909173"/>
      </c:scatterChart>
      <c:valAx>
        <c:axId val="94026662"/>
        <c:scaling>
          <c:orientation val="minMax"/>
        </c:scaling>
        <c:delete val="0"/>
        <c:axPos val="b"/>
        <c:majorGridlines>
          <c:spPr>
            <a:ln w="6480">
              <a:solidFill>
                <a:srgbClr val="b7b7b7"/>
              </a:solidFill>
              <a:round/>
            </a:ln>
          </c:spPr>
        </c:majorGridlines>
        <c:title>
          <c:tx>
            <c:rich>
              <a:bodyPr rot="0"/>
              <a:lstStyle/>
              <a:p>
                <a:pPr>
                  <a:defRPr b="0" sz="1300" strike="noStrike" u="none">
                    <a:uFillTx/>
                    <a:latin typeface="Arial"/>
                  </a:defRPr>
                </a:pPr>
                <a:r>
                  <a:rPr b="1" sz="1600" strike="noStrike" u="none">
                    <a:solidFill>
                      <a:srgbClr val="000000"/>
                    </a:solidFill>
                    <a:uFillTx/>
                    <a:latin typeface="Arial"/>
                    <a:ea typeface="Arial"/>
                  </a:rPr>
                  <a:t>Angle from Boresight (Degrees)</a:t>
                </a:r>
              </a:p>
            </c:rich>
          </c:tx>
          <c:overlay val="0"/>
          <c:spPr>
            <a:noFill/>
            <a:ln w="0">
              <a:noFill/>
            </a:ln>
          </c:spPr>
        </c:title>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24909173"/>
        <c:crosses val="autoZero"/>
        <c:crossBetween val="midCat"/>
      </c:valAx>
      <c:valAx>
        <c:axId val="24909173"/>
        <c:scaling>
          <c:orientation val="minMax"/>
          <c:max val="0"/>
        </c:scaling>
        <c:delete val="0"/>
        <c:axPos val="l"/>
        <c:majorGridlines>
          <c:spPr>
            <a:ln w="6480">
              <a:solidFill>
                <a:srgbClr val="b7b7b7"/>
              </a:solidFill>
              <a:round/>
            </a:ln>
          </c:spPr>
        </c:majorGridlines>
        <c:title>
          <c:tx>
            <c:rich>
              <a:bodyPr rot="-5400000"/>
              <a:lstStyle/>
              <a:p>
                <a:pPr>
                  <a:defRPr b="0" sz="1300" strike="noStrike" u="none">
                    <a:uFillTx/>
                    <a:latin typeface="Arial"/>
                  </a:defRPr>
                </a:pPr>
                <a:r>
                  <a:rPr b="1" sz="1600" strike="noStrike" u="none">
                    <a:solidFill>
                      <a:srgbClr val="000000"/>
                    </a:solidFill>
                    <a:uFillTx/>
                    <a:latin typeface="Arial"/>
                    <a:ea typeface="Arial"/>
                  </a:rPr>
                  <a:t> Amplitude w.r.t. Peak Gain (dB)</a:t>
                </a:r>
              </a:p>
            </c:rich>
          </c:tx>
          <c:overlay val="0"/>
          <c:spPr>
            <a:noFill/>
            <a:ln w="0">
              <a:noFill/>
            </a:ln>
          </c:spPr>
        </c:title>
        <c:numFmt formatCode="General" sourceLinked="0"/>
        <c:majorTickMark val="none"/>
        <c:minorTickMark val="none"/>
        <c:tickLblPos val="nextTo"/>
        <c:spPr>
          <a:ln w="6480">
            <a:solidFill>
              <a:srgbClr val="8b8b8b"/>
            </a:solidFill>
            <a:round/>
          </a:ln>
        </c:spPr>
        <c:txPr>
          <a:bodyPr/>
          <a:lstStyle/>
          <a:p>
            <a:pPr>
              <a:defRPr b="0" sz="1000" strike="noStrike" u="none">
                <a:solidFill>
                  <a:srgbClr val="000000"/>
                </a:solidFill>
                <a:uFillTx/>
                <a:latin typeface="Arial"/>
                <a:ea typeface="Arial"/>
              </a:defRPr>
            </a:pPr>
          </a:p>
        </c:txPr>
        <c:crossAx val="94026662"/>
        <c:crosses val="autoZero"/>
        <c:crossBetween val="midCat"/>
      </c:valAx>
      <c:spPr>
        <a:noFill/>
        <a:ln w="0">
          <a:noFill/>
        </a:ln>
      </c:spPr>
    </c:plotArea>
    <c:plotVisOnly val="1"/>
    <c:dispBlanksAs val="zero"/>
  </c:chart>
  <c:spPr>
    <a:solidFill>
      <a:srgbClr val="33cccc"/>
    </a:solidFill>
    <a:ln w="9360">
      <a:solidFill>
        <a:srgbClr val="d9d9d9"/>
      </a:solidFill>
      <a:round/>
    </a:ln>
  </c:spPr>
</c:chartSpace>
</file>

<file path=xl/drawings/_rels/drawing2.xml.rels><?xml version="1.0" encoding="UTF-8"?>
<Relationships xmlns="http://schemas.openxmlformats.org/package/2006/relationships"><Relationship Id="rId1" Type="http://schemas.openxmlformats.org/officeDocument/2006/relationships/chart" Target="../charts/chart1.xml"/>
</Relationships>
</file>

<file path=xl/drawings/_rels/drawing7.xml.rels><?xml version="1.0" encoding="UTF-8"?>
<Relationships xmlns="http://schemas.openxmlformats.org/package/2006/relationships"><Relationship Id="rId1" Type="http://schemas.openxmlformats.org/officeDocument/2006/relationships/chart" Target="../charts/chart2.xml"/>
</Relationships>
</file>

<file path=xl/drawings/_rels/drawing14.xml.rels><?xml version="1.0" encoding="UTF-8"?>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
</Relationships>
</file>

<file path=xl/drawings/_rels/drawing16.xml.rels><?xml version="1.0" encoding="UTF-8"?>
<Relationships xmlns="http://schemas.openxmlformats.org/package/2006/relationships"><Relationship Id="rId1" Type="http://schemas.openxmlformats.org/officeDocument/2006/relationships/chart" Target="../charts/chart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390240</xdr:colOff>
      <xdr:row>4</xdr:row>
      <xdr:rowOff>66600</xdr:rowOff>
    </xdr:from>
    <xdr:to>
      <xdr:col>8</xdr:col>
      <xdr:colOff>58680</xdr:colOff>
      <xdr:row>4</xdr:row>
      <xdr:rowOff>68400</xdr:rowOff>
    </xdr:to>
    <xdr:grpSp>
      <xdr:nvGrpSpPr>
        <xdr:cNvPr id="0" name="Shape 2"/>
        <xdr:cNvGrpSpPr/>
      </xdr:nvGrpSpPr>
      <xdr:grpSpPr>
        <a:xfrm>
          <a:off x="9406080" y="1114200"/>
          <a:ext cx="258840" cy="1800"/>
          <a:chOff x="9406080" y="1114200"/>
          <a:chExt cx="258840" cy="1800"/>
        </a:xfrm>
      </xdr:grpSpPr>
      <xdr:cxnSp>
        <xdr:nvCxnSpPr>
          <xdr:cNvPr id="1" name="Shape 3"/>
          <xdr:cNvCxnSpPr/>
        </xdr:nvCxnSpPr>
        <xdr:spPr>
          <a:xfrm>
            <a:off x="9406080" y="1114200"/>
            <a:ext cx="259200" cy="2160"/>
          </a:xfrm>
          <a:prstGeom prst="straightConnector1">
            <a:avLst/>
          </a:prstGeom>
          <a:ln w="9525">
            <a:solidFill>
              <a:srgbClr val="000000"/>
            </a:solidFill>
            <a:miter/>
          </a:ln>
        </xdr:spPr>
      </xdr:cxnSp>
    </xdr:grpSp>
    <xdr:clientData/>
  </xdr:twoCellAnchor>
  <xdr:twoCellAnchor editAs="oneCell">
    <xdr:from>
      <xdr:col>8</xdr:col>
      <xdr:colOff>66600</xdr:colOff>
      <xdr:row>4</xdr:row>
      <xdr:rowOff>95040</xdr:rowOff>
    </xdr:from>
    <xdr:to>
      <xdr:col>8</xdr:col>
      <xdr:colOff>68400</xdr:colOff>
      <xdr:row>5</xdr:row>
      <xdr:rowOff>96480</xdr:rowOff>
    </xdr:to>
    <xdr:grpSp>
      <xdr:nvGrpSpPr>
        <xdr:cNvPr id="2" name="Shape 2"/>
        <xdr:cNvGrpSpPr/>
      </xdr:nvGrpSpPr>
      <xdr:grpSpPr>
        <a:xfrm>
          <a:off x="9672840" y="1142640"/>
          <a:ext cx="1800" cy="154080"/>
          <a:chOff x="9672840" y="1142640"/>
          <a:chExt cx="1800" cy="154080"/>
        </a:xfrm>
      </xdr:grpSpPr>
      <xdr:cxnSp>
        <xdr:nvCxnSpPr>
          <xdr:cNvPr id="3" name="Shape 4"/>
          <xdr:cNvCxnSpPr/>
        </xdr:nvCxnSpPr>
        <xdr:spPr>
          <a:xfrm>
            <a:off x="9672840" y="1142640"/>
            <a:ext cx="2160" cy="154440"/>
          </a:xfrm>
          <a:prstGeom prst="straightConnector1">
            <a:avLst/>
          </a:prstGeom>
          <a:ln w="9525">
            <a:solidFill>
              <a:srgbClr val="000000"/>
            </a:solidFill>
            <a:miter/>
            <a:tailEnd len="med" type="triangle" w="med"/>
          </a:ln>
        </xdr:spPr>
      </xdr:cxnSp>
    </xdr:grpSp>
    <xdr:clientData/>
  </xdr:twoCellAnchor>
  <xdr:twoCellAnchor editAs="oneCell">
    <xdr:from>
      <xdr:col>8</xdr:col>
      <xdr:colOff>104760</xdr:colOff>
      <xdr:row>7</xdr:row>
      <xdr:rowOff>56880</xdr:rowOff>
    </xdr:from>
    <xdr:to>
      <xdr:col>8</xdr:col>
      <xdr:colOff>106560</xdr:colOff>
      <xdr:row>8</xdr:row>
      <xdr:rowOff>135000</xdr:rowOff>
    </xdr:to>
    <xdr:grpSp>
      <xdr:nvGrpSpPr>
        <xdr:cNvPr id="4" name="Shape 2"/>
        <xdr:cNvGrpSpPr/>
      </xdr:nvGrpSpPr>
      <xdr:grpSpPr>
        <a:xfrm>
          <a:off x="9711000" y="1618920"/>
          <a:ext cx="1800" cy="268560"/>
          <a:chOff x="9711000" y="1618920"/>
          <a:chExt cx="1800" cy="268560"/>
        </a:xfrm>
      </xdr:grpSpPr>
      <xdr:cxnSp>
        <xdr:nvCxnSpPr>
          <xdr:cNvPr id="5" name="Shape 5"/>
          <xdr:cNvCxnSpPr/>
        </xdr:nvCxnSpPr>
        <xdr:spPr>
          <a:xfrm>
            <a:off x="9711000" y="1618920"/>
            <a:ext cx="2160" cy="268920"/>
          </a:xfrm>
          <a:prstGeom prst="straightConnector1">
            <a:avLst/>
          </a:prstGeom>
          <a:ln w="9525">
            <a:solidFill>
              <a:srgbClr val="000000"/>
            </a:solidFill>
            <a:miter/>
            <a:tailEnd len="med" type="triangle" w="med"/>
          </a:ln>
        </xdr:spPr>
      </xdr:cxnSp>
    </xdr:grpSp>
    <xdr:clientData/>
  </xdr:twoCellAnchor>
  <xdr:twoCellAnchor editAs="oneCell">
    <xdr:from>
      <xdr:col>8</xdr:col>
      <xdr:colOff>104760</xdr:colOff>
      <xdr:row>10</xdr:row>
      <xdr:rowOff>56880</xdr:rowOff>
    </xdr:from>
    <xdr:to>
      <xdr:col>8</xdr:col>
      <xdr:colOff>106560</xdr:colOff>
      <xdr:row>18</xdr:row>
      <xdr:rowOff>68400</xdr:rowOff>
    </xdr:to>
    <xdr:grpSp>
      <xdr:nvGrpSpPr>
        <xdr:cNvPr id="6" name="Shape 2"/>
        <xdr:cNvGrpSpPr/>
      </xdr:nvGrpSpPr>
      <xdr:grpSpPr>
        <a:xfrm>
          <a:off x="9711000" y="2171520"/>
          <a:ext cx="1800" cy="1535400"/>
          <a:chOff x="9711000" y="2171520"/>
          <a:chExt cx="1800" cy="1535400"/>
        </a:xfrm>
      </xdr:grpSpPr>
      <xdr:cxnSp>
        <xdr:nvCxnSpPr>
          <xdr:cNvPr id="7" name="Shape 6"/>
          <xdr:cNvCxnSpPr/>
        </xdr:nvCxnSpPr>
        <xdr:spPr>
          <a:xfrm>
            <a:off x="9711000" y="2171520"/>
            <a:ext cx="2160" cy="1535760"/>
          </a:xfrm>
          <a:prstGeom prst="straightConnector1">
            <a:avLst/>
          </a:prstGeom>
          <a:ln w="9525">
            <a:solidFill>
              <a:srgbClr val="000000"/>
            </a:solidFill>
            <a:miter/>
            <a:tailEnd len="med" type="triangle" w="med"/>
          </a:ln>
        </xdr:spPr>
      </xdr:cxnSp>
    </xdr:grpSp>
    <xdr:clientData/>
  </xdr:twoCellAnchor>
  <xdr:twoCellAnchor editAs="oneCell">
    <xdr:from>
      <xdr:col>8</xdr:col>
      <xdr:colOff>114120</xdr:colOff>
      <xdr:row>20</xdr:row>
      <xdr:rowOff>47520</xdr:rowOff>
    </xdr:from>
    <xdr:to>
      <xdr:col>8</xdr:col>
      <xdr:colOff>115920</xdr:colOff>
      <xdr:row>21</xdr:row>
      <xdr:rowOff>163080</xdr:rowOff>
    </xdr:to>
    <xdr:grpSp>
      <xdr:nvGrpSpPr>
        <xdr:cNvPr id="8" name="Shape 2"/>
        <xdr:cNvGrpSpPr/>
      </xdr:nvGrpSpPr>
      <xdr:grpSpPr>
        <a:xfrm>
          <a:off x="9720360" y="4086000"/>
          <a:ext cx="1800" cy="306360"/>
          <a:chOff x="9720360" y="4086000"/>
          <a:chExt cx="1800" cy="306360"/>
        </a:xfrm>
      </xdr:grpSpPr>
      <xdr:cxnSp>
        <xdr:nvCxnSpPr>
          <xdr:cNvPr id="9" name="Shape 7"/>
          <xdr:cNvCxnSpPr/>
        </xdr:nvCxnSpPr>
        <xdr:spPr>
          <a:xfrm>
            <a:off x="9720360" y="4086000"/>
            <a:ext cx="2160" cy="306720"/>
          </a:xfrm>
          <a:prstGeom prst="straightConnector1">
            <a:avLst/>
          </a:prstGeom>
          <a:ln w="9525">
            <a:solidFill>
              <a:srgbClr val="000000"/>
            </a:solidFill>
            <a:miter/>
            <a:tailEnd len="med" type="triangle" w="med"/>
          </a:ln>
        </xdr:spPr>
      </xdr:cxnSp>
    </xdr:grpSp>
    <xdr:clientData/>
  </xdr:twoCellAnchor>
  <xdr:twoCellAnchor editAs="oneCell">
    <xdr:from>
      <xdr:col>6</xdr:col>
      <xdr:colOff>75960</xdr:colOff>
      <xdr:row>19</xdr:row>
      <xdr:rowOff>95040</xdr:rowOff>
    </xdr:from>
    <xdr:to>
      <xdr:col>7</xdr:col>
      <xdr:colOff>423360</xdr:colOff>
      <xdr:row>19</xdr:row>
      <xdr:rowOff>96840</xdr:rowOff>
    </xdr:to>
    <xdr:grpSp>
      <xdr:nvGrpSpPr>
        <xdr:cNvPr id="10" name="Shape 2"/>
        <xdr:cNvGrpSpPr/>
      </xdr:nvGrpSpPr>
      <xdr:grpSpPr>
        <a:xfrm>
          <a:off x="8465760" y="3933720"/>
          <a:ext cx="973440" cy="1800"/>
          <a:chOff x="8465760" y="3933720"/>
          <a:chExt cx="973440" cy="1800"/>
        </a:xfrm>
      </xdr:grpSpPr>
      <xdr:cxnSp>
        <xdr:nvCxnSpPr>
          <xdr:cNvPr id="11" name="Shape 8"/>
          <xdr:cNvCxnSpPr/>
        </xdr:nvCxnSpPr>
        <xdr:spPr>
          <a:xfrm>
            <a:off x="8465760" y="3933720"/>
            <a:ext cx="973800" cy="2160"/>
          </a:xfrm>
          <a:prstGeom prst="straightConnector1">
            <a:avLst/>
          </a:prstGeom>
          <a:ln w="9525">
            <a:solidFill>
              <a:srgbClr val="000000"/>
            </a:solidFill>
            <a:miter/>
            <a:tailEnd len="med" type="triangle" w="med"/>
          </a:ln>
        </xdr:spPr>
      </xdr:cxnSp>
    </xdr:grpSp>
    <xdr:clientData/>
  </xdr:twoCellAnchor>
  <xdr:twoCellAnchor editAs="oneCell">
    <xdr:from>
      <xdr:col>7</xdr:col>
      <xdr:colOff>247680</xdr:colOff>
      <xdr:row>21</xdr:row>
      <xdr:rowOff>38160</xdr:rowOff>
    </xdr:from>
    <xdr:to>
      <xdr:col>12</xdr:col>
      <xdr:colOff>18720</xdr:colOff>
      <xdr:row>24</xdr:row>
      <xdr:rowOff>141120</xdr:rowOff>
    </xdr:to>
    <xdr:sp>
      <xdr:nvSpPr>
        <xdr:cNvPr id="12" name="Shape 9"/>
        <xdr:cNvSpPr/>
      </xdr:nvSpPr>
      <xdr:spPr>
        <a:xfrm>
          <a:off x="9263520" y="4267440"/>
          <a:ext cx="2045520" cy="655200"/>
        </a:xfrm>
        <a:prstGeom prst="rect">
          <a:avLst/>
        </a:prstGeom>
        <a:noFill/>
        <a:ln w="19050">
          <a:solidFill>
            <a:srgbClr val="339966"/>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9360</xdr:colOff>
      <xdr:row>13</xdr:row>
      <xdr:rowOff>171360</xdr:rowOff>
    </xdr:from>
    <xdr:to>
      <xdr:col>15</xdr:col>
      <xdr:colOff>411840</xdr:colOff>
      <xdr:row>36</xdr:row>
      <xdr:rowOff>149760</xdr:rowOff>
    </xdr:to>
    <xdr:graphicFrame>
      <xdr:nvGraphicFramePr>
        <xdr:cNvPr id="13" name="Chart 1"/>
        <xdr:cNvGraphicFramePr/>
      </xdr:nvGraphicFramePr>
      <xdr:xfrm>
        <a:off x="4256280" y="2381040"/>
        <a:ext cx="9303120" cy="3579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85680</xdr:colOff>
      <xdr:row>33</xdr:row>
      <xdr:rowOff>0</xdr:rowOff>
    </xdr:from>
    <xdr:to>
      <xdr:col>0</xdr:col>
      <xdr:colOff>169200</xdr:colOff>
      <xdr:row>34</xdr:row>
      <xdr:rowOff>36000</xdr:rowOff>
    </xdr:to>
    <xdr:sp>
      <xdr:nvSpPr>
        <xdr:cNvPr id="14" name="Shape 10"/>
        <xdr:cNvSpPr/>
      </xdr:nvSpPr>
      <xdr:spPr>
        <a:xfrm>
          <a:off x="85680" y="5334120"/>
          <a:ext cx="83520" cy="188280"/>
        </a:xfrm>
        <a:prstGeom prst="rect">
          <a:avLst/>
        </a:prstGeom>
        <a:noFill/>
        <a:ln w="0">
          <a:noFill/>
        </a:ln>
      </xdr:spPr>
      <xdr:style>
        <a:lnRef idx="0"/>
        <a:fillRef idx="0"/>
        <a:effectRef idx="0"/>
        <a:fontRef idx="minor"/>
      </xdr:style>
    </xdr:sp>
    <xdr:clientData/>
  </xdr:twoCellAnchor>
  <xdr:twoCellAnchor editAs="oneCell">
    <xdr:from>
      <xdr:col>0</xdr:col>
      <xdr:colOff>142920</xdr:colOff>
      <xdr:row>29</xdr:row>
      <xdr:rowOff>66600</xdr:rowOff>
    </xdr:from>
    <xdr:to>
      <xdr:col>0</xdr:col>
      <xdr:colOff>226440</xdr:colOff>
      <xdr:row>30</xdr:row>
      <xdr:rowOff>92880</xdr:rowOff>
    </xdr:to>
    <xdr:sp>
      <xdr:nvSpPr>
        <xdr:cNvPr id="15" name="Shape 11"/>
        <xdr:cNvSpPr/>
      </xdr:nvSpPr>
      <xdr:spPr>
        <a:xfrm>
          <a:off x="142920" y="4790880"/>
          <a:ext cx="83520" cy="178920"/>
        </a:xfrm>
        <a:prstGeom prst="rect">
          <a:avLst/>
        </a:prstGeom>
        <a:noFill/>
        <a:ln w="0">
          <a:noFill/>
        </a:ln>
      </xdr:spPr>
      <xdr:style>
        <a:lnRef idx="0"/>
        <a:fillRef idx="0"/>
        <a:effectRef idx="0"/>
        <a:fontRef idx="minor"/>
      </xdr:style>
    </xdr:sp>
    <xdr:clientData/>
  </xdr:twoCellAnchor>
  <xdr:twoCellAnchor editAs="oneCell">
    <xdr:from>
      <xdr:col>9</xdr:col>
      <xdr:colOff>466560</xdr:colOff>
      <xdr:row>17</xdr:row>
      <xdr:rowOff>47520</xdr:rowOff>
    </xdr:from>
    <xdr:to>
      <xdr:col>9</xdr:col>
      <xdr:colOff>468360</xdr:colOff>
      <xdr:row>27</xdr:row>
      <xdr:rowOff>96480</xdr:rowOff>
    </xdr:to>
    <xdr:grpSp>
      <xdr:nvGrpSpPr>
        <xdr:cNvPr id="16" name="Shape 2"/>
        <xdr:cNvGrpSpPr/>
      </xdr:nvGrpSpPr>
      <xdr:grpSpPr>
        <a:xfrm>
          <a:off x="8804160" y="2943000"/>
          <a:ext cx="1800" cy="1573200"/>
          <a:chOff x="8804160" y="2943000"/>
          <a:chExt cx="1800" cy="1573200"/>
        </a:xfrm>
      </xdr:grpSpPr>
      <xdr:cxnSp>
        <xdr:nvCxnSpPr>
          <xdr:cNvPr id="17" name="Shape 12"/>
          <xdr:cNvCxnSpPr/>
        </xdr:nvCxnSpPr>
        <xdr:spPr>
          <a:xfrm>
            <a:off x="8804160" y="2943000"/>
            <a:ext cx="2160" cy="1573560"/>
          </a:xfrm>
          <a:prstGeom prst="straightConnector1">
            <a:avLst/>
          </a:prstGeom>
          <a:ln w="28575">
            <a:solidFill>
              <a:srgbClr val="000000"/>
            </a:solidFill>
            <a:miter/>
            <a:headEnd len="med" type="triangle" w="med"/>
            <a:tailEnd len="med" type="triangle" w="med"/>
          </a:ln>
        </xdr:spPr>
      </xdr:cxnSp>
    </xdr:grpSp>
    <xdr:clientData/>
  </xdr:twoCellAnchor>
  <xdr:twoCellAnchor editAs="oneCell">
    <xdr:from>
      <xdr:col>9</xdr:col>
      <xdr:colOff>466560</xdr:colOff>
      <xdr:row>15</xdr:row>
      <xdr:rowOff>0</xdr:rowOff>
    </xdr:from>
    <xdr:to>
      <xdr:col>9</xdr:col>
      <xdr:colOff>468360</xdr:colOff>
      <xdr:row>35</xdr:row>
      <xdr:rowOff>96840</xdr:rowOff>
    </xdr:to>
    <xdr:grpSp>
      <xdr:nvGrpSpPr>
        <xdr:cNvPr id="18" name="Shape 2"/>
        <xdr:cNvGrpSpPr/>
      </xdr:nvGrpSpPr>
      <xdr:grpSpPr>
        <a:xfrm>
          <a:off x="8804160" y="2590920"/>
          <a:ext cx="1800" cy="3154320"/>
          <a:chOff x="8804160" y="2590920"/>
          <a:chExt cx="1800" cy="3154320"/>
        </a:xfrm>
      </xdr:grpSpPr>
      <xdr:cxnSp>
        <xdr:nvCxnSpPr>
          <xdr:cNvPr id="19" name="Shape 13"/>
          <xdr:cNvCxnSpPr/>
        </xdr:nvCxnSpPr>
        <xdr:spPr>
          <a:xfrm>
            <a:off x="8804160" y="2590920"/>
            <a:ext cx="2160" cy="3154680"/>
          </a:xfrm>
          <a:prstGeom prst="straightConnector1">
            <a:avLst/>
          </a:prstGeom>
          <a:ln w="19050">
            <a:solidFill>
              <a:srgbClr val="000000"/>
            </a:solidFill>
            <a:miter/>
            <a:tailEnd len="med" type="triangle" w="med"/>
          </a:ln>
        </xdr:spPr>
      </xdr:cxnSp>
    </xdr:grpSp>
    <xdr:clientData/>
  </xdr:twoCellAnchor>
  <xdr:twoCellAnchor editAs="oneCell">
    <xdr:from>
      <xdr:col>3</xdr:col>
      <xdr:colOff>209520</xdr:colOff>
      <xdr:row>16</xdr:row>
      <xdr:rowOff>66600</xdr:rowOff>
    </xdr:from>
    <xdr:to>
      <xdr:col>9</xdr:col>
      <xdr:colOff>225720</xdr:colOff>
      <xdr:row>32</xdr:row>
      <xdr:rowOff>20880</xdr:rowOff>
    </xdr:to>
    <xdr:grpSp>
      <xdr:nvGrpSpPr>
        <xdr:cNvPr id="20" name="Shape 2"/>
        <xdr:cNvGrpSpPr/>
      </xdr:nvGrpSpPr>
      <xdr:grpSpPr>
        <a:xfrm>
          <a:off x="4456440" y="2809800"/>
          <a:ext cx="4106880" cy="2392560"/>
          <a:chOff x="4456440" y="2809800"/>
          <a:chExt cx="4106880" cy="2392560"/>
        </a:xfrm>
      </xdr:grpSpPr>
      <xdr:cxnSp>
        <xdr:nvCxnSpPr>
          <xdr:cNvPr id="21" name="Shape 14"/>
          <xdr:cNvCxnSpPr/>
        </xdr:nvCxnSpPr>
        <xdr:spPr>
          <a:xfrm flipV="1">
            <a:off x="4456440" y="2809800"/>
            <a:ext cx="4107240" cy="239292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26</xdr:row>
      <xdr:rowOff>47520</xdr:rowOff>
    </xdr:from>
    <xdr:to>
      <xdr:col>6</xdr:col>
      <xdr:colOff>740160</xdr:colOff>
      <xdr:row>32</xdr:row>
      <xdr:rowOff>11160</xdr:rowOff>
    </xdr:to>
    <xdr:grpSp>
      <xdr:nvGrpSpPr>
        <xdr:cNvPr id="22" name="Shape 2"/>
        <xdr:cNvGrpSpPr/>
      </xdr:nvGrpSpPr>
      <xdr:grpSpPr>
        <a:xfrm>
          <a:off x="4456440" y="4314600"/>
          <a:ext cx="2602080" cy="878040"/>
          <a:chOff x="4456440" y="4314600"/>
          <a:chExt cx="2602080" cy="878040"/>
        </a:xfrm>
      </xdr:grpSpPr>
      <xdr:cxnSp>
        <xdr:nvCxnSpPr>
          <xdr:cNvPr id="23" name="Shape 15"/>
          <xdr:cNvCxnSpPr/>
        </xdr:nvCxnSpPr>
        <xdr:spPr>
          <a:xfrm flipV="1">
            <a:off x="4456440" y="4314600"/>
            <a:ext cx="2602440" cy="878400"/>
          </a:xfrm>
          <a:prstGeom prst="straightConnector1">
            <a:avLst/>
          </a:prstGeom>
          <a:ln w="9525">
            <a:solidFill>
              <a:srgbClr val="ff0000"/>
            </a:solidFill>
            <a:miter/>
          </a:ln>
        </xdr:spPr>
      </xdr:cxnSp>
    </xdr:grpSp>
    <xdr:clientData/>
  </xdr:twoCellAnchor>
  <xdr:twoCellAnchor editAs="oneCell">
    <xdr:from>
      <xdr:col>8</xdr:col>
      <xdr:colOff>342720</xdr:colOff>
      <xdr:row>16</xdr:row>
      <xdr:rowOff>28440</xdr:rowOff>
    </xdr:from>
    <xdr:to>
      <xdr:col>9</xdr:col>
      <xdr:colOff>451800</xdr:colOff>
      <xdr:row>16</xdr:row>
      <xdr:rowOff>30240</xdr:rowOff>
    </xdr:to>
    <xdr:grpSp>
      <xdr:nvGrpSpPr>
        <xdr:cNvPr id="24" name="Shape 2"/>
        <xdr:cNvGrpSpPr/>
      </xdr:nvGrpSpPr>
      <xdr:grpSpPr>
        <a:xfrm>
          <a:off x="8054280" y="2771640"/>
          <a:ext cx="735120" cy="1800"/>
          <a:chOff x="8054280" y="2771640"/>
          <a:chExt cx="735120" cy="1800"/>
        </a:xfrm>
      </xdr:grpSpPr>
      <xdr:cxnSp>
        <xdr:nvCxnSpPr>
          <xdr:cNvPr id="25" name="Shape 16"/>
          <xdr:cNvCxnSpPr/>
        </xdr:nvCxnSpPr>
        <xdr:spPr>
          <a:xfrm flipH="1">
            <a:off x="8054280" y="2771640"/>
            <a:ext cx="735480" cy="216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32</xdr:row>
      <xdr:rowOff>47520</xdr:rowOff>
    </xdr:from>
    <xdr:to>
      <xdr:col>3</xdr:col>
      <xdr:colOff>477720</xdr:colOff>
      <xdr:row>36</xdr:row>
      <xdr:rowOff>58680</xdr:rowOff>
    </xdr:to>
    <xdr:grpSp>
      <xdr:nvGrpSpPr>
        <xdr:cNvPr id="26" name="Shape 2"/>
        <xdr:cNvGrpSpPr/>
      </xdr:nvGrpSpPr>
      <xdr:grpSpPr>
        <a:xfrm>
          <a:off x="4456440" y="5229000"/>
          <a:ext cx="268200" cy="640080"/>
          <a:chOff x="4456440" y="5229000"/>
          <a:chExt cx="268200" cy="640080"/>
        </a:xfrm>
      </xdr:grpSpPr>
      <xdr:cxnSp>
        <xdr:nvCxnSpPr>
          <xdr:cNvPr id="27" name="Shape 17"/>
          <xdr:cNvCxnSpPr/>
        </xdr:nvCxnSpPr>
        <xdr:spPr>
          <a:xfrm>
            <a:off x="4456440" y="5229000"/>
            <a:ext cx="268560" cy="640440"/>
          </a:xfrm>
          <a:prstGeom prst="straightConnector1">
            <a:avLst/>
          </a:prstGeom>
          <a:ln w="19050">
            <a:solidFill>
              <a:srgbClr val="000000"/>
            </a:solidFill>
            <a:miter/>
            <a:tailEnd len="med" type="triangle" w="med"/>
          </a:ln>
        </xdr:spPr>
      </xdr:cxnSp>
    </xdr:grpSp>
    <xdr:clientData/>
  </xdr:twoCellAnchor>
  <xdr:twoCellAnchor editAs="oneCell">
    <xdr:from>
      <xdr:col>3</xdr:col>
      <xdr:colOff>199080</xdr:colOff>
      <xdr:row>31</xdr:row>
      <xdr:rowOff>66600</xdr:rowOff>
    </xdr:from>
    <xdr:to>
      <xdr:col>3</xdr:col>
      <xdr:colOff>482760</xdr:colOff>
      <xdr:row>33</xdr:row>
      <xdr:rowOff>45360</xdr:rowOff>
    </xdr:to>
    <xdr:sp>
      <xdr:nvSpPr>
        <xdr:cNvPr id="28" name="Shape 18"/>
        <xdr:cNvSpPr/>
      </xdr:nvSpPr>
      <xdr:spPr>
        <a:xfrm rot="20520000">
          <a:off x="4446000" y="5095800"/>
          <a:ext cx="283680" cy="28368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3</xdr:col>
      <xdr:colOff>171360</xdr:colOff>
      <xdr:row>31</xdr:row>
      <xdr:rowOff>123840</xdr:rowOff>
    </xdr:from>
    <xdr:to>
      <xdr:col>3</xdr:col>
      <xdr:colOff>254880</xdr:colOff>
      <xdr:row>32</xdr:row>
      <xdr:rowOff>45720</xdr:rowOff>
    </xdr:to>
    <xdr:sp>
      <xdr:nvSpPr>
        <xdr:cNvPr id="29" name="Shape 19"/>
        <xdr:cNvSpPr/>
      </xdr:nvSpPr>
      <xdr:spPr>
        <a:xfrm>
          <a:off x="4418280" y="5153040"/>
          <a:ext cx="83520" cy="74160"/>
        </a:xfrm>
        <a:prstGeom prst="ellipse">
          <a:avLst/>
        </a:prstGeom>
        <a:solidFill>
          <a:srgbClr val="ff9900"/>
        </a:solidFill>
        <a:ln w="9525">
          <a:solidFill>
            <a:srgbClr val="000000"/>
          </a:solidFill>
          <a:miter/>
        </a:ln>
      </xdr:spPr>
      <xdr:style>
        <a:lnRef idx="0"/>
        <a:fillRef idx="0"/>
        <a:effectRef idx="0"/>
        <a:fontRef idx="minor"/>
      </xdr:style>
    </xdr:sp>
    <xdr:clientData/>
  </xdr:twoCellAnchor>
  <xdr:twoCellAnchor editAs="oneCell">
    <xdr:from>
      <xdr:col>9</xdr:col>
      <xdr:colOff>447840</xdr:colOff>
      <xdr:row>16</xdr:row>
      <xdr:rowOff>0</xdr:rowOff>
    </xdr:from>
    <xdr:to>
      <xdr:col>9</xdr:col>
      <xdr:colOff>531360</xdr:colOff>
      <xdr:row>16</xdr:row>
      <xdr:rowOff>83520</xdr:rowOff>
    </xdr:to>
    <xdr:sp>
      <xdr:nvSpPr>
        <xdr:cNvPr id="30" name="Shape 20"/>
        <xdr:cNvSpPr/>
      </xdr:nvSpPr>
      <xdr:spPr>
        <a:xfrm>
          <a:off x="8785440" y="2743200"/>
          <a:ext cx="83520" cy="83520"/>
        </a:xfrm>
        <a:prstGeom prst="ellipse">
          <a:avLst/>
        </a:prstGeom>
        <a:solidFill>
          <a:srgbClr val="ff0000"/>
        </a:solidFill>
        <a:ln w="9525">
          <a:solidFill>
            <a:srgbClr val="000000"/>
          </a:solidFill>
          <a:miter/>
        </a:ln>
      </xdr:spPr>
      <xdr:style>
        <a:lnRef idx="0"/>
        <a:fillRef idx="0"/>
        <a:effectRef idx="0"/>
        <a:fontRef idx="minor"/>
      </xdr:style>
    </xdr:sp>
    <xdr:clientData/>
  </xdr:twoCellAnchor>
  <xdr:twoCellAnchor editAs="oneCell">
    <xdr:from>
      <xdr:col>5</xdr:col>
      <xdr:colOff>457200</xdr:colOff>
      <xdr:row>34</xdr:row>
      <xdr:rowOff>57240</xdr:rowOff>
    </xdr:from>
    <xdr:to>
      <xdr:col>7</xdr:col>
      <xdr:colOff>24120</xdr:colOff>
      <xdr:row>35</xdr:row>
      <xdr:rowOff>74160</xdr:rowOff>
    </xdr:to>
    <xdr:sp>
      <xdr:nvSpPr>
        <xdr:cNvPr id="31" name="Shape 21"/>
        <xdr:cNvSpPr/>
      </xdr:nvSpPr>
      <xdr:spPr>
        <a:xfrm>
          <a:off x="6149520" y="5543640"/>
          <a:ext cx="9597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To Center of Earth</a:t>
          </a:r>
          <a:endParaRPr b="0" lang="en-US" sz="1000" strike="noStrike" u="none">
            <a:effectLst/>
            <a:uFillTx/>
            <a:latin typeface="Times New Roman"/>
          </a:endParaRPr>
        </a:p>
      </xdr:txBody>
    </xdr:sp>
    <xdr:clientData/>
  </xdr:twoCellAnchor>
  <xdr:twoCellAnchor editAs="oneCell">
    <xdr:from>
      <xdr:col>3</xdr:col>
      <xdr:colOff>523800</xdr:colOff>
      <xdr:row>35</xdr:row>
      <xdr:rowOff>0</xdr:rowOff>
    </xdr:from>
    <xdr:to>
      <xdr:col>5</xdr:col>
      <xdr:colOff>327960</xdr:colOff>
      <xdr:row>35</xdr:row>
      <xdr:rowOff>144360</xdr:rowOff>
    </xdr:to>
    <xdr:grpSp>
      <xdr:nvGrpSpPr>
        <xdr:cNvPr id="32" name="Shape 2"/>
        <xdr:cNvGrpSpPr/>
      </xdr:nvGrpSpPr>
      <xdr:grpSpPr>
        <a:xfrm>
          <a:off x="4770720" y="5648400"/>
          <a:ext cx="1249560" cy="144360"/>
          <a:chOff x="4770720" y="5648400"/>
          <a:chExt cx="1249560" cy="144360"/>
        </a:xfrm>
      </xdr:grpSpPr>
      <xdr:cxnSp>
        <xdr:nvCxnSpPr>
          <xdr:cNvPr id="33" name="Shape 22"/>
          <xdr:cNvCxnSpPr/>
        </xdr:nvCxnSpPr>
        <xdr:spPr>
          <a:xfrm flipH="1">
            <a:off x="4770720" y="5648400"/>
            <a:ext cx="1249920" cy="144720"/>
          </a:xfrm>
          <a:prstGeom prst="straightConnector1">
            <a:avLst/>
          </a:prstGeom>
          <a:ln w="9525">
            <a:solidFill>
              <a:srgbClr val="000000"/>
            </a:solidFill>
            <a:miter/>
            <a:tailEnd len="med" type="stealth" w="med"/>
          </a:ln>
        </xdr:spPr>
      </xdr:cxnSp>
    </xdr:grpSp>
    <xdr:clientData/>
  </xdr:twoCellAnchor>
  <xdr:twoCellAnchor editAs="oneCell">
    <xdr:from>
      <xdr:col>7</xdr:col>
      <xdr:colOff>304560</xdr:colOff>
      <xdr:row>35</xdr:row>
      <xdr:rowOff>0</xdr:rowOff>
    </xdr:from>
    <xdr:to>
      <xdr:col>9</xdr:col>
      <xdr:colOff>235080</xdr:colOff>
      <xdr:row>35</xdr:row>
      <xdr:rowOff>58680</xdr:rowOff>
    </xdr:to>
    <xdr:grpSp>
      <xdr:nvGrpSpPr>
        <xdr:cNvPr id="34" name="Shape 2"/>
        <xdr:cNvGrpSpPr/>
      </xdr:nvGrpSpPr>
      <xdr:grpSpPr>
        <a:xfrm>
          <a:off x="7389720" y="5648400"/>
          <a:ext cx="1182960" cy="58680"/>
          <a:chOff x="7389720" y="5648400"/>
          <a:chExt cx="1182960" cy="58680"/>
        </a:xfrm>
      </xdr:grpSpPr>
      <xdr:cxnSp>
        <xdr:nvCxnSpPr>
          <xdr:cNvPr id="35" name="Shape 23"/>
          <xdr:cNvCxnSpPr/>
        </xdr:nvCxnSpPr>
        <xdr:spPr>
          <a:xfrm>
            <a:off x="7389720" y="5648400"/>
            <a:ext cx="1183320" cy="59040"/>
          </a:xfrm>
          <a:prstGeom prst="straightConnector1">
            <a:avLst/>
          </a:prstGeom>
          <a:ln w="9525">
            <a:solidFill>
              <a:srgbClr val="000000"/>
            </a:solidFill>
            <a:miter/>
            <a:tailEnd len="med" type="stealth" w="med"/>
          </a:ln>
        </xdr:spPr>
      </xdr:cxnSp>
    </xdr:grpSp>
    <xdr:clientData/>
  </xdr:twoCellAnchor>
  <xdr:twoCellAnchor editAs="oneCell">
    <xdr:from>
      <xdr:col>10</xdr:col>
      <xdr:colOff>19080</xdr:colOff>
      <xdr:row>15</xdr:row>
      <xdr:rowOff>66600</xdr:rowOff>
    </xdr:from>
    <xdr:to>
      <xdr:col>10</xdr:col>
      <xdr:colOff>578880</xdr:colOff>
      <xdr:row>16</xdr:row>
      <xdr:rowOff>93240</xdr:rowOff>
    </xdr:to>
    <xdr:sp>
      <xdr:nvSpPr>
        <xdr:cNvPr id="36" name="Shape 24"/>
        <xdr:cNvSpPr/>
      </xdr:nvSpPr>
      <xdr:spPr>
        <a:xfrm>
          <a:off x="9043560" y="2657520"/>
          <a:ext cx="5598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a:t>
          </a:r>
          <a:endParaRPr b="0" lang="en-US" sz="1000" strike="noStrike" u="none">
            <a:effectLst/>
            <a:uFillTx/>
            <a:latin typeface="Times New Roman"/>
          </a:endParaRPr>
        </a:p>
      </xdr:txBody>
    </xdr:sp>
    <xdr:clientData/>
  </xdr:twoCellAnchor>
  <xdr:twoCellAnchor editAs="oneCell">
    <xdr:from>
      <xdr:col>7</xdr:col>
      <xdr:colOff>304560</xdr:colOff>
      <xdr:row>148</xdr:row>
      <xdr:rowOff>47160</xdr:rowOff>
    </xdr:from>
    <xdr:to>
      <xdr:col>7</xdr:col>
      <xdr:colOff>496800</xdr:colOff>
      <xdr:row>151</xdr:row>
      <xdr:rowOff>49320</xdr:rowOff>
    </xdr:to>
    <xdr:grpSp>
      <xdr:nvGrpSpPr>
        <xdr:cNvPr id="37" name="Shape 2"/>
        <xdr:cNvGrpSpPr/>
      </xdr:nvGrpSpPr>
      <xdr:grpSpPr>
        <a:xfrm>
          <a:off x="7389720" y="23535720"/>
          <a:ext cx="192240" cy="459360"/>
          <a:chOff x="7389720" y="23535720"/>
          <a:chExt cx="192240" cy="459360"/>
        </a:xfrm>
      </xdr:grpSpPr>
      <xdr:cxnSp>
        <xdr:nvCxnSpPr>
          <xdr:cNvPr id="38" name="Shape 25"/>
          <xdr:cNvCxnSpPr/>
        </xdr:nvCxnSpPr>
        <xdr:spPr>
          <a:xfrm flipV="1">
            <a:off x="7389720" y="23535720"/>
            <a:ext cx="192600" cy="459720"/>
          </a:xfrm>
          <a:prstGeom prst="straightConnector1">
            <a:avLst/>
          </a:prstGeom>
          <a:ln w="9525">
            <a:solidFill>
              <a:srgbClr val="0000ff"/>
            </a:solidFill>
            <a:miter/>
            <a:tailEnd len="med" type="triangle" w="med"/>
          </a:ln>
        </xdr:spPr>
      </xdr:cxnSp>
    </xdr:grpSp>
    <xdr:clientData/>
  </xdr:twoCellAnchor>
  <xdr:twoCellAnchor editAs="oneCell">
    <xdr:from>
      <xdr:col>7</xdr:col>
      <xdr:colOff>552600</xdr:colOff>
      <xdr:row>15</xdr:row>
      <xdr:rowOff>0</xdr:rowOff>
    </xdr:from>
    <xdr:to>
      <xdr:col>8</xdr:col>
      <xdr:colOff>619200</xdr:colOff>
      <xdr:row>16</xdr:row>
      <xdr:rowOff>26640</xdr:rowOff>
    </xdr:to>
    <xdr:sp>
      <xdr:nvSpPr>
        <xdr:cNvPr id="39" name="Shape 26"/>
        <xdr:cNvSpPr/>
      </xdr:nvSpPr>
      <xdr:spPr>
        <a:xfrm>
          <a:off x="7637760" y="2590920"/>
          <a:ext cx="6930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Orbit Velocity</a:t>
          </a:r>
          <a:endParaRPr b="0" lang="en-US" sz="1000" strike="noStrike" u="none">
            <a:effectLst/>
            <a:uFillTx/>
            <a:latin typeface="Times New Roman"/>
          </a:endParaRPr>
        </a:p>
      </xdr:txBody>
    </xdr:sp>
    <xdr:clientData/>
  </xdr:twoCellAnchor>
  <xdr:twoCellAnchor editAs="oneCell">
    <xdr:from>
      <xdr:col>9</xdr:col>
      <xdr:colOff>485640</xdr:colOff>
      <xdr:row>29</xdr:row>
      <xdr:rowOff>123840</xdr:rowOff>
    </xdr:from>
    <xdr:to>
      <xdr:col>11</xdr:col>
      <xdr:colOff>10440</xdr:colOff>
      <xdr:row>31</xdr:row>
      <xdr:rowOff>7200</xdr:rowOff>
    </xdr:to>
    <xdr:sp>
      <xdr:nvSpPr>
        <xdr:cNvPr id="40" name="Shape 27"/>
        <xdr:cNvSpPr/>
      </xdr:nvSpPr>
      <xdr:spPr>
        <a:xfrm>
          <a:off x="8823240" y="4848120"/>
          <a:ext cx="96948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Re</a:t>
          </a:r>
          <a:r>
            <a:rPr b="0" lang="en-US" sz="1000" strike="noStrike" u="none">
              <a:solidFill>
                <a:srgbClr val="000000"/>
              </a:solidFill>
              <a:effectLst/>
              <a:uFillTx/>
              <a:latin typeface="Arial"/>
              <a:ea typeface="Arial"/>
            </a:rPr>
            <a:t> = 6378.136 km</a:t>
          </a:r>
          <a:endParaRPr b="0" lang="en-US" sz="1000" strike="noStrike" u="none">
            <a:effectLst/>
            <a:uFillTx/>
            <a:latin typeface="Times New Roman"/>
          </a:endParaRPr>
        </a:p>
      </xdr:txBody>
    </xdr:sp>
    <xdr:clientData/>
  </xdr:twoCellAnchor>
  <xdr:twoCellAnchor editAs="oneCell">
    <xdr:from>
      <xdr:col>9</xdr:col>
      <xdr:colOff>523800</xdr:colOff>
      <xdr:row>21</xdr:row>
      <xdr:rowOff>28440</xdr:rowOff>
    </xdr:from>
    <xdr:to>
      <xdr:col>11</xdr:col>
      <xdr:colOff>658080</xdr:colOff>
      <xdr:row>22</xdr:row>
      <xdr:rowOff>55080</xdr:rowOff>
    </xdr:to>
    <xdr:sp>
      <xdr:nvSpPr>
        <xdr:cNvPr id="41" name="Shape 28"/>
        <xdr:cNvSpPr/>
      </xdr:nvSpPr>
      <xdr:spPr>
        <a:xfrm>
          <a:off x="8861400" y="3533760"/>
          <a:ext cx="15789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h = </a:t>
          </a:r>
          <a:r>
            <a:rPr b="0" lang="en-US" sz="1000" strike="noStrike" u="none">
              <a:solidFill>
                <a:srgbClr val="000000"/>
              </a:solidFill>
              <a:effectLst/>
              <a:uFillTx/>
              <a:latin typeface="Arial"/>
              <a:ea typeface="Arial"/>
            </a:rPr>
            <a:t>mean height above surface</a:t>
          </a:r>
          <a:endParaRPr b="0" lang="en-US" sz="1000" strike="noStrike" u="none">
            <a:effectLst/>
            <a:uFillTx/>
            <a:latin typeface="Times New Roman"/>
          </a:endParaRPr>
        </a:p>
      </xdr:txBody>
    </xdr:sp>
    <xdr:clientData/>
  </xdr:twoCellAnchor>
  <xdr:twoCellAnchor editAs="oneCell">
    <xdr:from>
      <xdr:col>7</xdr:col>
      <xdr:colOff>66600</xdr:colOff>
      <xdr:row>24</xdr:row>
      <xdr:rowOff>66600</xdr:rowOff>
    </xdr:from>
    <xdr:to>
      <xdr:col>8</xdr:col>
      <xdr:colOff>419040</xdr:colOff>
      <xdr:row>25</xdr:row>
      <xdr:rowOff>93240</xdr:rowOff>
    </xdr:to>
    <xdr:sp>
      <xdr:nvSpPr>
        <xdr:cNvPr id="42" name="Shape 29"/>
        <xdr:cNvSpPr/>
      </xdr:nvSpPr>
      <xdr:spPr>
        <a:xfrm>
          <a:off x="7151760" y="4029120"/>
          <a:ext cx="9788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Noto Sans Symbols"/>
              <a:ea typeface="Noto Sans Symbols"/>
            </a:rPr>
            <a:t>δ</a:t>
          </a:r>
          <a:r>
            <a:rPr b="0" lang="en-US" sz="1000" strike="noStrike" u="none">
              <a:solidFill>
                <a:srgbClr val="000000"/>
              </a:solidFill>
              <a:effectLst/>
              <a:uFillTx/>
              <a:latin typeface="Noto Sans Symbols"/>
              <a:ea typeface="Noto Sans Symbols"/>
            </a:rPr>
            <a:t>  = </a:t>
          </a:r>
          <a:r>
            <a:rPr b="0" lang="en-US" sz="1000" strike="noStrike" u="none">
              <a:solidFill>
                <a:srgbClr val="000000"/>
              </a:solidFill>
              <a:effectLst/>
              <a:uFillTx/>
              <a:latin typeface="Arial"/>
              <a:ea typeface="Arial"/>
            </a:rPr>
            <a:t>elevation angle</a:t>
          </a:r>
          <a:endParaRPr b="0" lang="en-US" sz="1000" strike="noStrike" u="none">
            <a:effectLst/>
            <a:uFillTx/>
            <a:latin typeface="Times New Roman"/>
          </a:endParaRPr>
        </a:p>
      </xdr:txBody>
    </xdr:sp>
    <xdr:clientData/>
  </xdr:twoCellAnchor>
  <xdr:twoCellAnchor editAs="oneCell">
    <xdr:from>
      <xdr:col>6</xdr:col>
      <xdr:colOff>363600</xdr:colOff>
      <xdr:row>24</xdr:row>
      <xdr:rowOff>75960</xdr:rowOff>
    </xdr:from>
    <xdr:to>
      <xdr:col>6</xdr:col>
      <xdr:colOff>561600</xdr:colOff>
      <xdr:row>27</xdr:row>
      <xdr:rowOff>7200</xdr:rowOff>
    </xdr:to>
    <xdr:sp>
      <xdr:nvSpPr>
        <xdr:cNvPr id="43" name="Shape 30"/>
        <xdr:cNvSpPr/>
      </xdr:nvSpPr>
      <xdr:spPr>
        <a:xfrm rot="4560000">
          <a:off x="6586920" y="4133520"/>
          <a:ext cx="388440" cy="198000"/>
        </a:xfrm>
        <a:prstGeom prst="curvedDown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3</xdr:col>
      <xdr:colOff>428760</xdr:colOff>
      <xdr:row>30</xdr:row>
      <xdr:rowOff>85680</xdr:rowOff>
    </xdr:from>
    <xdr:to>
      <xdr:col>4</xdr:col>
      <xdr:colOff>443160</xdr:colOff>
      <xdr:row>32</xdr:row>
      <xdr:rowOff>150480</xdr:rowOff>
    </xdr:to>
    <xdr:sp>
      <xdr:nvSpPr>
        <xdr:cNvPr id="44" name="Shape 31"/>
        <xdr:cNvSpPr/>
      </xdr:nvSpPr>
      <xdr:spPr>
        <a:xfrm>
          <a:off x="4675680" y="4962600"/>
          <a:ext cx="807480" cy="3693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Earth Station</a:t>
          </a:r>
          <a:endParaRPr b="0" lang="en-US" sz="1000" strike="noStrike" u="none">
            <a:effectLst/>
            <a:uFillTx/>
            <a:latin typeface="Times New Roman"/>
          </a:endParaRPr>
        </a:p>
      </xdr:txBody>
    </xdr:sp>
    <xdr:clientData/>
  </xdr:twoCellAnchor>
  <xdr:twoCellAnchor editAs="oneCell">
    <xdr:from>
      <xdr:col>5</xdr:col>
      <xdr:colOff>285840</xdr:colOff>
      <xdr:row>21</xdr:row>
      <xdr:rowOff>123840</xdr:rowOff>
    </xdr:from>
    <xdr:to>
      <xdr:col>6</xdr:col>
      <xdr:colOff>505440</xdr:colOff>
      <xdr:row>23</xdr:row>
      <xdr:rowOff>7560</xdr:rowOff>
    </xdr:to>
    <xdr:sp>
      <xdr:nvSpPr>
        <xdr:cNvPr id="45" name="Shape 32"/>
        <xdr:cNvSpPr/>
      </xdr:nvSpPr>
      <xdr:spPr>
        <a:xfrm>
          <a:off x="5978160" y="3629160"/>
          <a:ext cx="84564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 </a:t>
          </a:r>
          <a:r>
            <a:rPr b="0" lang="en-US" sz="1000" strike="noStrike" u="none">
              <a:solidFill>
                <a:srgbClr val="000000"/>
              </a:solidFill>
              <a:effectLst/>
              <a:uFillTx/>
              <a:latin typeface="Arial"/>
              <a:ea typeface="Arial"/>
            </a:rPr>
            <a:t>= Slant Range</a:t>
          </a:r>
          <a:endParaRPr b="0" lang="en-US" sz="1000" strike="noStrike" u="none">
            <a:effectLst/>
            <a:uFillTx/>
            <a:latin typeface="Times New Roman"/>
          </a:endParaRPr>
        </a:p>
      </xdr:txBody>
    </xdr:sp>
    <xdr:clientData/>
  </xdr:twoCellAnchor>
  <xdr:twoCellAnchor editAs="oneCell">
    <xdr:from>
      <xdr:col>10</xdr:col>
      <xdr:colOff>19080</xdr:colOff>
      <xdr:row>26</xdr:row>
      <xdr:rowOff>0</xdr:rowOff>
    </xdr:from>
    <xdr:to>
      <xdr:col>10</xdr:col>
      <xdr:colOff>493200</xdr:colOff>
      <xdr:row>27</xdr:row>
      <xdr:rowOff>26280</xdr:rowOff>
    </xdr:to>
    <xdr:sp>
      <xdr:nvSpPr>
        <xdr:cNvPr id="46" name="Shape 33"/>
        <xdr:cNvSpPr/>
      </xdr:nvSpPr>
      <xdr:spPr>
        <a:xfrm>
          <a:off x="9043560" y="4267080"/>
          <a:ext cx="4741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r = h+Re</a:t>
          </a:r>
          <a:endParaRPr b="0" lang="en-US" sz="1000" strike="noStrike" u="none">
            <a:effectLst/>
            <a:uFillTx/>
            <a:latin typeface="Times New Roman"/>
          </a:endParaRPr>
        </a:p>
      </xdr:txBody>
    </xdr:sp>
    <xdr:clientData/>
  </xdr:twoCellAnchor>
  <xdr:twoCellAnchor editAs="oneCell">
    <xdr:from>
      <xdr:col>11</xdr:col>
      <xdr:colOff>409680</xdr:colOff>
      <xdr:row>32</xdr:row>
      <xdr:rowOff>104760</xdr:rowOff>
    </xdr:from>
    <xdr:to>
      <xdr:col>14</xdr:col>
      <xdr:colOff>349920</xdr:colOff>
      <xdr:row>33</xdr:row>
      <xdr:rowOff>131040</xdr:rowOff>
    </xdr:to>
    <xdr:sp>
      <xdr:nvSpPr>
        <xdr:cNvPr id="47" name="Shape 34"/>
        <xdr:cNvSpPr/>
      </xdr:nvSpPr>
      <xdr:spPr>
        <a:xfrm>
          <a:off x="10191960" y="5286240"/>
          <a:ext cx="21697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 = Re[{r^2/Re^2 - cos^2(</a:t>
          </a:r>
          <a:r>
            <a:rPr b="1" lang="en-US" sz="1000" strike="noStrike" u="none">
              <a:solidFill>
                <a:srgbClr val="000000"/>
              </a:solidFill>
              <a:effectLst/>
              <a:uFillTx/>
              <a:latin typeface="Noto Sans Symbols"/>
              <a:ea typeface="Noto Sans Symbols"/>
            </a:rPr>
            <a:t>δ)}</a:t>
          </a:r>
          <a:r>
            <a:rPr b="1" lang="en-US" sz="1000" strike="noStrike" u="none">
              <a:solidFill>
                <a:srgbClr val="000000"/>
              </a:solidFill>
              <a:effectLst/>
              <a:uFillTx/>
              <a:latin typeface="Arial"/>
              <a:ea typeface="Arial"/>
            </a:rPr>
            <a:t>^1/2 - sin </a:t>
          </a:r>
          <a:r>
            <a:rPr b="1" lang="en-US" sz="1000" strike="noStrike" u="none">
              <a:solidFill>
                <a:srgbClr val="000000"/>
              </a:solidFill>
              <a:effectLst/>
              <a:uFillTx/>
              <a:latin typeface="Noto Sans Symbols"/>
              <a:ea typeface="Noto Sans Symbols"/>
            </a:rPr>
            <a:t>δ ]</a:t>
          </a:r>
          <a:endParaRPr b="0" lang="en-US" sz="1000" strike="noStrike" u="none">
            <a:effectLst/>
            <a:uFillTx/>
            <a:latin typeface="Times New Roman"/>
          </a:endParaRPr>
        </a:p>
      </xdr:txBody>
    </xdr:sp>
    <xdr:clientData/>
  </xdr:twoCellAnchor>
  <xdr:twoCellAnchor editAs="oneCell">
    <xdr:from>
      <xdr:col>4</xdr:col>
      <xdr:colOff>266760</xdr:colOff>
      <xdr:row>47</xdr:row>
      <xdr:rowOff>0</xdr:rowOff>
    </xdr:from>
    <xdr:to>
      <xdr:col>5</xdr:col>
      <xdr:colOff>259920</xdr:colOff>
      <xdr:row>50</xdr:row>
      <xdr:rowOff>131040</xdr:rowOff>
    </xdr:to>
    <xdr:sp>
      <xdr:nvSpPr>
        <xdr:cNvPr id="48" name="Shape 35"/>
        <xdr:cNvSpPr/>
      </xdr:nvSpPr>
      <xdr:spPr>
        <a:xfrm>
          <a:off x="5306760" y="7581960"/>
          <a:ext cx="645480" cy="588240"/>
        </a:xfrm>
        <a:prstGeom prst="ellipse">
          <a:avLst/>
        </a:prstGeom>
        <a:solidFill>
          <a:srgbClr val="00ccff"/>
        </a:solidFill>
        <a:ln w="9525">
          <a:solidFill>
            <a:srgbClr val="000000"/>
          </a:solidFill>
          <a:miter/>
        </a:ln>
      </xdr:spPr>
      <xdr:style>
        <a:lnRef idx="0"/>
        <a:fillRef idx="0"/>
        <a:effectRef idx="0"/>
        <a:fontRef idx="minor"/>
      </xdr:style>
    </xdr:sp>
    <xdr:clientData/>
  </xdr:twoCellAnchor>
  <xdr:twoCellAnchor editAs="oneCell">
    <xdr:from>
      <xdr:col>3</xdr:col>
      <xdr:colOff>783720</xdr:colOff>
      <xdr:row>40</xdr:row>
      <xdr:rowOff>0</xdr:rowOff>
    </xdr:from>
    <xdr:to>
      <xdr:col>11</xdr:col>
      <xdr:colOff>104040</xdr:colOff>
      <xdr:row>57</xdr:row>
      <xdr:rowOff>112320</xdr:rowOff>
    </xdr:to>
    <xdr:sp>
      <xdr:nvSpPr>
        <xdr:cNvPr id="49" name="Shape 36"/>
        <xdr:cNvSpPr/>
      </xdr:nvSpPr>
      <xdr:spPr>
        <a:xfrm>
          <a:off x="5030640" y="6515280"/>
          <a:ext cx="4855680" cy="2702880"/>
        </a:xfrm>
        <a:prstGeom prst="ellipse">
          <a:avLst/>
        </a:prstGeom>
        <a:noFill/>
        <a:ln w="28575">
          <a:solidFill>
            <a:srgbClr val="000000"/>
          </a:solidFill>
          <a:miter/>
        </a:ln>
      </xdr:spPr>
      <xdr:style>
        <a:lnRef idx="0"/>
        <a:fillRef idx="0"/>
        <a:effectRef idx="0"/>
        <a:fontRef idx="minor"/>
      </xdr:style>
    </xdr:sp>
    <xdr:clientData/>
  </xdr:twoCellAnchor>
  <xdr:twoCellAnchor editAs="oneCell">
    <xdr:from>
      <xdr:col>3</xdr:col>
      <xdr:colOff>590400</xdr:colOff>
      <xdr:row>48</xdr:row>
      <xdr:rowOff>133560</xdr:rowOff>
    </xdr:from>
    <xdr:to>
      <xdr:col>11</xdr:col>
      <xdr:colOff>38520</xdr:colOff>
      <xdr:row>48</xdr:row>
      <xdr:rowOff>135360</xdr:rowOff>
    </xdr:to>
    <xdr:grpSp>
      <xdr:nvGrpSpPr>
        <xdr:cNvPr id="50" name="Shape 2"/>
        <xdr:cNvGrpSpPr/>
      </xdr:nvGrpSpPr>
      <xdr:grpSpPr>
        <a:xfrm>
          <a:off x="4837320" y="7867800"/>
          <a:ext cx="4983480" cy="1800"/>
          <a:chOff x="4837320" y="7867800"/>
          <a:chExt cx="4983480" cy="1800"/>
        </a:xfrm>
      </xdr:grpSpPr>
      <xdr:cxnSp>
        <xdr:nvCxnSpPr>
          <xdr:cNvPr id="51" name="Shape 37"/>
          <xdr:cNvCxnSpPr/>
        </xdr:nvCxnSpPr>
        <xdr:spPr>
          <a:xfrm>
            <a:off x="4837320" y="7867800"/>
            <a:ext cx="4983840" cy="2160"/>
          </a:xfrm>
          <a:prstGeom prst="straightConnector1">
            <a:avLst/>
          </a:prstGeom>
          <a:ln w="9525">
            <a:solidFill>
              <a:srgbClr val="000000"/>
            </a:solidFill>
            <a:miter/>
          </a:ln>
        </xdr:spPr>
      </xdr:cxnSp>
    </xdr:grpSp>
    <xdr:clientData/>
  </xdr:twoCellAnchor>
  <xdr:twoCellAnchor editAs="oneCell">
    <xdr:from>
      <xdr:col>10</xdr:col>
      <xdr:colOff>152280</xdr:colOff>
      <xdr:row>42</xdr:row>
      <xdr:rowOff>0</xdr:rowOff>
    </xdr:from>
    <xdr:to>
      <xdr:col>10</xdr:col>
      <xdr:colOff>340560</xdr:colOff>
      <xdr:row>43</xdr:row>
      <xdr:rowOff>7200</xdr:rowOff>
    </xdr:to>
    <xdr:sp>
      <xdr:nvSpPr>
        <xdr:cNvPr id="52" name="Shape 38"/>
        <xdr:cNvSpPr/>
      </xdr:nvSpPr>
      <xdr:spPr>
        <a:xfrm>
          <a:off x="9176760" y="6819840"/>
          <a:ext cx="188280" cy="159840"/>
        </a:xfrm>
        <a:prstGeom prst="flowChartMagneticDrum">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199800</xdr:colOff>
      <xdr:row>42</xdr:row>
      <xdr:rowOff>66600</xdr:rowOff>
    </xdr:from>
    <xdr:to>
      <xdr:col>10</xdr:col>
      <xdr:colOff>153000</xdr:colOff>
      <xdr:row>42</xdr:row>
      <xdr:rowOff>68400</xdr:rowOff>
    </xdr:to>
    <xdr:grpSp>
      <xdr:nvGrpSpPr>
        <xdr:cNvPr id="53" name="Shape 2"/>
        <xdr:cNvGrpSpPr/>
      </xdr:nvGrpSpPr>
      <xdr:grpSpPr>
        <a:xfrm>
          <a:off x="8537400" y="6886440"/>
          <a:ext cx="640080" cy="1800"/>
          <a:chOff x="8537400" y="6886440"/>
          <a:chExt cx="640080" cy="1800"/>
        </a:xfrm>
      </xdr:grpSpPr>
      <xdr:cxnSp>
        <xdr:nvCxnSpPr>
          <xdr:cNvPr id="54" name="Shape 39"/>
          <xdr:cNvCxnSpPr/>
        </xdr:nvCxnSpPr>
        <xdr:spPr>
          <a:xfrm flipH="1">
            <a:off x="8537400" y="6886440"/>
            <a:ext cx="640440" cy="2160"/>
          </a:xfrm>
          <a:prstGeom prst="straightConnector1">
            <a:avLst/>
          </a:prstGeom>
          <a:ln w="9525">
            <a:solidFill>
              <a:srgbClr val="000000"/>
            </a:solidFill>
            <a:miter/>
            <a:tailEnd len="med" type="triangle" w="med"/>
          </a:ln>
        </xdr:spPr>
      </xdr:cxnSp>
    </xdr:grpSp>
    <xdr:clientData/>
  </xdr:twoCellAnchor>
  <xdr:twoCellAnchor editAs="oneCell">
    <xdr:from>
      <xdr:col>4</xdr:col>
      <xdr:colOff>580320</xdr:colOff>
      <xdr:row>42</xdr:row>
      <xdr:rowOff>75960</xdr:rowOff>
    </xdr:from>
    <xdr:to>
      <xdr:col>10</xdr:col>
      <xdr:colOff>36720</xdr:colOff>
      <xdr:row>49</xdr:row>
      <xdr:rowOff>1440</xdr:rowOff>
    </xdr:to>
    <xdr:grpSp>
      <xdr:nvGrpSpPr>
        <xdr:cNvPr id="55" name="Shape 2"/>
        <xdr:cNvGrpSpPr/>
      </xdr:nvGrpSpPr>
      <xdr:grpSpPr>
        <a:xfrm>
          <a:off x="5620320" y="6895800"/>
          <a:ext cx="3440880" cy="992520"/>
          <a:chOff x="5620320" y="6895800"/>
          <a:chExt cx="3440880" cy="992520"/>
        </a:xfrm>
      </xdr:grpSpPr>
      <xdr:cxnSp>
        <xdr:nvCxnSpPr>
          <xdr:cNvPr id="56" name="Shape 40"/>
          <xdr:cNvCxnSpPr/>
        </xdr:nvCxnSpPr>
        <xdr:spPr>
          <a:xfrm flipH="1">
            <a:off x="5620320" y="6895800"/>
            <a:ext cx="3441240" cy="992880"/>
          </a:xfrm>
          <a:prstGeom prst="straightConnector1">
            <a:avLst/>
          </a:prstGeom>
          <a:ln w="9525">
            <a:solidFill>
              <a:srgbClr val="000000"/>
            </a:solidFill>
            <a:miter/>
          </a:ln>
        </xdr:spPr>
      </xdr:cxnSp>
    </xdr:grpSp>
    <xdr:clientData/>
  </xdr:twoCellAnchor>
  <xdr:twoCellAnchor editAs="oneCell">
    <xdr:from>
      <xdr:col>4</xdr:col>
      <xdr:colOff>561960</xdr:colOff>
      <xdr:row>48</xdr:row>
      <xdr:rowOff>85680</xdr:rowOff>
    </xdr:from>
    <xdr:to>
      <xdr:col>4</xdr:col>
      <xdr:colOff>563760</xdr:colOff>
      <xdr:row>49</xdr:row>
      <xdr:rowOff>77760</xdr:rowOff>
    </xdr:to>
    <xdr:grpSp>
      <xdr:nvGrpSpPr>
        <xdr:cNvPr id="57" name="Shape 2"/>
        <xdr:cNvGrpSpPr/>
      </xdr:nvGrpSpPr>
      <xdr:grpSpPr>
        <a:xfrm>
          <a:off x="5601960" y="7819920"/>
          <a:ext cx="1800" cy="144720"/>
          <a:chOff x="5601960" y="7819920"/>
          <a:chExt cx="1800" cy="144720"/>
        </a:xfrm>
      </xdr:grpSpPr>
      <xdr:cxnSp>
        <xdr:nvCxnSpPr>
          <xdr:cNvPr id="58" name="Shape 41"/>
          <xdr:cNvCxnSpPr/>
        </xdr:nvCxnSpPr>
        <xdr:spPr>
          <a:xfrm>
            <a:off x="5601960" y="7819920"/>
            <a:ext cx="2160" cy="145080"/>
          </a:xfrm>
          <a:prstGeom prst="straightConnector1">
            <a:avLst/>
          </a:prstGeom>
          <a:ln w="9525">
            <a:solidFill>
              <a:srgbClr val="000000"/>
            </a:solidFill>
            <a:miter/>
          </a:ln>
        </xdr:spPr>
      </xdr:cxnSp>
    </xdr:grpSp>
    <xdr:clientData/>
  </xdr:twoCellAnchor>
  <xdr:twoCellAnchor editAs="oneCell">
    <xdr:from>
      <xdr:col>5</xdr:col>
      <xdr:colOff>114120</xdr:colOff>
      <xdr:row>42</xdr:row>
      <xdr:rowOff>66600</xdr:rowOff>
    </xdr:from>
    <xdr:to>
      <xdr:col>8</xdr:col>
      <xdr:colOff>611280</xdr:colOff>
      <xdr:row>42</xdr:row>
      <xdr:rowOff>68400</xdr:rowOff>
    </xdr:to>
    <xdr:grpSp>
      <xdr:nvGrpSpPr>
        <xdr:cNvPr id="59" name="Shape 2"/>
        <xdr:cNvGrpSpPr/>
      </xdr:nvGrpSpPr>
      <xdr:grpSpPr>
        <a:xfrm>
          <a:off x="5806440" y="6886440"/>
          <a:ext cx="2516400" cy="1800"/>
          <a:chOff x="5806440" y="6886440"/>
          <a:chExt cx="2516400" cy="1800"/>
        </a:xfrm>
      </xdr:grpSpPr>
      <xdr:cxnSp>
        <xdr:nvCxnSpPr>
          <xdr:cNvPr id="60" name="Shape 42"/>
          <xdr:cNvCxnSpPr/>
        </xdr:nvCxnSpPr>
        <xdr:spPr>
          <a:xfrm flipH="1">
            <a:off x="5806440" y="6886440"/>
            <a:ext cx="2516760" cy="2160"/>
          </a:xfrm>
          <a:prstGeom prst="straightConnector1">
            <a:avLst/>
          </a:prstGeom>
          <a:ln w="9525">
            <a:solidFill>
              <a:srgbClr val="000000"/>
            </a:solidFill>
            <a:miter/>
          </a:ln>
        </xdr:spPr>
      </xdr:cxnSp>
    </xdr:grpSp>
    <xdr:clientData/>
  </xdr:twoCellAnchor>
  <xdr:twoCellAnchor editAs="oneCell">
    <xdr:from>
      <xdr:col>5</xdr:col>
      <xdr:colOff>75960</xdr:colOff>
      <xdr:row>42</xdr:row>
      <xdr:rowOff>75960</xdr:rowOff>
    </xdr:from>
    <xdr:to>
      <xdr:col>10</xdr:col>
      <xdr:colOff>50760</xdr:colOff>
      <xdr:row>50</xdr:row>
      <xdr:rowOff>125280</xdr:rowOff>
    </xdr:to>
    <xdr:grpSp>
      <xdr:nvGrpSpPr>
        <xdr:cNvPr id="61" name="Shape 2"/>
        <xdr:cNvGrpSpPr/>
      </xdr:nvGrpSpPr>
      <xdr:grpSpPr>
        <a:xfrm>
          <a:off x="5768280" y="6895800"/>
          <a:ext cx="3306960" cy="1268640"/>
          <a:chOff x="5768280" y="6895800"/>
          <a:chExt cx="3306960" cy="1268640"/>
        </a:xfrm>
      </xdr:grpSpPr>
      <xdr:cxnSp>
        <xdr:nvCxnSpPr>
          <xdr:cNvPr id="62" name="Shape 43"/>
          <xdr:cNvCxnSpPr/>
        </xdr:nvCxnSpPr>
        <xdr:spPr>
          <a:xfrm flipH="1">
            <a:off x="5768280" y="6895800"/>
            <a:ext cx="3307320" cy="1269000"/>
          </a:xfrm>
          <a:prstGeom prst="straightConnector1">
            <a:avLst/>
          </a:prstGeom>
          <a:ln w="9525">
            <a:solidFill>
              <a:srgbClr val="ff0000"/>
            </a:solidFill>
            <a:miter/>
          </a:ln>
        </xdr:spPr>
      </xdr:cxnSp>
    </xdr:grpSp>
    <xdr:clientData/>
  </xdr:twoCellAnchor>
  <xdr:twoCellAnchor editAs="oneCell">
    <xdr:from>
      <xdr:col>3</xdr:col>
      <xdr:colOff>171360</xdr:colOff>
      <xdr:row>79</xdr:row>
      <xdr:rowOff>47520</xdr:rowOff>
    </xdr:from>
    <xdr:to>
      <xdr:col>7</xdr:col>
      <xdr:colOff>64800</xdr:colOff>
      <xdr:row>81</xdr:row>
      <xdr:rowOff>73800</xdr:rowOff>
    </xdr:to>
    <xdr:sp>
      <xdr:nvSpPr>
        <xdr:cNvPr id="63" name="Shape 44"/>
        <xdr:cNvSpPr/>
      </xdr:nvSpPr>
      <xdr:spPr>
        <a:xfrm>
          <a:off x="4418280" y="12648960"/>
          <a:ext cx="273168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3) </a:t>
          </a:r>
          <a:r>
            <a:rPr b="0" lang="en-US" sz="1000" strike="noStrike" u="none">
              <a:solidFill>
                <a:srgbClr val="000000"/>
              </a:solidFill>
              <a:effectLst/>
              <a:uFillTx/>
              <a:latin typeface="Arial"/>
              <a:ea typeface="Arial"/>
            </a:rPr>
            <a:t>If CASE No. 14 is Selected, Choose Mean  Anomaly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Value and S/C Rcvr Antenna Temp. and Enter Here.</a:t>
          </a:r>
          <a:endParaRPr b="0" lang="en-US" sz="1000" strike="noStrike" u="none">
            <a:effectLst/>
            <a:uFillTx/>
            <a:latin typeface="Times New Roman"/>
          </a:endParaRPr>
        </a:p>
      </xdr:txBody>
    </xdr:sp>
    <xdr:clientData/>
  </xdr:twoCellAnchor>
  <xdr:twoCellAnchor editAs="oneCell">
    <xdr:from>
      <xdr:col>3</xdr:col>
      <xdr:colOff>152280</xdr:colOff>
      <xdr:row>79</xdr:row>
      <xdr:rowOff>28440</xdr:rowOff>
    </xdr:from>
    <xdr:to>
      <xdr:col>8</xdr:col>
      <xdr:colOff>9720</xdr:colOff>
      <xdr:row>81</xdr:row>
      <xdr:rowOff>102240</xdr:rowOff>
    </xdr:to>
    <xdr:sp>
      <xdr:nvSpPr>
        <xdr:cNvPr id="64" name="Shape 45"/>
        <xdr:cNvSpPr/>
      </xdr:nvSpPr>
      <xdr:spPr>
        <a:xfrm>
          <a:off x="4399200" y="12629880"/>
          <a:ext cx="3322080" cy="37872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2</xdr:col>
      <xdr:colOff>399960</xdr:colOff>
      <xdr:row>80</xdr:row>
      <xdr:rowOff>56880</xdr:rowOff>
    </xdr:from>
    <xdr:to>
      <xdr:col>3</xdr:col>
      <xdr:colOff>112680</xdr:colOff>
      <xdr:row>80</xdr:row>
      <xdr:rowOff>58680</xdr:rowOff>
    </xdr:to>
    <xdr:grpSp>
      <xdr:nvGrpSpPr>
        <xdr:cNvPr id="65" name="Shape 2"/>
        <xdr:cNvGrpSpPr/>
      </xdr:nvGrpSpPr>
      <xdr:grpSpPr>
        <a:xfrm>
          <a:off x="3748320" y="12810960"/>
          <a:ext cx="611280" cy="1800"/>
          <a:chOff x="3748320" y="12810960"/>
          <a:chExt cx="611280" cy="1800"/>
        </a:xfrm>
      </xdr:grpSpPr>
      <xdr:cxnSp>
        <xdr:nvCxnSpPr>
          <xdr:cNvPr id="66" name="Shape 46"/>
          <xdr:cNvCxnSpPr/>
        </xdr:nvCxnSpPr>
        <xdr:spPr>
          <a:xfrm flipH="1">
            <a:off x="3748320" y="12810960"/>
            <a:ext cx="611640" cy="2160"/>
          </a:xfrm>
          <a:prstGeom prst="straightConnector1">
            <a:avLst/>
          </a:prstGeom>
          <a:ln w="19050">
            <a:solidFill>
              <a:srgbClr val="000000"/>
            </a:solidFill>
            <a:miter/>
          </a:ln>
        </xdr:spPr>
      </xdr:cxnSp>
    </xdr:grpSp>
    <xdr:clientData/>
  </xdr:twoCellAnchor>
  <xdr:twoCellAnchor editAs="oneCell">
    <xdr:from>
      <xdr:col>2</xdr:col>
      <xdr:colOff>390240</xdr:colOff>
      <xdr:row>77</xdr:row>
      <xdr:rowOff>132840</xdr:rowOff>
    </xdr:from>
    <xdr:to>
      <xdr:col>2</xdr:col>
      <xdr:colOff>392040</xdr:colOff>
      <xdr:row>80</xdr:row>
      <xdr:rowOff>58680</xdr:rowOff>
    </xdr:to>
    <xdr:grpSp>
      <xdr:nvGrpSpPr>
        <xdr:cNvPr id="67" name="Shape 2"/>
        <xdr:cNvGrpSpPr/>
      </xdr:nvGrpSpPr>
      <xdr:grpSpPr>
        <a:xfrm>
          <a:off x="3738600" y="12429720"/>
          <a:ext cx="1800" cy="383040"/>
          <a:chOff x="3738600" y="12429720"/>
          <a:chExt cx="1800" cy="383040"/>
        </a:xfrm>
      </xdr:grpSpPr>
      <xdr:cxnSp>
        <xdr:nvCxnSpPr>
          <xdr:cNvPr id="68" name="Shape 47"/>
          <xdr:cNvCxnSpPr/>
        </xdr:nvCxnSpPr>
        <xdr:spPr>
          <a:xfrm flipV="1">
            <a:off x="3738600" y="12429720"/>
            <a:ext cx="2160" cy="383400"/>
          </a:xfrm>
          <a:prstGeom prst="straightConnector1">
            <a:avLst/>
          </a:prstGeom>
          <a:ln w="19050">
            <a:solidFill>
              <a:srgbClr val="000000"/>
            </a:solidFill>
            <a:miter/>
            <a:tailEnd len="med" type="triangle" w="med"/>
          </a:ln>
        </xdr:spPr>
      </xdr:cxnSp>
    </xdr:grpSp>
    <xdr:clientData/>
  </xdr:twoCellAnchor>
  <xdr:twoCellAnchor editAs="oneCell">
    <xdr:from>
      <xdr:col>0</xdr:col>
      <xdr:colOff>85680</xdr:colOff>
      <xdr:row>56</xdr:row>
      <xdr:rowOff>123840</xdr:rowOff>
    </xdr:from>
    <xdr:to>
      <xdr:col>0</xdr:col>
      <xdr:colOff>1959840</xdr:colOff>
      <xdr:row>60</xdr:row>
      <xdr:rowOff>7560</xdr:rowOff>
    </xdr:to>
    <xdr:sp>
      <xdr:nvSpPr>
        <xdr:cNvPr id="69" name="Shape 48"/>
        <xdr:cNvSpPr/>
      </xdr:nvSpPr>
      <xdr:spPr>
        <a:xfrm>
          <a:off x="85680" y="9077400"/>
          <a:ext cx="1874160" cy="493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2) </a:t>
          </a:r>
          <a:r>
            <a:rPr b="0" lang="en-US" sz="1000" strike="noStrike" u="none">
              <a:solidFill>
                <a:srgbClr val="000000"/>
              </a:solidFill>
              <a:effectLst/>
              <a:uFillTx/>
              <a:latin typeface="Arial"/>
              <a:ea typeface="Arial"/>
            </a:rPr>
            <a:t>Choose Case No. and Enter Here.</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Proceed to "Uplink &amp; Downlink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Choices" Below.</a:t>
          </a:r>
          <a:endParaRPr b="0" lang="en-US" sz="1000" strike="noStrike" u="none">
            <a:effectLst/>
            <a:uFillTx/>
            <a:latin typeface="Times New Roman"/>
          </a:endParaRPr>
        </a:p>
      </xdr:txBody>
    </xdr:sp>
    <xdr:clientData/>
  </xdr:twoCellAnchor>
  <xdr:twoCellAnchor editAs="oneCell">
    <xdr:from>
      <xdr:col>0</xdr:col>
      <xdr:colOff>47520</xdr:colOff>
      <xdr:row>56</xdr:row>
      <xdr:rowOff>85680</xdr:rowOff>
    </xdr:from>
    <xdr:to>
      <xdr:col>1</xdr:col>
      <xdr:colOff>387360</xdr:colOff>
      <xdr:row>60</xdr:row>
      <xdr:rowOff>16920</xdr:rowOff>
    </xdr:to>
    <xdr:sp>
      <xdr:nvSpPr>
        <xdr:cNvPr id="70" name="Shape 49"/>
        <xdr:cNvSpPr/>
      </xdr:nvSpPr>
      <xdr:spPr>
        <a:xfrm>
          <a:off x="47520" y="9039240"/>
          <a:ext cx="2331360" cy="54072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1</xdr:col>
      <xdr:colOff>304560</xdr:colOff>
      <xdr:row>60</xdr:row>
      <xdr:rowOff>18720</xdr:rowOff>
    </xdr:from>
    <xdr:to>
      <xdr:col>1</xdr:col>
      <xdr:colOff>306360</xdr:colOff>
      <xdr:row>62</xdr:row>
      <xdr:rowOff>1440</xdr:rowOff>
    </xdr:to>
    <xdr:grpSp>
      <xdr:nvGrpSpPr>
        <xdr:cNvPr id="71" name="Shape 2"/>
        <xdr:cNvGrpSpPr/>
      </xdr:nvGrpSpPr>
      <xdr:grpSpPr>
        <a:xfrm>
          <a:off x="2296080" y="9581760"/>
          <a:ext cx="1800" cy="306720"/>
          <a:chOff x="2296080" y="9581760"/>
          <a:chExt cx="1800" cy="306720"/>
        </a:xfrm>
      </xdr:grpSpPr>
      <xdr:cxnSp>
        <xdr:nvCxnSpPr>
          <xdr:cNvPr id="72" name="Shape 50"/>
          <xdr:cNvCxnSpPr/>
        </xdr:nvCxnSpPr>
        <xdr:spPr>
          <a:xfrm>
            <a:off x="2296080" y="9581760"/>
            <a:ext cx="2160" cy="307080"/>
          </a:xfrm>
          <a:prstGeom prst="straightConnector1">
            <a:avLst/>
          </a:prstGeom>
          <a:ln w="19050">
            <a:solidFill>
              <a:srgbClr val="000000"/>
            </a:solidFill>
            <a:miter/>
            <a:tailEnd len="med" type="triangle" w="med"/>
          </a:ln>
        </xdr:spPr>
      </xdr:cxnSp>
    </xdr:grpSp>
    <xdr:clientData/>
  </xdr:twoCellAnchor>
  <xdr:twoCellAnchor editAs="oneCell">
    <xdr:from>
      <xdr:col>0</xdr:col>
      <xdr:colOff>142920</xdr:colOff>
      <xdr:row>53</xdr:row>
      <xdr:rowOff>66600</xdr:rowOff>
    </xdr:from>
    <xdr:to>
      <xdr:col>0</xdr:col>
      <xdr:colOff>1836360</xdr:colOff>
      <xdr:row>55</xdr:row>
      <xdr:rowOff>92880</xdr:rowOff>
    </xdr:to>
    <xdr:sp>
      <xdr:nvSpPr>
        <xdr:cNvPr id="73" name="Shape 51"/>
        <xdr:cNvSpPr/>
      </xdr:nvSpPr>
      <xdr:spPr>
        <a:xfrm>
          <a:off x="142920" y="8562960"/>
          <a:ext cx="169344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1)</a:t>
          </a:r>
          <a:r>
            <a:rPr b="0" lang="en-US" sz="1000" strike="noStrike" u="none">
              <a:solidFill>
                <a:srgbClr val="000000"/>
              </a:solidFill>
              <a:effectLst/>
              <a:uFillTx/>
              <a:latin typeface="Arial"/>
              <a:ea typeface="Arial"/>
            </a:rPr>
            <a:t> To Change Orbit Keplarians</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Modify </a:t>
          </a:r>
          <a:r>
            <a:rPr b="1" lang="en-US" sz="1000" strike="noStrike" u="none">
              <a:solidFill>
                <a:srgbClr val="000000"/>
              </a:solidFill>
              <a:effectLst/>
              <a:uFillTx/>
              <a:latin typeface="Arial"/>
              <a:ea typeface="Arial"/>
            </a:rPr>
            <a:t>ONLY</a:t>
          </a:r>
          <a:r>
            <a:rPr b="0" lang="en-US" sz="1000" strike="noStrike" u="none">
              <a:solidFill>
                <a:srgbClr val="000000"/>
              </a:solidFill>
              <a:effectLst/>
              <a:uFillTx/>
              <a:latin typeface="Arial"/>
              <a:ea typeface="Arial"/>
            </a:rPr>
            <a:t> </a:t>
          </a:r>
          <a:r>
            <a:rPr b="0" lang="en-US" sz="1000" strike="noStrike" u="none">
              <a:solidFill>
                <a:srgbClr val="0000ff"/>
              </a:solidFill>
              <a:effectLst/>
              <a:uFillTx/>
              <a:latin typeface="Arial"/>
              <a:ea typeface="Arial"/>
            </a:rPr>
            <a:t>Blue</a:t>
          </a:r>
          <a:r>
            <a:rPr b="0" lang="en-US" sz="1000" strike="noStrike" u="none">
              <a:solidFill>
                <a:srgbClr val="000000"/>
              </a:solidFill>
              <a:effectLst/>
              <a:uFillTx/>
              <a:latin typeface="Arial"/>
              <a:ea typeface="Arial"/>
            </a:rPr>
            <a:t> Values Above.</a:t>
          </a:r>
          <a:endParaRPr b="0" lang="en-US" sz="1000" strike="noStrike" u="none">
            <a:effectLst/>
            <a:uFillTx/>
            <a:latin typeface="Times New Roman"/>
          </a:endParaRPr>
        </a:p>
      </xdr:txBody>
    </xdr:sp>
    <xdr:clientData/>
  </xdr:twoCellAnchor>
  <xdr:twoCellAnchor editAs="oneCell">
    <xdr:from>
      <xdr:col>0</xdr:col>
      <xdr:colOff>95400</xdr:colOff>
      <xdr:row>53</xdr:row>
      <xdr:rowOff>38160</xdr:rowOff>
    </xdr:from>
    <xdr:to>
      <xdr:col>1</xdr:col>
      <xdr:colOff>330480</xdr:colOff>
      <xdr:row>55</xdr:row>
      <xdr:rowOff>131040</xdr:rowOff>
    </xdr:to>
    <xdr:sp>
      <xdr:nvSpPr>
        <xdr:cNvPr id="74" name="Shape 52"/>
        <xdr:cNvSpPr/>
      </xdr:nvSpPr>
      <xdr:spPr>
        <a:xfrm>
          <a:off x="95400" y="8534520"/>
          <a:ext cx="2226600" cy="397800"/>
        </a:xfrm>
        <a:prstGeom prst="rect">
          <a:avLst/>
        </a:prstGeom>
        <a:noFill/>
        <a:ln w="19050">
          <a:solidFill>
            <a:srgbClr val="000000"/>
          </a:solidFill>
          <a:miter/>
        </a:ln>
      </xdr:spPr>
      <xdr:style>
        <a:lnRef idx="0"/>
        <a:fillRef idx="0"/>
        <a:effectRef idx="0"/>
        <a:fontRef idx="minor"/>
      </xdr:style>
    </xdr:sp>
    <xdr:clientData/>
  </xdr:twoCellAnchor>
  <xdr:twoCellAnchor editAs="oneCell">
    <xdr:from>
      <xdr:col>7</xdr:col>
      <xdr:colOff>295200</xdr:colOff>
      <xdr:row>77</xdr:row>
      <xdr:rowOff>56880</xdr:rowOff>
    </xdr:from>
    <xdr:to>
      <xdr:col>7</xdr:col>
      <xdr:colOff>534960</xdr:colOff>
      <xdr:row>77</xdr:row>
      <xdr:rowOff>58680</xdr:rowOff>
    </xdr:to>
    <xdr:grpSp>
      <xdr:nvGrpSpPr>
        <xdr:cNvPr id="75" name="Shape 2"/>
        <xdr:cNvGrpSpPr/>
      </xdr:nvGrpSpPr>
      <xdr:grpSpPr>
        <a:xfrm>
          <a:off x="7380360" y="12353760"/>
          <a:ext cx="239760" cy="1800"/>
          <a:chOff x="7380360" y="12353760"/>
          <a:chExt cx="239760" cy="1800"/>
        </a:xfrm>
      </xdr:grpSpPr>
      <xdr:cxnSp>
        <xdr:nvCxnSpPr>
          <xdr:cNvPr id="76" name="Shape 53"/>
          <xdr:cNvCxnSpPr/>
        </xdr:nvCxnSpPr>
        <xdr:spPr>
          <a:xfrm flipH="1">
            <a:off x="7380360" y="12353760"/>
            <a:ext cx="240120" cy="2160"/>
          </a:xfrm>
          <a:prstGeom prst="straightConnector1">
            <a:avLst/>
          </a:prstGeom>
          <a:ln w="19050">
            <a:solidFill>
              <a:srgbClr val="000000"/>
            </a:solidFill>
            <a:miter/>
            <a:tailEnd len="med" type="triangle" w="med"/>
          </a:ln>
        </xdr:spPr>
      </xdr:cxnSp>
    </xdr:grpSp>
    <xdr:clientData/>
  </xdr:twoCellAnchor>
  <xdr:twoCellAnchor editAs="oneCell">
    <xdr:from>
      <xdr:col>8</xdr:col>
      <xdr:colOff>495360</xdr:colOff>
      <xdr:row>42</xdr:row>
      <xdr:rowOff>114480</xdr:rowOff>
    </xdr:from>
    <xdr:to>
      <xdr:col>8</xdr:col>
      <xdr:colOff>588600</xdr:colOff>
      <xdr:row>44</xdr:row>
      <xdr:rowOff>36000</xdr:rowOff>
    </xdr:to>
    <xdr:sp>
      <xdr:nvSpPr>
        <xdr:cNvPr id="77" name="Shape 54"/>
        <xdr:cNvSpPr/>
      </xdr:nvSpPr>
      <xdr:spPr>
        <a:xfrm>
          <a:off x="8206920" y="6934320"/>
          <a:ext cx="93240" cy="22644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97560</xdr:colOff>
      <xdr:row>47</xdr:row>
      <xdr:rowOff>67680</xdr:rowOff>
    </xdr:from>
    <xdr:to>
      <xdr:col>6</xdr:col>
      <xdr:colOff>190800</xdr:colOff>
      <xdr:row>48</xdr:row>
      <xdr:rowOff>132480</xdr:rowOff>
    </xdr:to>
    <xdr:sp>
      <xdr:nvSpPr>
        <xdr:cNvPr id="78" name="Shape 55"/>
        <xdr:cNvSpPr/>
      </xdr:nvSpPr>
      <xdr:spPr>
        <a:xfrm rot="10560000">
          <a:off x="6415560" y="7649280"/>
          <a:ext cx="93240" cy="21708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7</xdr:col>
      <xdr:colOff>304920</xdr:colOff>
      <xdr:row>45</xdr:row>
      <xdr:rowOff>123840</xdr:rowOff>
    </xdr:from>
    <xdr:to>
      <xdr:col>7</xdr:col>
      <xdr:colOff>388440</xdr:colOff>
      <xdr:row>46</xdr:row>
      <xdr:rowOff>111960</xdr:rowOff>
    </xdr:to>
    <xdr:sp>
      <xdr:nvSpPr>
        <xdr:cNvPr id="79" name="Shape 56"/>
        <xdr:cNvSpPr/>
      </xdr:nvSpPr>
      <xdr:spPr>
        <a:xfrm>
          <a:off x="7390080" y="7400880"/>
          <a:ext cx="83520" cy="14076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19080</xdr:colOff>
      <xdr:row>42</xdr:row>
      <xdr:rowOff>85680</xdr:rowOff>
    </xdr:from>
    <xdr:to>
      <xdr:col>9</xdr:col>
      <xdr:colOff>112320</xdr:colOff>
      <xdr:row>43</xdr:row>
      <xdr:rowOff>111960</xdr:rowOff>
    </xdr:to>
    <xdr:sp>
      <xdr:nvSpPr>
        <xdr:cNvPr id="80" name="Shape 57"/>
        <xdr:cNvSpPr/>
      </xdr:nvSpPr>
      <xdr:spPr>
        <a:xfrm>
          <a:off x="8356680" y="6905520"/>
          <a:ext cx="932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α</a:t>
          </a:r>
          <a:endParaRPr b="0" lang="en-US" sz="1000" strike="noStrike" u="none">
            <a:effectLst/>
            <a:uFillTx/>
            <a:latin typeface="Times New Roman"/>
          </a:endParaRPr>
        </a:p>
      </xdr:txBody>
    </xdr:sp>
    <xdr:clientData/>
  </xdr:twoCellAnchor>
  <xdr:twoCellAnchor editAs="oneCell">
    <xdr:from>
      <xdr:col>5</xdr:col>
      <xdr:colOff>533520</xdr:colOff>
      <xdr:row>47</xdr:row>
      <xdr:rowOff>123840</xdr:rowOff>
    </xdr:from>
    <xdr:to>
      <xdr:col>6</xdr:col>
      <xdr:colOff>720</xdr:colOff>
      <xdr:row>49</xdr:row>
      <xdr:rowOff>7200</xdr:rowOff>
    </xdr:to>
    <xdr:sp>
      <xdr:nvSpPr>
        <xdr:cNvPr id="81" name="Shape 58"/>
        <xdr:cNvSpPr/>
      </xdr:nvSpPr>
      <xdr:spPr>
        <a:xfrm>
          <a:off x="6225840" y="7705800"/>
          <a:ext cx="9324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β</a:t>
          </a:r>
          <a:endParaRPr b="0" lang="en-US" sz="1000" strike="noStrike" u="none">
            <a:effectLst/>
            <a:uFillTx/>
            <a:latin typeface="Times New Roman"/>
          </a:endParaRPr>
        </a:p>
      </xdr:txBody>
    </xdr:sp>
    <xdr:clientData/>
  </xdr:twoCellAnchor>
  <xdr:twoCellAnchor editAs="oneCell">
    <xdr:from>
      <xdr:col>4</xdr:col>
      <xdr:colOff>484560</xdr:colOff>
      <xdr:row>42</xdr:row>
      <xdr:rowOff>75960</xdr:rowOff>
    </xdr:from>
    <xdr:to>
      <xdr:col>10</xdr:col>
      <xdr:colOff>27000</xdr:colOff>
      <xdr:row>47</xdr:row>
      <xdr:rowOff>11160</xdr:rowOff>
    </xdr:to>
    <xdr:grpSp>
      <xdr:nvGrpSpPr>
        <xdr:cNvPr id="82" name="Shape 2"/>
        <xdr:cNvGrpSpPr/>
      </xdr:nvGrpSpPr>
      <xdr:grpSpPr>
        <a:xfrm>
          <a:off x="5524560" y="6895800"/>
          <a:ext cx="3526920" cy="697320"/>
          <a:chOff x="5524560" y="6895800"/>
          <a:chExt cx="3526920" cy="697320"/>
        </a:xfrm>
      </xdr:grpSpPr>
      <xdr:cxnSp>
        <xdr:nvCxnSpPr>
          <xdr:cNvPr id="83" name="Shape 59"/>
          <xdr:cNvCxnSpPr/>
        </xdr:nvCxnSpPr>
        <xdr:spPr>
          <a:xfrm flipH="1">
            <a:off x="5524560" y="6895800"/>
            <a:ext cx="3527280" cy="697680"/>
          </a:xfrm>
          <a:prstGeom prst="straightConnector1">
            <a:avLst/>
          </a:prstGeom>
          <a:ln w="9525">
            <a:solidFill>
              <a:srgbClr val="ff0000"/>
            </a:solidFill>
            <a:miter/>
          </a:ln>
        </xdr:spPr>
      </xdr:cxnSp>
    </xdr:grpSp>
    <xdr:clientData/>
  </xdr:twoCellAnchor>
  <xdr:twoCellAnchor editAs="oneCell">
    <xdr:from>
      <xdr:col>6</xdr:col>
      <xdr:colOff>466560</xdr:colOff>
      <xdr:row>45</xdr:row>
      <xdr:rowOff>47520</xdr:rowOff>
    </xdr:from>
    <xdr:to>
      <xdr:col>7</xdr:col>
      <xdr:colOff>40680</xdr:colOff>
      <xdr:row>48</xdr:row>
      <xdr:rowOff>73800</xdr:rowOff>
    </xdr:to>
    <xdr:sp>
      <xdr:nvSpPr>
        <xdr:cNvPr id="84" name="Shape 60"/>
        <xdr:cNvSpPr/>
      </xdr:nvSpPr>
      <xdr:spPr>
        <a:xfrm rot="20580000">
          <a:off x="6784560" y="7324560"/>
          <a:ext cx="340920" cy="483480"/>
        </a:xfrm>
        <a:prstGeom prst="curvedRightArrow">
          <a:avLst>
            <a:gd name="adj1" fmla="val 25000"/>
            <a:gd name="adj2" fmla="val 50000"/>
            <a:gd name="adj3" fmla="val 25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542880</xdr:colOff>
      <xdr:row>45</xdr:row>
      <xdr:rowOff>66600</xdr:rowOff>
    </xdr:from>
    <xdr:to>
      <xdr:col>6</xdr:col>
      <xdr:colOff>607320</xdr:colOff>
      <xdr:row>46</xdr:row>
      <xdr:rowOff>92880</xdr:rowOff>
    </xdr:to>
    <xdr:sp>
      <xdr:nvSpPr>
        <xdr:cNvPr id="85" name="Shape 61"/>
        <xdr:cNvSpPr/>
      </xdr:nvSpPr>
      <xdr:spPr>
        <a:xfrm>
          <a:off x="6861240" y="7343640"/>
          <a:ext cx="644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γ</a:t>
          </a:r>
          <a:endParaRPr b="0" lang="en-US" sz="1000" strike="noStrike" u="none">
            <a:effectLst/>
            <a:uFillTx/>
            <a:latin typeface="Times New Roman"/>
          </a:endParaRPr>
        </a:p>
      </xdr:txBody>
    </xdr:sp>
    <xdr:clientData/>
  </xdr:twoCellAnchor>
  <xdr:twoCellAnchor editAs="oneCell">
    <xdr:from>
      <xdr:col>7</xdr:col>
      <xdr:colOff>390600</xdr:colOff>
      <xdr:row>45</xdr:row>
      <xdr:rowOff>66600</xdr:rowOff>
    </xdr:from>
    <xdr:to>
      <xdr:col>7</xdr:col>
      <xdr:colOff>550440</xdr:colOff>
      <xdr:row>46</xdr:row>
      <xdr:rowOff>92880</xdr:rowOff>
    </xdr:to>
    <xdr:sp>
      <xdr:nvSpPr>
        <xdr:cNvPr id="86" name="Shape 62"/>
        <xdr:cNvSpPr/>
      </xdr:nvSpPr>
      <xdr:spPr>
        <a:xfrm>
          <a:off x="7475760" y="7343640"/>
          <a:ext cx="1598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ff"/>
              </a:solidFill>
              <a:effectLst/>
              <a:uFillTx/>
              <a:latin typeface="Noto Sans Symbols"/>
              <a:ea typeface="Noto Sans Symbols"/>
            </a:rPr>
            <a:t>γ/</a:t>
          </a:r>
          <a:r>
            <a:rPr b="0" lang="en-US" sz="1000" strike="noStrike" u="none">
              <a:solidFill>
                <a:srgbClr val="0000ff"/>
              </a:solidFill>
              <a:effectLst/>
              <a:uFillTx/>
              <a:latin typeface="Arial"/>
              <a:ea typeface="Arial"/>
            </a:rPr>
            <a:t>2</a:t>
          </a:r>
          <a:endParaRPr b="0" lang="en-US" sz="1000" strike="noStrike" u="none">
            <a:effectLst/>
            <a:uFillTx/>
            <a:latin typeface="Times New Roman"/>
          </a:endParaRPr>
        </a:p>
      </xdr:txBody>
    </xdr:sp>
    <xdr:clientData/>
  </xdr:twoCellAnchor>
  <xdr:twoCellAnchor editAs="oneCell">
    <xdr:from>
      <xdr:col>3</xdr:col>
      <xdr:colOff>47520</xdr:colOff>
      <xdr:row>55</xdr:row>
      <xdr:rowOff>123840</xdr:rowOff>
    </xdr:from>
    <xdr:to>
      <xdr:col>4</xdr:col>
      <xdr:colOff>433440</xdr:colOff>
      <xdr:row>57</xdr:row>
      <xdr:rowOff>7560</xdr:rowOff>
    </xdr:to>
    <xdr:sp>
      <xdr:nvSpPr>
        <xdr:cNvPr id="87" name="Shape 63"/>
        <xdr:cNvSpPr/>
      </xdr:nvSpPr>
      <xdr:spPr>
        <a:xfrm>
          <a:off x="4294440" y="8925120"/>
          <a:ext cx="117900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a:t>
          </a:r>
          <a:r>
            <a:rPr b="0" lang="en-US" sz="1000" strike="noStrike" u="none">
              <a:solidFill>
                <a:srgbClr val="000000"/>
              </a:solidFill>
              <a:effectLst/>
              <a:uFillTx/>
              <a:latin typeface="Arial"/>
              <a:ea typeface="Arial"/>
            </a:rPr>
            <a:t>S/C Off-Point Angle</a:t>
          </a:r>
          <a:endParaRPr b="0" lang="en-US" sz="1000" strike="noStrike" u="none">
            <a:effectLst/>
            <a:uFillTx/>
            <a:latin typeface="Times New Roman"/>
          </a:endParaRPr>
        </a:p>
      </xdr:txBody>
    </xdr:sp>
    <xdr:clientData/>
  </xdr:twoCellAnchor>
  <xdr:twoCellAnchor editAs="oneCell">
    <xdr:from>
      <xdr:col>3</xdr:col>
      <xdr:colOff>19080</xdr:colOff>
      <xdr:row>57</xdr:row>
      <xdr:rowOff>28440</xdr:rowOff>
    </xdr:from>
    <xdr:to>
      <xdr:col>6</xdr:col>
      <xdr:colOff>183960</xdr:colOff>
      <xdr:row>58</xdr:row>
      <xdr:rowOff>54720</xdr:rowOff>
    </xdr:to>
    <xdr:sp>
      <xdr:nvSpPr>
        <xdr:cNvPr id="88" name="Shape 64"/>
        <xdr:cNvSpPr/>
      </xdr:nvSpPr>
      <xdr:spPr>
        <a:xfrm>
          <a:off x="4266000" y="9134280"/>
          <a:ext cx="22363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β = (180−Μ)</a:t>
          </a:r>
          <a:r>
            <a:rPr b="0" lang="en-US" sz="1000" strike="noStrike" u="none">
              <a:solidFill>
                <a:srgbClr val="000000"/>
              </a:solidFill>
              <a:effectLst/>
              <a:uFillTx/>
              <a:latin typeface="Arial"/>
              <a:ea typeface="Arial"/>
            </a:rPr>
            <a:t> deg.= Angle from S/C to Apogee</a:t>
          </a:r>
          <a:endParaRPr b="0" lang="en-US" sz="1000" strike="noStrike" u="none">
            <a:effectLst/>
            <a:uFillTx/>
            <a:latin typeface="Times New Roman"/>
          </a:endParaRPr>
        </a:p>
      </xdr:txBody>
    </xdr:sp>
    <xdr:clientData/>
  </xdr:twoCellAnchor>
  <xdr:twoCellAnchor editAs="oneCell">
    <xdr:from>
      <xdr:col>3</xdr:col>
      <xdr:colOff>19080</xdr:colOff>
      <xdr:row>58</xdr:row>
      <xdr:rowOff>66600</xdr:rowOff>
    </xdr:from>
    <xdr:to>
      <xdr:col>5</xdr:col>
      <xdr:colOff>419400</xdr:colOff>
      <xdr:row>59</xdr:row>
      <xdr:rowOff>93240</xdr:rowOff>
    </xdr:to>
    <xdr:sp>
      <xdr:nvSpPr>
        <xdr:cNvPr id="89" name="Shape 65"/>
        <xdr:cNvSpPr/>
      </xdr:nvSpPr>
      <xdr:spPr>
        <a:xfrm>
          <a:off x="4266000" y="9325080"/>
          <a:ext cx="18457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γ = </a:t>
          </a:r>
          <a:r>
            <a:rPr b="0" lang="en-US" sz="1000" strike="noStrike" u="none">
              <a:solidFill>
                <a:srgbClr val="000000"/>
              </a:solidFill>
              <a:effectLst/>
              <a:uFillTx/>
              <a:latin typeface="Arial"/>
              <a:ea typeface="Arial"/>
            </a:rPr>
            <a:t>Earth Diameter as seen from S/C</a:t>
          </a:r>
          <a:endParaRPr b="0" lang="en-US" sz="1000" strike="noStrike" u="none">
            <a:effectLst/>
            <a:uFillTx/>
            <a:latin typeface="Times New Roman"/>
          </a:endParaRPr>
        </a:p>
      </xdr:txBody>
    </xdr:sp>
    <xdr:clientData/>
  </xdr:twoCellAnchor>
  <xdr:twoCellAnchor editAs="oneCell">
    <xdr:from>
      <xdr:col>3</xdr:col>
      <xdr:colOff>19080</xdr:colOff>
      <xdr:row>59</xdr:row>
      <xdr:rowOff>66600</xdr:rowOff>
    </xdr:from>
    <xdr:to>
      <xdr:col>5</xdr:col>
      <xdr:colOff>304920</xdr:colOff>
      <xdr:row>60</xdr:row>
      <xdr:rowOff>93240</xdr:rowOff>
    </xdr:to>
    <xdr:sp>
      <xdr:nvSpPr>
        <xdr:cNvPr id="90" name="Shape 66"/>
        <xdr:cNvSpPr/>
      </xdr:nvSpPr>
      <xdr:spPr>
        <a:xfrm>
          <a:off x="4266000" y="9477360"/>
          <a:ext cx="17312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γ/2 =  </a:t>
          </a:r>
          <a:r>
            <a:rPr b="0" lang="en-US" sz="1000" strike="noStrike" u="none">
              <a:solidFill>
                <a:srgbClr val="000000"/>
              </a:solidFill>
              <a:effectLst/>
              <a:uFillTx/>
              <a:latin typeface="Arial"/>
              <a:ea typeface="Arial"/>
            </a:rPr>
            <a:t>Worst Case Squint Angle</a:t>
          </a:r>
          <a:endParaRPr b="0" lang="en-US" sz="1000" strike="noStrike" u="none">
            <a:effectLst/>
            <a:uFillTx/>
            <a:latin typeface="Times New Roman"/>
          </a:endParaRPr>
        </a:p>
      </xdr:txBody>
    </xdr:sp>
    <xdr:clientData/>
  </xdr:twoCellAnchor>
  <xdr:twoCellAnchor editAs="oneCell">
    <xdr:from>
      <xdr:col>6</xdr:col>
      <xdr:colOff>295200</xdr:colOff>
      <xdr:row>41</xdr:row>
      <xdr:rowOff>85680</xdr:rowOff>
    </xdr:from>
    <xdr:to>
      <xdr:col>7</xdr:col>
      <xdr:colOff>526320</xdr:colOff>
      <xdr:row>42</xdr:row>
      <xdr:rowOff>112320</xdr:rowOff>
    </xdr:to>
    <xdr:sp>
      <xdr:nvSpPr>
        <xdr:cNvPr id="91" name="Shape 67"/>
        <xdr:cNvSpPr/>
      </xdr:nvSpPr>
      <xdr:spPr>
        <a:xfrm>
          <a:off x="6613560" y="6753240"/>
          <a:ext cx="9979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S/C Pointing Vector</a:t>
          </a:r>
          <a:endParaRPr b="0" lang="en-US" sz="1000" strike="noStrike" u="none">
            <a:effectLst/>
            <a:uFillTx/>
            <a:latin typeface="Times New Roman"/>
          </a:endParaRPr>
        </a:p>
      </xdr:txBody>
    </xdr:sp>
    <xdr:clientData/>
  </xdr:twoCellAnchor>
  <xdr:twoCellAnchor editAs="oneCell">
    <xdr:from>
      <xdr:col>3</xdr:col>
      <xdr:colOff>66600</xdr:colOff>
      <xdr:row>54</xdr:row>
      <xdr:rowOff>28440</xdr:rowOff>
    </xdr:from>
    <xdr:to>
      <xdr:col>3</xdr:col>
      <xdr:colOff>331200</xdr:colOff>
      <xdr:row>55</xdr:row>
      <xdr:rowOff>54720</xdr:rowOff>
    </xdr:to>
    <xdr:sp>
      <xdr:nvSpPr>
        <xdr:cNvPr id="92" name="Shape 68"/>
        <xdr:cNvSpPr/>
      </xdr:nvSpPr>
      <xdr:spPr>
        <a:xfrm>
          <a:off x="4313520" y="8677080"/>
          <a:ext cx="2646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Noto Sans Symbols"/>
              <a:ea typeface="Noto Sans Symbols"/>
            </a:rPr>
            <a:t>α = β</a:t>
          </a:r>
          <a:endParaRPr b="0" lang="en-US" sz="1000" strike="noStrike" u="none">
            <a:effectLst/>
            <a:uFillTx/>
            <a:latin typeface="Times New Roman"/>
          </a:endParaRPr>
        </a:p>
      </xdr:txBody>
    </xdr:sp>
    <xdr:clientData/>
  </xdr:twoCellAnchor>
  <xdr:twoCellAnchor editAs="oneCell">
    <xdr:from>
      <xdr:col>3</xdr:col>
      <xdr:colOff>704880</xdr:colOff>
      <xdr:row>48</xdr:row>
      <xdr:rowOff>85680</xdr:rowOff>
    </xdr:from>
    <xdr:to>
      <xdr:col>3</xdr:col>
      <xdr:colOff>779040</xdr:colOff>
      <xdr:row>49</xdr:row>
      <xdr:rowOff>45360</xdr:rowOff>
    </xdr:to>
    <xdr:sp>
      <xdr:nvSpPr>
        <xdr:cNvPr id="93" name="Shape 69"/>
        <xdr:cNvSpPr/>
      </xdr:nvSpPr>
      <xdr:spPr>
        <a:xfrm>
          <a:off x="4951800" y="7819920"/>
          <a:ext cx="74160" cy="11232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11</xdr:col>
      <xdr:colOff>295200</xdr:colOff>
      <xdr:row>48</xdr:row>
      <xdr:rowOff>85680</xdr:rowOff>
    </xdr:from>
    <xdr:to>
      <xdr:col>11</xdr:col>
      <xdr:colOff>378720</xdr:colOff>
      <xdr:row>49</xdr:row>
      <xdr:rowOff>35640</xdr:rowOff>
    </xdr:to>
    <xdr:sp>
      <xdr:nvSpPr>
        <xdr:cNvPr id="94" name="Shape 70"/>
        <xdr:cNvSpPr/>
      </xdr:nvSpPr>
      <xdr:spPr>
        <a:xfrm>
          <a:off x="10077480" y="7819920"/>
          <a:ext cx="83520" cy="10260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4</xdr:col>
      <xdr:colOff>552600</xdr:colOff>
      <xdr:row>54</xdr:row>
      <xdr:rowOff>66600</xdr:rowOff>
    </xdr:from>
    <xdr:to>
      <xdr:col>4</xdr:col>
      <xdr:colOff>645840</xdr:colOff>
      <xdr:row>55</xdr:row>
      <xdr:rowOff>16560</xdr:rowOff>
    </xdr:to>
    <xdr:sp>
      <xdr:nvSpPr>
        <xdr:cNvPr id="95" name="Shape 71"/>
        <xdr:cNvSpPr/>
      </xdr:nvSpPr>
      <xdr:spPr>
        <a:xfrm>
          <a:off x="5592600" y="8715240"/>
          <a:ext cx="93240" cy="10260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4</xdr:col>
      <xdr:colOff>85680</xdr:colOff>
      <xdr:row>51</xdr:row>
      <xdr:rowOff>76320</xdr:rowOff>
    </xdr:from>
    <xdr:to>
      <xdr:col>4</xdr:col>
      <xdr:colOff>169200</xdr:colOff>
      <xdr:row>52</xdr:row>
      <xdr:rowOff>26280</xdr:rowOff>
    </xdr:to>
    <xdr:sp>
      <xdr:nvSpPr>
        <xdr:cNvPr id="96" name="Shape 70"/>
        <xdr:cNvSpPr/>
      </xdr:nvSpPr>
      <xdr:spPr>
        <a:xfrm>
          <a:off x="5125680" y="8267760"/>
          <a:ext cx="83520" cy="10260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7</xdr:col>
      <xdr:colOff>276120</xdr:colOff>
      <xdr:row>57</xdr:row>
      <xdr:rowOff>47520</xdr:rowOff>
    </xdr:from>
    <xdr:to>
      <xdr:col>7</xdr:col>
      <xdr:colOff>350280</xdr:colOff>
      <xdr:row>57</xdr:row>
      <xdr:rowOff>150120</xdr:rowOff>
    </xdr:to>
    <xdr:sp>
      <xdr:nvSpPr>
        <xdr:cNvPr id="97" name="Shape 72"/>
        <xdr:cNvSpPr/>
      </xdr:nvSpPr>
      <xdr:spPr>
        <a:xfrm>
          <a:off x="7361280" y="9153360"/>
          <a:ext cx="74160" cy="10260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10</xdr:col>
      <xdr:colOff>685800</xdr:colOff>
      <xdr:row>53</xdr:row>
      <xdr:rowOff>0</xdr:rowOff>
    </xdr:from>
    <xdr:to>
      <xdr:col>11</xdr:col>
      <xdr:colOff>21240</xdr:colOff>
      <xdr:row>53</xdr:row>
      <xdr:rowOff>93240</xdr:rowOff>
    </xdr:to>
    <xdr:sp>
      <xdr:nvSpPr>
        <xdr:cNvPr id="98" name="Shape 73"/>
        <xdr:cNvSpPr/>
      </xdr:nvSpPr>
      <xdr:spPr>
        <a:xfrm>
          <a:off x="9710280" y="8496360"/>
          <a:ext cx="93240" cy="9324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9</xdr:col>
      <xdr:colOff>162000</xdr:colOff>
      <xdr:row>56</xdr:row>
      <xdr:rowOff>104760</xdr:rowOff>
    </xdr:from>
    <xdr:to>
      <xdr:col>9</xdr:col>
      <xdr:colOff>245520</xdr:colOff>
      <xdr:row>57</xdr:row>
      <xdr:rowOff>55080</xdr:rowOff>
    </xdr:to>
    <xdr:sp>
      <xdr:nvSpPr>
        <xdr:cNvPr id="99" name="Shape 70"/>
        <xdr:cNvSpPr/>
      </xdr:nvSpPr>
      <xdr:spPr>
        <a:xfrm>
          <a:off x="8499600" y="9058320"/>
          <a:ext cx="83520" cy="102600"/>
        </a:xfrm>
        <a:prstGeom prst="ellipse">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11</xdr:col>
      <xdr:colOff>476280</xdr:colOff>
      <xdr:row>48</xdr:row>
      <xdr:rowOff>66600</xdr:rowOff>
    </xdr:from>
    <xdr:to>
      <xdr:col>12</xdr:col>
      <xdr:colOff>70560</xdr:colOff>
      <xdr:row>49</xdr:row>
      <xdr:rowOff>64080</xdr:rowOff>
    </xdr:to>
    <xdr:sp>
      <xdr:nvSpPr>
        <xdr:cNvPr id="100" name="Shape 74"/>
        <xdr:cNvSpPr/>
      </xdr:nvSpPr>
      <xdr:spPr>
        <a:xfrm>
          <a:off x="10258560" y="7800840"/>
          <a:ext cx="369360" cy="150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13</a:t>
          </a:r>
          <a:endParaRPr b="0" lang="en-US" sz="800" strike="noStrike" u="none">
            <a:effectLst/>
            <a:uFillTx/>
            <a:latin typeface="Times New Roman"/>
          </a:endParaRPr>
        </a:p>
      </xdr:txBody>
    </xdr:sp>
    <xdr:clientData/>
  </xdr:twoCellAnchor>
  <xdr:twoCellAnchor editAs="oneCell">
    <xdr:from>
      <xdr:col>11</xdr:col>
      <xdr:colOff>142920</xdr:colOff>
      <xdr:row>53</xdr:row>
      <xdr:rowOff>47520</xdr:rowOff>
    </xdr:from>
    <xdr:to>
      <xdr:col>11</xdr:col>
      <xdr:colOff>502560</xdr:colOff>
      <xdr:row>54</xdr:row>
      <xdr:rowOff>55080</xdr:rowOff>
    </xdr:to>
    <xdr:sp>
      <xdr:nvSpPr>
        <xdr:cNvPr id="101" name="Shape 75"/>
        <xdr:cNvSpPr/>
      </xdr:nvSpPr>
      <xdr:spPr>
        <a:xfrm>
          <a:off x="9925200" y="8543880"/>
          <a:ext cx="35964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12</a:t>
          </a:r>
          <a:endParaRPr b="0" lang="en-US" sz="800" strike="noStrike" u="none">
            <a:effectLst/>
            <a:uFillTx/>
            <a:latin typeface="Times New Roman"/>
          </a:endParaRPr>
        </a:p>
      </xdr:txBody>
    </xdr:sp>
    <xdr:clientData/>
  </xdr:twoCellAnchor>
  <xdr:twoCellAnchor editAs="oneCell">
    <xdr:from>
      <xdr:col>9</xdr:col>
      <xdr:colOff>333360</xdr:colOff>
      <xdr:row>57</xdr:row>
      <xdr:rowOff>28440</xdr:rowOff>
    </xdr:from>
    <xdr:to>
      <xdr:col>10</xdr:col>
      <xdr:colOff>15840</xdr:colOff>
      <xdr:row>58</xdr:row>
      <xdr:rowOff>35640</xdr:rowOff>
    </xdr:to>
    <xdr:sp>
      <xdr:nvSpPr>
        <xdr:cNvPr id="102" name="Shape 76"/>
        <xdr:cNvSpPr/>
      </xdr:nvSpPr>
      <xdr:spPr>
        <a:xfrm>
          <a:off x="8670960" y="9134280"/>
          <a:ext cx="36936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11</a:t>
          </a:r>
          <a:endParaRPr b="0" lang="en-US" sz="800" strike="noStrike" u="none">
            <a:effectLst/>
            <a:uFillTx/>
            <a:latin typeface="Times New Roman"/>
          </a:endParaRPr>
        </a:p>
      </xdr:txBody>
    </xdr:sp>
    <xdr:clientData/>
  </xdr:twoCellAnchor>
  <xdr:twoCellAnchor editAs="oneCell">
    <xdr:from>
      <xdr:col>7</xdr:col>
      <xdr:colOff>343080</xdr:colOff>
      <xdr:row>56</xdr:row>
      <xdr:rowOff>66600</xdr:rowOff>
    </xdr:from>
    <xdr:to>
      <xdr:col>8</xdr:col>
      <xdr:colOff>86040</xdr:colOff>
      <xdr:row>57</xdr:row>
      <xdr:rowOff>74160</xdr:rowOff>
    </xdr:to>
    <xdr:sp>
      <xdr:nvSpPr>
        <xdr:cNvPr id="103" name="Shape 77"/>
        <xdr:cNvSpPr/>
      </xdr:nvSpPr>
      <xdr:spPr>
        <a:xfrm>
          <a:off x="7428240" y="9020160"/>
          <a:ext cx="36936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10</a:t>
          </a:r>
          <a:endParaRPr b="0" lang="en-US" sz="800" strike="noStrike" u="none">
            <a:effectLst/>
            <a:uFillTx/>
            <a:latin typeface="Times New Roman"/>
          </a:endParaRPr>
        </a:p>
      </xdr:txBody>
    </xdr:sp>
    <xdr:clientData/>
  </xdr:twoCellAnchor>
  <xdr:twoCellAnchor editAs="oneCell">
    <xdr:from>
      <xdr:col>5</xdr:col>
      <xdr:colOff>85680</xdr:colOff>
      <xdr:row>54</xdr:row>
      <xdr:rowOff>28440</xdr:rowOff>
    </xdr:from>
    <xdr:to>
      <xdr:col>5</xdr:col>
      <xdr:colOff>388440</xdr:colOff>
      <xdr:row>55</xdr:row>
      <xdr:rowOff>35640</xdr:rowOff>
    </xdr:to>
    <xdr:sp>
      <xdr:nvSpPr>
        <xdr:cNvPr id="104" name="Shape 78"/>
        <xdr:cNvSpPr/>
      </xdr:nvSpPr>
      <xdr:spPr>
        <a:xfrm>
          <a:off x="5778000" y="8677080"/>
          <a:ext cx="30276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7</a:t>
          </a:r>
          <a:endParaRPr b="0" lang="en-US" sz="800" strike="noStrike" u="none">
            <a:effectLst/>
            <a:uFillTx/>
            <a:latin typeface="Times New Roman"/>
          </a:endParaRPr>
        </a:p>
      </xdr:txBody>
    </xdr:sp>
    <xdr:clientData/>
  </xdr:twoCellAnchor>
  <xdr:twoCellAnchor editAs="oneCell">
    <xdr:from>
      <xdr:col>3</xdr:col>
      <xdr:colOff>361800</xdr:colOff>
      <xdr:row>51</xdr:row>
      <xdr:rowOff>66600</xdr:rowOff>
    </xdr:from>
    <xdr:to>
      <xdr:col>3</xdr:col>
      <xdr:colOff>750240</xdr:colOff>
      <xdr:row>52</xdr:row>
      <xdr:rowOff>92880</xdr:rowOff>
    </xdr:to>
    <xdr:sp>
      <xdr:nvSpPr>
        <xdr:cNvPr id="105" name="Shape 79"/>
        <xdr:cNvSpPr/>
      </xdr:nvSpPr>
      <xdr:spPr>
        <a:xfrm>
          <a:off x="4608720" y="8258040"/>
          <a:ext cx="3884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Case 4</a:t>
          </a:r>
          <a:endParaRPr b="0" lang="en-US" sz="1000" strike="noStrike" u="none">
            <a:effectLst/>
            <a:uFillTx/>
            <a:latin typeface="Times New Roman"/>
          </a:endParaRPr>
        </a:p>
      </xdr:txBody>
    </xdr:sp>
    <xdr:clientData/>
  </xdr:twoCellAnchor>
  <xdr:twoCellAnchor editAs="oneCell">
    <xdr:from>
      <xdr:col>3</xdr:col>
      <xdr:colOff>181080</xdr:colOff>
      <xdr:row>48</xdr:row>
      <xdr:rowOff>66600</xdr:rowOff>
    </xdr:from>
    <xdr:to>
      <xdr:col>3</xdr:col>
      <xdr:colOff>483840</xdr:colOff>
      <xdr:row>49</xdr:row>
      <xdr:rowOff>64080</xdr:rowOff>
    </xdr:to>
    <xdr:sp>
      <xdr:nvSpPr>
        <xdr:cNvPr id="106" name="Shape 80"/>
        <xdr:cNvSpPr/>
      </xdr:nvSpPr>
      <xdr:spPr>
        <a:xfrm>
          <a:off x="4428000" y="7800840"/>
          <a:ext cx="302760" cy="150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Case 1</a:t>
          </a:r>
          <a:endParaRPr b="0" lang="en-US" sz="800" strike="noStrike" u="none">
            <a:effectLst/>
            <a:uFillTx/>
            <a:latin typeface="Times New Roman"/>
          </a:endParaRPr>
        </a:p>
      </xdr:txBody>
    </xdr:sp>
    <xdr:clientData/>
  </xdr:twoCellAnchor>
  <xdr:twoCellAnchor editAs="oneCell">
    <xdr:from>
      <xdr:col>6</xdr:col>
      <xdr:colOff>75960</xdr:colOff>
      <xdr:row>77</xdr:row>
      <xdr:rowOff>133200</xdr:rowOff>
    </xdr:from>
    <xdr:to>
      <xdr:col>6</xdr:col>
      <xdr:colOff>77760</xdr:colOff>
      <xdr:row>79</xdr:row>
      <xdr:rowOff>20880</xdr:rowOff>
    </xdr:to>
    <xdr:grpSp>
      <xdr:nvGrpSpPr>
        <xdr:cNvPr id="107" name="Shape 2"/>
        <xdr:cNvGrpSpPr/>
      </xdr:nvGrpSpPr>
      <xdr:grpSpPr>
        <a:xfrm>
          <a:off x="6394320" y="12430080"/>
          <a:ext cx="1800" cy="192240"/>
          <a:chOff x="6394320" y="12430080"/>
          <a:chExt cx="1800" cy="192240"/>
        </a:xfrm>
      </xdr:grpSpPr>
      <xdr:cxnSp>
        <xdr:nvCxnSpPr>
          <xdr:cNvPr id="108" name="Shape 81"/>
          <xdr:cNvCxnSpPr/>
        </xdr:nvCxnSpPr>
        <xdr:spPr>
          <a:xfrm flipV="1">
            <a:off x="6394320" y="12430080"/>
            <a:ext cx="2160" cy="192600"/>
          </a:xfrm>
          <a:prstGeom prst="straightConnector1">
            <a:avLst/>
          </a:prstGeom>
          <a:ln w="19050">
            <a:solidFill>
              <a:srgbClr val="000000"/>
            </a:solidFill>
            <a:miter/>
            <a:tailEnd len="med" type="triangle" w="med"/>
          </a:ln>
        </xdr:spPr>
      </xdr:cxnSp>
    </xdr:grpSp>
    <xdr:clientData/>
  </xdr:twoCellAnchor>
  <xdr:twoCellAnchor editAs="oneCell">
    <xdr:from>
      <xdr:col>0</xdr:col>
      <xdr:colOff>1409760</xdr:colOff>
      <xdr:row>63</xdr:row>
      <xdr:rowOff>123840</xdr:rowOff>
    </xdr:from>
    <xdr:to>
      <xdr:col>0</xdr:col>
      <xdr:colOff>1798200</xdr:colOff>
      <xdr:row>65</xdr:row>
      <xdr:rowOff>7560</xdr:rowOff>
    </xdr:to>
    <xdr:sp>
      <xdr:nvSpPr>
        <xdr:cNvPr id="109" name="Shape 82"/>
        <xdr:cNvSpPr/>
      </xdr:nvSpPr>
      <xdr:spPr>
        <a:xfrm>
          <a:off x="1409760" y="10172880"/>
          <a:ext cx="38844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00"/>
              </a:solidFill>
              <a:effectLst/>
              <a:uFillTx/>
              <a:latin typeface="Arial"/>
              <a:ea typeface="Arial"/>
            </a:rPr>
            <a:t>perigee</a:t>
          </a:r>
          <a:endParaRPr b="0" lang="en-US" sz="1000" strike="noStrike" u="none">
            <a:effectLst/>
            <a:uFillTx/>
            <a:latin typeface="Times New Roman"/>
          </a:endParaRPr>
        </a:p>
      </xdr:txBody>
    </xdr:sp>
    <xdr:clientData/>
  </xdr:twoCellAnchor>
  <xdr:twoCellAnchor editAs="oneCell">
    <xdr:from>
      <xdr:col>0</xdr:col>
      <xdr:colOff>1380960</xdr:colOff>
      <xdr:row>76</xdr:row>
      <xdr:rowOff>0</xdr:rowOff>
    </xdr:from>
    <xdr:to>
      <xdr:col>0</xdr:col>
      <xdr:colOff>1769400</xdr:colOff>
      <xdr:row>77</xdr:row>
      <xdr:rowOff>26280</xdr:rowOff>
    </xdr:to>
    <xdr:sp>
      <xdr:nvSpPr>
        <xdr:cNvPr id="110" name="Shape 83"/>
        <xdr:cNvSpPr/>
      </xdr:nvSpPr>
      <xdr:spPr>
        <a:xfrm>
          <a:off x="1380960" y="12144240"/>
          <a:ext cx="3884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00"/>
              </a:solidFill>
              <a:effectLst/>
              <a:uFillTx/>
              <a:latin typeface="Arial"/>
              <a:ea typeface="Arial"/>
            </a:rPr>
            <a:t>apogee</a:t>
          </a:r>
          <a:endParaRPr b="0" lang="en-US" sz="1000" strike="noStrike" u="none">
            <a:effectLst/>
            <a:uFillTx/>
            <a:latin typeface="Times New Roman"/>
          </a:endParaRPr>
        </a:p>
      </xdr:txBody>
    </xdr:sp>
    <xdr:clientData/>
  </xdr:twoCellAnchor>
  <xdr:twoCellAnchor editAs="oneCell">
    <xdr:from>
      <xdr:col>0</xdr:col>
      <xdr:colOff>1638000</xdr:colOff>
      <xdr:row>65</xdr:row>
      <xdr:rowOff>28440</xdr:rowOff>
    </xdr:from>
    <xdr:to>
      <xdr:col>0</xdr:col>
      <xdr:colOff>1639800</xdr:colOff>
      <xdr:row>75</xdr:row>
      <xdr:rowOff>106200</xdr:rowOff>
    </xdr:to>
    <xdr:grpSp>
      <xdr:nvGrpSpPr>
        <xdr:cNvPr id="111" name="Shape 2"/>
        <xdr:cNvGrpSpPr/>
      </xdr:nvGrpSpPr>
      <xdr:grpSpPr>
        <a:xfrm>
          <a:off x="1638000" y="10382040"/>
          <a:ext cx="1800" cy="1716120"/>
          <a:chOff x="1638000" y="10382040"/>
          <a:chExt cx="1800" cy="1716120"/>
        </a:xfrm>
      </xdr:grpSpPr>
      <xdr:cxnSp>
        <xdr:nvCxnSpPr>
          <xdr:cNvPr id="112" name="Shape 84"/>
          <xdr:cNvCxnSpPr/>
        </xdr:nvCxnSpPr>
        <xdr:spPr>
          <a:xfrm>
            <a:off x="1638000" y="10382040"/>
            <a:ext cx="2160" cy="1716480"/>
          </a:xfrm>
          <a:prstGeom prst="straightConnector1">
            <a:avLst/>
          </a:prstGeom>
          <a:ln w="9525">
            <a:solidFill>
              <a:srgbClr val="ff0000"/>
            </a:solidFill>
            <a:miter/>
            <a:tailEnd len="med" type="triangle" w="med"/>
          </a:ln>
        </xdr:spPr>
      </xdr:cxnSp>
    </xdr:grpSp>
    <xdr:clientData/>
  </xdr:twoCellAnchor>
  <xdr:twoCellAnchor editAs="oneCell">
    <xdr:from>
      <xdr:col>0</xdr:col>
      <xdr:colOff>1638000</xdr:colOff>
      <xdr:row>65</xdr:row>
      <xdr:rowOff>18720</xdr:rowOff>
    </xdr:from>
    <xdr:to>
      <xdr:col>0</xdr:col>
      <xdr:colOff>1639800</xdr:colOff>
      <xdr:row>70</xdr:row>
      <xdr:rowOff>10800</xdr:rowOff>
    </xdr:to>
    <xdr:grpSp>
      <xdr:nvGrpSpPr>
        <xdr:cNvPr id="113" name="Shape 2"/>
        <xdr:cNvGrpSpPr/>
      </xdr:nvGrpSpPr>
      <xdr:grpSpPr>
        <a:xfrm>
          <a:off x="1638000" y="10372320"/>
          <a:ext cx="1800" cy="830520"/>
          <a:chOff x="1638000" y="10372320"/>
          <a:chExt cx="1800" cy="830520"/>
        </a:xfrm>
      </xdr:grpSpPr>
      <xdr:cxnSp>
        <xdr:nvCxnSpPr>
          <xdr:cNvPr id="114" name="Shape 85"/>
          <xdr:cNvCxnSpPr/>
        </xdr:nvCxnSpPr>
        <xdr:spPr>
          <a:xfrm>
            <a:off x="1638000" y="10372320"/>
            <a:ext cx="2160" cy="830880"/>
          </a:xfrm>
          <a:prstGeom prst="straightConnector1">
            <a:avLst/>
          </a:prstGeom>
          <a:ln w="9525">
            <a:solidFill>
              <a:srgbClr val="ff0000"/>
            </a:solidFill>
            <a:miter/>
            <a:tailEnd len="med" type="triangle" w="med"/>
          </a:ln>
        </xdr:spPr>
      </xdr:cxnSp>
    </xdr:grpSp>
    <xdr:clientData/>
  </xdr:twoCellAnchor>
  <xdr:twoCellAnchor editAs="oneCell">
    <xdr:from>
      <xdr:col>1</xdr:col>
      <xdr:colOff>971280</xdr:colOff>
      <xdr:row>95</xdr:row>
      <xdr:rowOff>47520</xdr:rowOff>
    </xdr:from>
    <xdr:to>
      <xdr:col>5</xdr:col>
      <xdr:colOff>301320</xdr:colOff>
      <xdr:row>95</xdr:row>
      <xdr:rowOff>49320</xdr:rowOff>
    </xdr:to>
    <xdr:grpSp>
      <xdr:nvGrpSpPr>
        <xdr:cNvPr id="115" name="Shape 2"/>
        <xdr:cNvGrpSpPr/>
      </xdr:nvGrpSpPr>
      <xdr:grpSpPr>
        <a:xfrm>
          <a:off x="2962800" y="15268320"/>
          <a:ext cx="3030840" cy="1800"/>
          <a:chOff x="2962800" y="15268320"/>
          <a:chExt cx="3030840" cy="1800"/>
        </a:xfrm>
      </xdr:grpSpPr>
      <xdr:cxnSp>
        <xdr:nvCxnSpPr>
          <xdr:cNvPr id="116" name="Shape 86"/>
          <xdr:cNvCxnSpPr/>
        </xdr:nvCxnSpPr>
        <xdr:spPr>
          <a:xfrm>
            <a:off x="2962800" y="15268320"/>
            <a:ext cx="3031200" cy="2160"/>
          </a:xfrm>
          <a:prstGeom prst="straightConnector1">
            <a:avLst/>
          </a:prstGeom>
          <a:ln w="9525">
            <a:solidFill>
              <a:srgbClr val="000000"/>
            </a:solidFill>
            <a:miter/>
            <a:tailEnd len="med" type="triangle" w="med"/>
          </a:ln>
        </xdr:spPr>
      </xdr:cxnSp>
    </xdr:grpSp>
    <xdr:clientData/>
  </xdr:twoCellAnchor>
  <xdr:twoCellAnchor editAs="oneCell">
    <xdr:from>
      <xdr:col>7</xdr:col>
      <xdr:colOff>180720</xdr:colOff>
      <xdr:row>95</xdr:row>
      <xdr:rowOff>66600</xdr:rowOff>
    </xdr:from>
    <xdr:to>
      <xdr:col>11</xdr:col>
      <xdr:colOff>399960</xdr:colOff>
      <xdr:row>95</xdr:row>
      <xdr:rowOff>68400</xdr:rowOff>
    </xdr:to>
    <xdr:grpSp>
      <xdr:nvGrpSpPr>
        <xdr:cNvPr id="117" name="Shape 2"/>
        <xdr:cNvGrpSpPr/>
      </xdr:nvGrpSpPr>
      <xdr:grpSpPr>
        <a:xfrm>
          <a:off x="7265880" y="15287400"/>
          <a:ext cx="2916360" cy="1800"/>
          <a:chOff x="7265880" y="15287400"/>
          <a:chExt cx="2916360" cy="1800"/>
        </a:xfrm>
      </xdr:grpSpPr>
      <xdr:cxnSp>
        <xdr:nvCxnSpPr>
          <xdr:cNvPr id="118" name="Shape 87"/>
          <xdr:cNvCxnSpPr/>
        </xdr:nvCxnSpPr>
        <xdr:spPr>
          <a:xfrm>
            <a:off x="7265880" y="15287400"/>
            <a:ext cx="2916720" cy="2160"/>
          </a:xfrm>
          <a:prstGeom prst="straightConnector1">
            <a:avLst/>
          </a:prstGeom>
          <a:ln w="9525">
            <a:solidFill>
              <a:srgbClr val="000000"/>
            </a:solidFill>
            <a:miter/>
            <a:tailEnd len="med" type="triangle" w="med"/>
          </a:ln>
        </xdr:spPr>
      </xdr:cxnSp>
    </xdr:grpSp>
    <xdr:clientData/>
  </xdr:twoCellAnchor>
  <xdr:twoCellAnchor editAs="oneCell">
    <xdr:from>
      <xdr:col>2</xdr:col>
      <xdr:colOff>247320</xdr:colOff>
      <xdr:row>103</xdr:row>
      <xdr:rowOff>66600</xdr:rowOff>
    </xdr:from>
    <xdr:to>
      <xdr:col>2</xdr:col>
      <xdr:colOff>782640</xdr:colOff>
      <xdr:row>103</xdr:row>
      <xdr:rowOff>68400</xdr:rowOff>
    </xdr:to>
    <xdr:grpSp>
      <xdr:nvGrpSpPr>
        <xdr:cNvPr id="119" name="Shape 2"/>
        <xdr:cNvGrpSpPr/>
      </xdr:nvGrpSpPr>
      <xdr:grpSpPr>
        <a:xfrm>
          <a:off x="3595680" y="16583040"/>
          <a:ext cx="535320" cy="1800"/>
          <a:chOff x="3595680" y="16583040"/>
          <a:chExt cx="535320" cy="1800"/>
        </a:xfrm>
      </xdr:grpSpPr>
      <xdr:cxnSp>
        <xdr:nvCxnSpPr>
          <xdr:cNvPr id="120" name="Shape 88"/>
          <xdr:cNvCxnSpPr/>
        </xdr:nvCxnSpPr>
        <xdr:spPr>
          <a:xfrm flipH="1">
            <a:off x="3595680" y="16583040"/>
            <a:ext cx="535680" cy="2160"/>
          </a:xfrm>
          <a:prstGeom prst="straightConnector1">
            <a:avLst/>
          </a:prstGeom>
          <a:ln w="9525">
            <a:solidFill>
              <a:srgbClr val="000000"/>
            </a:solidFill>
            <a:miter/>
            <a:tailEnd len="med" type="triangle" w="med"/>
          </a:ln>
        </xdr:spPr>
      </xdr:cxnSp>
    </xdr:grpSp>
    <xdr:clientData/>
  </xdr:twoCellAnchor>
  <xdr:twoCellAnchor editAs="oneCell">
    <xdr:from>
      <xdr:col>1</xdr:col>
      <xdr:colOff>609480</xdr:colOff>
      <xdr:row>135</xdr:row>
      <xdr:rowOff>28440</xdr:rowOff>
    </xdr:from>
    <xdr:to>
      <xdr:col>4</xdr:col>
      <xdr:colOff>82800</xdr:colOff>
      <xdr:row>150</xdr:row>
      <xdr:rowOff>35640</xdr:rowOff>
    </xdr:to>
    <xdr:sp>
      <xdr:nvSpPr>
        <xdr:cNvPr id="121" name="Shape 89"/>
        <xdr:cNvSpPr/>
      </xdr:nvSpPr>
      <xdr:spPr>
        <a:xfrm>
          <a:off x="2601000" y="21535920"/>
          <a:ext cx="2521800" cy="2293200"/>
        </a:xfrm>
        <a:prstGeom prst="ellipse">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2</xdr:col>
      <xdr:colOff>542880</xdr:colOff>
      <xdr:row>142</xdr:row>
      <xdr:rowOff>66600</xdr:rowOff>
    </xdr:from>
    <xdr:to>
      <xdr:col>2</xdr:col>
      <xdr:colOff>617040</xdr:colOff>
      <xdr:row>143</xdr:row>
      <xdr:rowOff>16560</xdr:rowOff>
    </xdr:to>
    <xdr:sp>
      <xdr:nvSpPr>
        <xdr:cNvPr id="122" name="Shape 90"/>
        <xdr:cNvSpPr/>
      </xdr:nvSpPr>
      <xdr:spPr>
        <a:xfrm>
          <a:off x="3891240" y="22640760"/>
          <a:ext cx="74160" cy="10260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3</xdr:col>
      <xdr:colOff>638280</xdr:colOff>
      <xdr:row>137</xdr:row>
      <xdr:rowOff>85680</xdr:rowOff>
    </xdr:from>
    <xdr:to>
      <xdr:col>3</xdr:col>
      <xdr:colOff>721800</xdr:colOff>
      <xdr:row>138</xdr:row>
      <xdr:rowOff>16920</xdr:rowOff>
    </xdr:to>
    <xdr:sp>
      <xdr:nvSpPr>
        <xdr:cNvPr id="123" name="Shape 91"/>
        <xdr:cNvSpPr/>
      </xdr:nvSpPr>
      <xdr:spPr>
        <a:xfrm>
          <a:off x="4885200" y="21898080"/>
          <a:ext cx="83520" cy="83520"/>
        </a:xfrm>
        <a:prstGeom prst="ellipse">
          <a:avLst/>
        </a:prstGeom>
        <a:solidFill>
          <a:srgbClr val="0000ff"/>
        </a:solidFill>
        <a:ln w="9525">
          <a:solidFill>
            <a:srgbClr val="000000"/>
          </a:solidFill>
          <a:miter/>
        </a:ln>
      </xdr:spPr>
      <xdr:style>
        <a:lnRef idx="0"/>
        <a:fillRef idx="0"/>
        <a:effectRef idx="0"/>
        <a:fontRef idx="minor"/>
      </xdr:style>
    </xdr:sp>
    <xdr:clientData/>
  </xdr:twoCellAnchor>
  <xdr:twoCellAnchor editAs="oneCell">
    <xdr:from>
      <xdr:col>1</xdr:col>
      <xdr:colOff>600120</xdr:colOff>
      <xdr:row>132</xdr:row>
      <xdr:rowOff>76320</xdr:rowOff>
    </xdr:from>
    <xdr:to>
      <xdr:col>7</xdr:col>
      <xdr:colOff>304920</xdr:colOff>
      <xdr:row>153</xdr:row>
      <xdr:rowOff>7560</xdr:rowOff>
    </xdr:to>
    <xdr:sp>
      <xdr:nvSpPr>
        <xdr:cNvPr id="124" name="Shape 92"/>
        <xdr:cNvSpPr/>
      </xdr:nvSpPr>
      <xdr:spPr>
        <a:xfrm>
          <a:off x="2591640" y="21126600"/>
          <a:ext cx="4798440" cy="3131640"/>
        </a:xfrm>
        <a:prstGeom prst="ellipse">
          <a:avLst/>
        </a:prstGeom>
        <a:noFill/>
        <a:ln w="9525">
          <a:solidFill>
            <a:srgbClr val="000000"/>
          </a:solidFill>
          <a:miter/>
        </a:ln>
      </xdr:spPr>
      <xdr:style>
        <a:lnRef idx="0"/>
        <a:fillRef idx="0"/>
        <a:effectRef idx="0"/>
        <a:fontRef idx="minor"/>
      </xdr:style>
    </xdr:sp>
    <xdr:clientData/>
  </xdr:twoCellAnchor>
  <xdr:twoCellAnchor editAs="oneCell">
    <xdr:from>
      <xdr:col>6</xdr:col>
      <xdr:colOff>399960</xdr:colOff>
      <xdr:row>150</xdr:row>
      <xdr:rowOff>66600</xdr:rowOff>
    </xdr:from>
    <xdr:to>
      <xdr:col>6</xdr:col>
      <xdr:colOff>483480</xdr:colOff>
      <xdr:row>150</xdr:row>
      <xdr:rowOff>150120</xdr:rowOff>
    </xdr:to>
    <xdr:sp>
      <xdr:nvSpPr>
        <xdr:cNvPr id="125" name="Shape 93"/>
        <xdr:cNvSpPr/>
      </xdr:nvSpPr>
      <xdr:spPr>
        <a:xfrm>
          <a:off x="6718320" y="23860080"/>
          <a:ext cx="83520" cy="8352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580680</xdr:colOff>
      <xdr:row>137</xdr:row>
      <xdr:rowOff>114120</xdr:rowOff>
    </xdr:from>
    <xdr:to>
      <xdr:col>3</xdr:col>
      <xdr:colOff>646200</xdr:colOff>
      <xdr:row>142</xdr:row>
      <xdr:rowOff>116280</xdr:rowOff>
    </xdr:to>
    <xdr:grpSp>
      <xdr:nvGrpSpPr>
        <xdr:cNvPr id="126" name="Shape 2"/>
        <xdr:cNvGrpSpPr/>
      </xdr:nvGrpSpPr>
      <xdr:grpSpPr>
        <a:xfrm>
          <a:off x="3929040" y="21926520"/>
          <a:ext cx="964080" cy="763920"/>
          <a:chOff x="3929040" y="21926520"/>
          <a:chExt cx="964080" cy="763920"/>
        </a:xfrm>
      </xdr:grpSpPr>
      <xdr:cxnSp>
        <xdr:nvCxnSpPr>
          <xdr:cNvPr id="127" name="Shape 94"/>
          <xdr:cNvCxnSpPr/>
        </xdr:nvCxnSpPr>
        <xdr:spPr>
          <a:xfrm flipV="1">
            <a:off x="3929040" y="21926520"/>
            <a:ext cx="964440" cy="764280"/>
          </a:xfrm>
          <a:prstGeom prst="straightConnector1">
            <a:avLst/>
          </a:prstGeom>
          <a:ln w="9525">
            <a:solidFill>
              <a:srgbClr val="000000"/>
            </a:solidFill>
            <a:miter/>
          </a:ln>
        </xdr:spPr>
      </xdr:cxnSp>
    </xdr:grpSp>
    <xdr:clientData/>
  </xdr:twoCellAnchor>
  <xdr:twoCellAnchor editAs="oneCell">
    <xdr:from>
      <xdr:col>3</xdr:col>
      <xdr:colOff>685800</xdr:colOff>
      <xdr:row>137</xdr:row>
      <xdr:rowOff>123480</xdr:rowOff>
    </xdr:from>
    <xdr:to>
      <xdr:col>6</xdr:col>
      <xdr:colOff>339840</xdr:colOff>
      <xdr:row>150</xdr:row>
      <xdr:rowOff>96840</xdr:rowOff>
    </xdr:to>
    <xdr:grpSp>
      <xdr:nvGrpSpPr>
        <xdr:cNvPr id="128" name="Shape 2"/>
        <xdr:cNvGrpSpPr/>
      </xdr:nvGrpSpPr>
      <xdr:grpSpPr>
        <a:xfrm>
          <a:off x="4932720" y="21935880"/>
          <a:ext cx="1725480" cy="1954440"/>
          <a:chOff x="4932720" y="21935880"/>
          <a:chExt cx="1725480" cy="1954440"/>
        </a:xfrm>
      </xdr:grpSpPr>
      <xdr:cxnSp>
        <xdr:nvCxnSpPr>
          <xdr:cNvPr id="129" name="Shape 95"/>
          <xdr:cNvCxnSpPr/>
        </xdr:nvCxnSpPr>
        <xdr:spPr>
          <a:xfrm>
            <a:off x="4932720" y="21935880"/>
            <a:ext cx="1725840" cy="1954800"/>
          </a:xfrm>
          <a:prstGeom prst="straightConnector1">
            <a:avLst/>
          </a:prstGeom>
          <a:ln w="9525">
            <a:solidFill>
              <a:srgbClr val="ff0000"/>
            </a:solidFill>
            <a:miter/>
            <a:tailEnd len="med" type="triangle" w="med"/>
          </a:ln>
        </xdr:spPr>
      </xdr:cxnSp>
    </xdr:grpSp>
    <xdr:clientData/>
  </xdr:twoCellAnchor>
  <xdr:twoCellAnchor editAs="oneCell">
    <xdr:from>
      <xdr:col>7</xdr:col>
      <xdr:colOff>266760</xdr:colOff>
      <xdr:row>151</xdr:row>
      <xdr:rowOff>0</xdr:rowOff>
    </xdr:from>
    <xdr:to>
      <xdr:col>7</xdr:col>
      <xdr:colOff>350280</xdr:colOff>
      <xdr:row>151</xdr:row>
      <xdr:rowOff>83520</xdr:rowOff>
    </xdr:to>
    <xdr:sp>
      <xdr:nvSpPr>
        <xdr:cNvPr id="130" name="Shape 96"/>
        <xdr:cNvSpPr/>
      </xdr:nvSpPr>
      <xdr:spPr>
        <a:xfrm>
          <a:off x="7351920" y="23945760"/>
          <a:ext cx="83520" cy="83520"/>
        </a:xfrm>
        <a:prstGeom prst="ellipse">
          <a:avLst/>
        </a:prstGeom>
        <a:solidFill>
          <a:srgbClr val="ff6600"/>
        </a:solidFill>
        <a:ln w="9525">
          <a:solidFill>
            <a:srgbClr val="000000"/>
          </a:solidFill>
          <a:miter/>
        </a:ln>
      </xdr:spPr>
      <xdr:style>
        <a:lnRef idx="0"/>
        <a:fillRef idx="0"/>
        <a:effectRef idx="0"/>
        <a:fontRef idx="minor"/>
      </xdr:style>
    </xdr:sp>
    <xdr:clientData/>
  </xdr:twoCellAnchor>
  <xdr:twoCellAnchor editAs="oneCell">
    <xdr:from>
      <xdr:col>7</xdr:col>
      <xdr:colOff>86760</xdr:colOff>
      <xdr:row>131</xdr:row>
      <xdr:rowOff>115200</xdr:rowOff>
    </xdr:from>
    <xdr:to>
      <xdr:col>7</xdr:col>
      <xdr:colOff>589320</xdr:colOff>
      <xdr:row>142</xdr:row>
      <xdr:rowOff>94320</xdr:rowOff>
    </xdr:to>
    <xdr:sp>
      <xdr:nvSpPr>
        <xdr:cNvPr id="131" name="Shape 97"/>
        <xdr:cNvSpPr/>
      </xdr:nvSpPr>
      <xdr:spPr>
        <a:xfrm rot="21420000">
          <a:off x="7171920" y="21013200"/>
          <a:ext cx="502560" cy="1655280"/>
        </a:xfrm>
        <a:custGeom>
          <a:avLst/>
          <a:gdLst>
            <a:gd name="textAreaLeft" fmla="*/ 0 w 502560"/>
            <a:gd name="textAreaRight" fmla="*/ 504720 w 502560"/>
            <a:gd name="textAreaTop" fmla="*/ 0 h 1655280"/>
            <a:gd name="textAreaBottom" fmla="*/ 1657440 h 1655280"/>
          </a:gdLst>
          <a:ahLst/>
          <a:cxnLst/>
          <a:rect l="textAreaLeft" t="textAreaTop" r="textAreaRight" b="textAreaBottom"/>
          <a:pathLst>
            <a:path w="46" h="182">
              <a:moveTo>
                <a:pt x="0" y="0"/>
              </a:moveTo>
              <a:cubicBezTo>
                <a:pt x="5" y="8"/>
                <a:pt x="10" y="17"/>
                <a:pt x="13" y="24"/>
              </a:cubicBezTo>
              <a:cubicBezTo>
                <a:pt x="16" y="31"/>
                <a:pt x="18" y="36"/>
                <a:pt x="21" y="44"/>
              </a:cubicBezTo>
              <a:cubicBezTo>
                <a:pt x="24" y="52"/>
                <a:pt x="29" y="62"/>
                <a:pt x="32" y="72"/>
              </a:cubicBezTo>
              <a:cubicBezTo>
                <a:pt x="35" y="82"/>
                <a:pt x="38" y="94"/>
                <a:pt x="40" y="106"/>
              </a:cubicBezTo>
              <a:cubicBezTo>
                <a:pt x="42" y="118"/>
                <a:pt x="44" y="132"/>
                <a:pt x="45" y="144"/>
              </a:cubicBezTo>
              <a:cubicBezTo>
                <a:pt x="46" y="156"/>
                <a:pt x="45" y="178"/>
                <a:pt x="45" y="180"/>
              </a:cubicBezTo>
              <a:cubicBezTo>
                <a:pt x="45" y="182"/>
                <a:pt x="46" y="160"/>
                <a:pt x="46" y="156"/>
              </a:cubicBezTo>
            </a:path>
          </a:pathLst>
        </a:custGeom>
        <a:noFill/>
        <a:ln w="9525">
          <a:solidFill>
            <a:srgbClr val="000000"/>
          </a:solidFill>
          <a:round/>
        </a:ln>
      </xdr:spPr>
      <xdr:style>
        <a:lnRef idx="0"/>
        <a:fillRef idx="0"/>
        <a:effectRef idx="0"/>
        <a:fontRef idx="minor"/>
      </xdr:style>
    </xdr:sp>
    <xdr:clientData/>
  </xdr:twoCellAnchor>
  <xdr:twoCellAnchor editAs="oneCell">
    <xdr:from>
      <xdr:col>7</xdr:col>
      <xdr:colOff>153360</xdr:colOff>
      <xdr:row>142</xdr:row>
      <xdr:rowOff>68760</xdr:rowOff>
    </xdr:from>
    <xdr:to>
      <xdr:col>7</xdr:col>
      <xdr:colOff>589320</xdr:colOff>
      <xdr:row>153</xdr:row>
      <xdr:rowOff>28440</xdr:rowOff>
    </xdr:to>
    <xdr:sp>
      <xdr:nvSpPr>
        <xdr:cNvPr id="132" name="Shape 98"/>
        <xdr:cNvSpPr/>
      </xdr:nvSpPr>
      <xdr:spPr>
        <a:xfrm flipH="1" rot="10800000">
          <a:off x="7238160" y="22642920"/>
          <a:ext cx="435960" cy="1636200"/>
        </a:xfrm>
        <a:custGeom>
          <a:avLst/>
          <a:gdLst>
            <a:gd name="textAreaLeft" fmla="*/ 1080 w 435960"/>
            <a:gd name="textAreaRight" fmla="*/ 439200 w 435960"/>
            <a:gd name="textAreaTop" fmla="*/ 0 h 1636200"/>
            <a:gd name="textAreaBottom" fmla="*/ 1638360 h 1636200"/>
          </a:gdLst>
          <a:ahLst/>
          <a:cxnLst/>
          <a:rect l="textAreaLeft" t="textAreaTop" r="textAreaRight" b="textAreaBottom"/>
          <a:pathLst>
            <a:path w="46" h="182">
              <a:moveTo>
                <a:pt x="0" y="0"/>
              </a:moveTo>
              <a:cubicBezTo>
                <a:pt x="5" y="8"/>
                <a:pt x="10" y="17"/>
                <a:pt x="13" y="24"/>
              </a:cubicBezTo>
              <a:cubicBezTo>
                <a:pt x="16" y="31"/>
                <a:pt x="18" y="36"/>
                <a:pt x="21" y="44"/>
              </a:cubicBezTo>
              <a:cubicBezTo>
                <a:pt x="24" y="52"/>
                <a:pt x="29" y="62"/>
                <a:pt x="32" y="72"/>
              </a:cubicBezTo>
              <a:cubicBezTo>
                <a:pt x="35" y="82"/>
                <a:pt x="38" y="94"/>
                <a:pt x="40" y="106"/>
              </a:cubicBezTo>
              <a:cubicBezTo>
                <a:pt x="42" y="118"/>
                <a:pt x="44" y="132"/>
                <a:pt x="45" y="144"/>
              </a:cubicBezTo>
              <a:cubicBezTo>
                <a:pt x="46" y="156"/>
                <a:pt x="45" y="178"/>
                <a:pt x="45" y="180"/>
              </a:cubicBezTo>
              <a:cubicBezTo>
                <a:pt x="45" y="182"/>
                <a:pt x="46" y="160"/>
                <a:pt x="46" y="156"/>
              </a:cubicBezTo>
            </a:path>
          </a:pathLst>
        </a:custGeom>
        <a:noFill/>
        <a:ln w="9525">
          <a:solidFill>
            <a:srgbClr val="000000"/>
          </a:solidFill>
          <a:round/>
        </a:ln>
      </xdr:spPr>
      <xdr:style>
        <a:lnRef idx="0"/>
        <a:fillRef idx="0"/>
        <a:effectRef idx="0"/>
        <a:fontRef idx="minor"/>
      </xdr:style>
    </xdr:sp>
    <xdr:clientData/>
  </xdr:twoCellAnchor>
  <xdr:twoCellAnchor editAs="oneCell">
    <xdr:from>
      <xdr:col>7</xdr:col>
      <xdr:colOff>409680</xdr:colOff>
      <xdr:row>150</xdr:row>
      <xdr:rowOff>104760</xdr:rowOff>
    </xdr:from>
    <xdr:to>
      <xdr:col>8</xdr:col>
      <xdr:colOff>609840</xdr:colOff>
      <xdr:row>151</xdr:row>
      <xdr:rowOff>131400</xdr:rowOff>
    </xdr:to>
    <xdr:sp>
      <xdr:nvSpPr>
        <xdr:cNvPr id="133" name="Shape 99"/>
        <xdr:cNvSpPr/>
      </xdr:nvSpPr>
      <xdr:spPr>
        <a:xfrm>
          <a:off x="7494840" y="23898240"/>
          <a:ext cx="8265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Intercept Object</a:t>
          </a:r>
          <a:endParaRPr b="0" lang="en-US" sz="1000" strike="noStrike" u="none">
            <a:effectLst/>
            <a:uFillTx/>
            <a:latin typeface="Times New Roman"/>
          </a:endParaRPr>
        </a:p>
      </xdr:txBody>
    </xdr:sp>
    <xdr:clientData/>
  </xdr:twoCellAnchor>
  <xdr:twoCellAnchor editAs="oneCell">
    <xdr:from>
      <xdr:col>3</xdr:col>
      <xdr:colOff>723960</xdr:colOff>
      <xdr:row>150</xdr:row>
      <xdr:rowOff>0</xdr:rowOff>
    </xdr:from>
    <xdr:to>
      <xdr:col>6</xdr:col>
      <xdr:colOff>50400</xdr:colOff>
      <xdr:row>151</xdr:row>
      <xdr:rowOff>26640</xdr:rowOff>
    </xdr:to>
    <xdr:sp>
      <xdr:nvSpPr>
        <xdr:cNvPr id="134" name="Shape 100"/>
        <xdr:cNvSpPr/>
      </xdr:nvSpPr>
      <xdr:spPr>
        <a:xfrm>
          <a:off x="4970880" y="23793480"/>
          <a:ext cx="13978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Current Position</a:t>
          </a:r>
          <a:endParaRPr b="0" lang="en-US" sz="1000" strike="noStrike" u="none">
            <a:effectLst/>
            <a:uFillTx/>
            <a:latin typeface="Times New Roman"/>
          </a:endParaRPr>
        </a:p>
      </xdr:txBody>
    </xdr:sp>
    <xdr:clientData/>
  </xdr:twoCellAnchor>
  <xdr:twoCellAnchor editAs="oneCell">
    <xdr:from>
      <xdr:col>2</xdr:col>
      <xdr:colOff>419040</xdr:colOff>
      <xdr:row>143</xdr:row>
      <xdr:rowOff>47520</xdr:rowOff>
    </xdr:from>
    <xdr:to>
      <xdr:col>2</xdr:col>
      <xdr:colOff>636120</xdr:colOff>
      <xdr:row>144</xdr:row>
      <xdr:rowOff>74160</xdr:rowOff>
    </xdr:to>
    <xdr:sp>
      <xdr:nvSpPr>
        <xdr:cNvPr id="135" name="Shape 101"/>
        <xdr:cNvSpPr/>
      </xdr:nvSpPr>
      <xdr:spPr>
        <a:xfrm>
          <a:off x="3767400" y="22774320"/>
          <a:ext cx="2170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Sun</a:t>
          </a:r>
          <a:endParaRPr b="0" lang="en-US" sz="1000" strike="noStrike" u="none">
            <a:effectLst/>
            <a:uFillTx/>
            <a:latin typeface="Times New Roman"/>
          </a:endParaRPr>
        </a:p>
      </xdr:txBody>
    </xdr:sp>
    <xdr:clientData/>
  </xdr:twoCellAnchor>
  <xdr:twoCellAnchor editAs="oneCell">
    <xdr:from>
      <xdr:col>4</xdr:col>
      <xdr:colOff>9360</xdr:colOff>
      <xdr:row>137</xdr:row>
      <xdr:rowOff>0</xdr:rowOff>
    </xdr:from>
    <xdr:to>
      <xdr:col>5</xdr:col>
      <xdr:colOff>478800</xdr:colOff>
      <xdr:row>138</xdr:row>
      <xdr:rowOff>26640</xdr:rowOff>
    </xdr:to>
    <xdr:sp>
      <xdr:nvSpPr>
        <xdr:cNvPr id="136" name="Shape 102"/>
        <xdr:cNvSpPr/>
      </xdr:nvSpPr>
      <xdr:spPr>
        <a:xfrm>
          <a:off x="5049360" y="21812400"/>
          <a:ext cx="11217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Earth Current Position</a:t>
          </a:r>
          <a:endParaRPr b="0" lang="en-US" sz="1000" strike="noStrike" u="none">
            <a:effectLst/>
            <a:uFillTx/>
            <a:latin typeface="Times New Roman"/>
          </a:endParaRPr>
        </a:p>
      </xdr:txBody>
    </xdr:sp>
    <xdr:clientData/>
  </xdr:twoCellAnchor>
  <xdr:twoCellAnchor editAs="oneCell">
    <xdr:from>
      <xdr:col>7</xdr:col>
      <xdr:colOff>409680</xdr:colOff>
      <xdr:row>151</xdr:row>
      <xdr:rowOff>123840</xdr:rowOff>
    </xdr:from>
    <xdr:to>
      <xdr:col>8</xdr:col>
      <xdr:colOff>609840</xdr:colOff>
      <xdr:row>153</xdr:row>
      <xdr:rowOff>7200</xdr:rowOff>
    </xdr:to>
    <xdr:sp>
      <xdr:nvSpPr>
        <xdr:cNvPr id="137" name="Shape 103"/>
        <xdr:cNvSpPr/>
      </xdr:nvSpPr>
      <xdr:spPr>
        <a:xfrm>
          <a:off x="7494840" y="24069600"/>
          <a:ext cx="82656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Current Position</a:t>
          </a:r>
          <a:endParaRPr b="0" lang="en-US" sz="1000" strike="noStrike" u="none">
            <a:effectLst/>
            <a:uFillTx/>
            <a:latin typeface="Times New Roman"/>
          </a:endParaRPr>
        </a:p>
      </xdr:txBody>
    </xdr:sp>
    <xdr:clientData/>
  </xdr:twoCellAnchor>
  <xdr:twoCellAnchor editAs="oneCell">
    <xdr:from>
      <xdr:col>5</xdr:col>
      <xdr:colOff>85680</xdr:colOff>
      <xdr:row>142</xdr:row>
      <xdr:rowOff>114480</xdr:rowOff>
    </xdr:from>
    <xdr:to>
      <xdr:col>6</xdr:col>
      <xdr:colOff>219600</xdr:colOff>
      <xdr:row>143</xdr:row>
      <xdr:rowOff>131040</xdr:rowOff>
    </xdr:to>
    <xdr:sp>
      <xdr:nvSpPr>
        <xdr:cNvPr id="138" name="Shape 104"/>
        <xdr:cNvSpPr/>
      </xdr:nvSpPr>
      <xdr:spPr>
        <a:xfrm>
          <a:off x="5778000" y="22688640"/>
          <a:ext cx="759960" cy="169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Current Range</a:t>
          </a:r>
          <a:endParaRPr b="0" lang="en-US" sz="1000" strike="noStrike" u="none">
            <a:effectLst/>
            <a:uFillTx/>
            <a:latin typeface="Times New Roman"/>
          </a:endParaRPr>
        </a:p>
      </xdr:txBody>
    </xdr:sp>
    <xdr:clientData/>
  </xdr:twoCellAnchor>
  <xdr:twoCellAnchor editAs="oneCell">
    <xdr:from>
      <xdr:col>2</xdr:col>
      <xdr:colOff>495360</xdr:colOff>
      <xdr:row>139</xdr:row>
      <xdr:rowOff>85680</xdr:rowOff>
    </xdr:from>
    <xdr:to>
      <xdr:col>3</xdr:col>
      <xdr:colOff>23400</xdr:colOff>
      <xdr:row>140</xdr:row>
      <xdr:rowOff>111960</xdr:rowOff>
    </xdr:to>
    <xdr:sp>
      <xdr:nvSpPr>
        <xdr:cNvPr id="139" name="Shape 105"/>
        <xdr:cNvSpPr/>
      </xdr:nvSpPr>
      <xdr:spPr>
        <a:xfrm>
          <a:off x="3843720" y="22202640"/>
          <a:ext cx="4266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1.00 AU</a:t>
          </a:r>
          <a:endParaRPr b="0" lang="en-US" sz="1000" strike="noStrike" u="none">
            <a:effectLst/>
            <a:uFillTx/>
            <a:latin typeface="Times New Roman"/>
          </a:endParaRPr>
        </a:p>
      </xdr:txBody>
    </xdr:sp>
    <xdr:clientData/>
  </xdr:twoCellAnchor>
  <xdr:twoCellAnchor editAs="oneCell">
    <xdr:from>
      <xdr:col>2</xdr:col>
      <xdr:colOff>714240</xdr:colOff>
      <xdr:row>156</xdr:row>
      <xdr:rowOff>0</xdr:rowOff>
    </xdr:from>
    <xdr:to>
      <xdr:col>5</xdr:col>
      <xdr:colOff>530280</xdr:colOff>
      <xdr:row>157</xdr:row>
      <xdr:rowOff>16920</xdr:rowOff>
    </xdr:to>
    <xdr:sp>
      <xdr:nvSpPr>
        <xdr:cNvPr id="140" name="Shape 106"/>
        <xdr:cNvSpPr/>
      </xdr:nvSpPr>
      <xdr:spPr>
        <a:xfrm>
          <a:off x="4062600" y="24707880"/>
          <a:ext cx="2160000" cy="169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Heliocentric Transfer Mission (Example)</a:t>
          </a:r>
          <a:endParaRPr b="0" lang="en-US" sz="1000" strike="noStrike" u="none">
            <a:effectLst/>
            <a:uFillTx/>
            <a:latin typeface="Times New Roman"/>
          </a:endParaRPr>
        </a:p>
      </xdr:txBody>
    </xdr:sp>
    <xdr:clientData/>
  </xdr:twoCellAnchor>
  <xdr:twoCellAnchor editAs="oneCell">
    <xdr:from>
      <xdr:col>7</xdr:col>
      <xdr:colOff>533520</xdr:colOff>
      <xdr:row>142</xdr:row>
      <xdr:rowOff>66600</xdr:rowOff>
    </xdr:from>
    <xdr:to>
      <xdr:col>7</xdr:col>
      <xdr:colOff>617040</xdr:colOff>
      <xdr:row>142</xdr:row>
      <xdr:rowOff>131040</xdr:rowOff>
    </xdr:to>
    <xdr:sp>
      <xdr:nvSpPr>
        <xdr:cNvPr id="141" name="Shape 107"/>
        <xdr:cNvSpPr/>
      </xdr:nvSpPr>
      <xdr:spPr>
        <a:xfrm>
          <a:off x="7618680" y="22640760"/>
          <a:ext cx="83520" cy="64440"/>
        </a:xfrm>
        <a:prstGeom prst="ellipse">
          <a:avLst/>
        </a:prstGeom>
        <a:solidFill>
          <a:srgbClr val="000000"/>
        </a:solidFill>
        <a:ln w="9525">
          <a:solidFill>
            <a:srgbClr val="000000"/>
          </a:solidFill>
          <a:miter/>
        </a:ln>
      </xdr:spPr>
      <xdr:style>
        <a:lnRef idx="0"/>
        <a:fillRef idx="0"/>
        <a:effectRef idx="0"/>
        <a:fontRef idx="minor"/>
      </xdr:style>
    </xdr:sp>
    <xdr:clientData/>
  </xdr:twoCellAnchor>
  <xdr:twoCellAnchor editAs="oneCell">
    <xdr:from>
      <xdr:col>8</xdr:col>
      <xdr:colOff>38160</xdr:colOff>
      <xdr:row>142</xdr:row>
      <xdr:rowOff>28440</xdr:rowOff>
    </xdr:from>
    <xdr:to>
      <xdr:col>9</xdr:col>
      <xdr:colOff>514800</xdr:colOff>
      <xdr:row>143</xdr:row>
      <xdr:rowOff>54720</xdr:rowOff>
    </xdr:to>
    <xdr:sp>
      <xdr:nvSpPr>
        <xdr:cNvPr id="142" name="Shape 108"/>
        <xdr:cNvSpPr/>
      </xdr:nvSpPr>
      <xdr:spPr>
        <a:xfrm>
          <a:off x="7749720" y="22602600"/>
          <a:ext cx="1102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Future Intercept Point</a:t>
          </a:r>
          <a:endParaRPr b="0" lang="en-US" sz="1000" strike="noStrike" u="none">
            <a:effectLst/>
            <a:uFillTx/>
            <a:latin typeface="Times New Roman"/>
          </a:endParaRPr>
        </a:p>
      </xdr:txBody>
    </xdr:sp>
    <xdr:clientData/>
  </xdr:twoCellAnchor>
  <xdr:twoCellAnchor editAs="oneCell">
    <xdr:from>
      <xdr:col>3</xdr:col>
      <xdr:colOff>389880</xdr:colOff>
      <xdr:row>135</xdr:row>
      <xdr:rowOff>114120</xdr:rowOff>
    </xdr:from>
    <xdr:to>
      <xdr:col>3</xdr:col>
      <xdr:colOff>677880</xdr:colOff>
      <xdr:row>137</xdr:row>
      <xdr:rowOff>125280</xdr:rowOff>
    </xdr:to>
    <xdr:grpSp>
      <xdr:nvGrpSpPr>
        <xdr:cNvPr id="143" name="Shape 2"/>
        <xdr:cNvGrpSpPr/>
      </xdr:nvGrpSpPr>
      <xdr:grpSpPr>
        <a:xfrm>
          <a:off x="4636800" y="21621600"/>
          <a:ext cx="288000" cy="316080"/>
          <a:chOff x="4636800" y="21621600"/>
          <a:chExt cx="288000" cy="316080"/>
        </a:xfrm>
      </xdr:grpSpPr>
      <xdr:cxnSp>
        <xdr:nvCxnSpPr>
          <xdr:cNvPr id="144" name="Shape 109"/>
          <xdr:cNvCxnSpPr/>
        </xdr:nvCxnSpPr>
        <xdr:spPr>
          <a:xfrm flipH="1" flipV="1">
            <a:off x="4636800" y="21621600"/>
            <a:ext cx="288360" cy="316440"/>
          </a:xfrm>
          <a:prstGeom prst="straightConnector1">
            <a:avLst/>
          </a:prstGeom>
          <a:ln w="9525">
            <a:solidFill>
              <a:srgbClr val="0000ff"/>
            </a:solidFill>
            <a:miter/>
            <a:tailEnd len="med" type="triangle" w="med"/>
          </a:ln>
        </xdr:spPr>
      </xdr:cxnSp>
    </xdr:grpSp>
    <xdr:clientData/>
  </xdr:twoCellAnchor>
  <xdr:twoCellAnchor editAs="oneCell">
    <xdr:from>
      <xdr:col>6</xdr:col>
      <xdr:colOff>438120</xdr:colOff>
      <xdr:row>148</xdr:row>
      <xdr:rowOff>66240</xdr:rowOff>
    </xdr:from>
    <xdr:to>
      <xdr:col>7</xdr:col>
      <xdr:colOff>177840</xdr:colOff>
      <xdr:row>150</xdr:row>
      <xdr:rowOff>96840</xdr:rowOff>
    </xdr:to>
    <xdr:grpSp>
      <xdr:nvGrpSpPr>
        <xdr:cNvPr id="145" name="Shape 2"/>
        <xdr:cNvGrpSpPr/>
      </xdr:nvGrpSpPr>
      <xdr:grpSpPr>
        <a:xfrm>
          <a:off x="6756480" y="23554800"/>
          <a:ext cx="506520" cy="335520"/>
          <a:chOff x="6756480" y="23554800"/>
          <a:chExt cx="506520" cy="335520"/>
        </a:xfrm>
      </xdr:grpSpPr>
      <xdr:cxnSp>
        <xdr:nvCxnSpPr>
          <xdr:cNvPr id="146" name="Shape 110"/>
          <xdr:cNvCxnSpPr/>
        </xdr:nvCxnSpPr>
        <xdr:spPr>
          <a:xfrm flipV="1">
            <a:off x="6756480" y="23554800"/>
            <a:ext cx="506880" cy="335880"/>
          </a:xfrm>
          <a:prstGeom prst="straightConnector1">
            <a:avLst/>
          </a:prstGeom>
          <a:ln w="9525">
            <a:solidFill>
              <a:srgbClr val="0000ff"/>
            </a:solidFill>
            <a:miter/>
            <a:tailEnd len="med" type="triangle" w="med"/>
          </a:ln>
        </xdr:spPr>
      </xdr:cxnSp>
    </xdr:grp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1495080</xdr:colOff>
      <xdr:row>12</xdr:row>
      <xdr:rowOff>56880</xdr:rowOff>
    </xdr:from>
    <xdr:to>
      <xdr:col>1</xdr:col>
      <xdr:colOff>63000</xdr:colOff>
      <xdr:row>12</xdr:row>
      <xdr:rowOff>58680</xdr:rowOff>
    </xdr:to>
    <xdr:grpSp>
      <xdr:nvGrpSpPr>
        <xdr:cNvPr id="147" name="Shape 2"/>
        <xdr:cNvGrpSpPr/>
      </xdr:nvGrpSpPr>
      <xdr:grpSpPr>
        <a:xfrm>
          <a:off x="1495080" y="2228760"/>
          <a:ext cx="392400" cy="1800"/>
          <a:chOff x="1495080" y="2228760"/>
          <a:chExt cx="392400" cy="1800"/>
        </a:xfrm>
      </xdr:grpSpPr>
      <xdr:cxnSp>
        <xdr:nvCxnSpPr>
          <xdr:cNvPr id="148" name="Shape 111"/>
          <xdr:cNvCxnSpPr/>
        </xdr:nvCxnSpPr>
        <xdr:spPr>
          <a:xfrm>
            <a:off x="1495080" y="2228760"/>
            <a:ext cx="392760" cy="2160"/>
          </a:xfrm>
          <a:prstGeom prst="straightConnector1">
            <a:avLst/>
          </a:prstGeom>
          <a:ln w="9525">
            <a:solidFill>
              <a:srgbClr val="ff0000"/>
            </a:solidFill>
            <a:miter/>
            <a:tailEnd len="med" type="triangle" w="med"/>
          </a:ln>
        </xdr:spPr>
      </xdr:cxnSp>
    </xdr:grpSp>
    <xdr:clientData/>
  </xdr:twoCellAnchor>
  <xdr:twoCellAnchor editAs="oneCell">
    <xdr:from>
      <xdr:col>0</xdr:col>
      <xdr:colOff>1476360</xdr:colOff>
      <xdr:row>18</xdr:row>
      <xdr:rowOff>56880</xdr:rowOff>
    </xdr:from>
    <xdr:to>
      <xdr:col>1</xdr:col>
      <xdr:colOff>82080</xdr:colOff>
      <xdr:row>18</xdr:row>
      <xdr:rowOff>58680</xdr:rowOff>
    </xdr:to>
    <xdr:grpSp>
      <xdr:nvGrpSpPr>
        <xdr:cNvPr id="149" name="Shape 2"/>
        <xdr:cNvGrpSpPr/>
      </xdr:nvGrpSpPr>
      <xdr:grpSpPr>
        <a:xfrm>
          <a:off x="1476360" y="3161880"/>
          <a:ext cx="430200" cy="1800"/>
          <a:chOff x="1476360" y="3161880"/>
          <a:chExt cx="430200" cy="1800"/>
        </a:xfrm>
      </xdr:grpSpPr>
      <xdr:cxnSp>
        <xdr:nvCxnSpPr>
          <xdr:cNvPr id="150" name="Shape 112"/>
          <xdr:cNvCxnSpPr/>
        </xdr:nvCxnSpPr>
        <xdr:spPr>
          <a:xfrm>
            <a:off x="1476360" y="3161880"/>
            <a:ext cx="430560" cy="2160"/>
          </a:xfrm>
          <a:prstGeom prst="straightConnector1">
            <a:avLst/>
          </a:prstGeom>
          <a:ln w="9525">
            <a:solidFill>
              <a:srgbClr val="ff0000"/>
            </a:solidFill>
            <a:miter/>
            <a:tailEnd len="med" type="triangle" w="med"/>
          </a:ln>
        </xdr:spPr>
      </xdr:cxnSp>
    </xdr:grpSp>
    <xdr:clientData/>
  </xdr:twoCellAnchor>
  <xdr:twoCellAnchor editAs="oneCell">
    <xdr:from>
      <xdr:col>12</xdr:col>
      <xdr:colOff>533160</xdr:colOff>
      <xdr:row>0</xdr:row>
      <xdr:rowOff>123480</xdr:rowOff>
    </xdr:from>
    <xdr:to>
      <xdr:col>12</xdr:col>
      <xdr:colOff>534960</xdr:colOff>
      <xdr:row>9</xdr:row>
      <xdr:rowOff>1800</xdr:rowOff>
    </xdr:to>
    <xdr:grpSp>
      <xdr:nvGrpSpPr>
        <xdr:cNvPr id="151" name="Shape 2"/>
        <xdr:cNvGrpSpPr/>
      </xdr:nvGrpSpPr>
      <xdr:grpSpPr>
        <a:xfrm>
          <a:off x="9516600" y="123480"/>
          <a:ext cx="1800" cy="1583280"/>
          <a:chOff x="9516600" y="123480"/>
          <a:chExt cx="1800" cy="1583280"/>
        </a:xfrm>
      </xdr:grpSpPr>
      <xdr:cxnSp>
        <xdr:nvCxnSpPr>
          <xdr:cNvPr id="152" name="Shape 113"/>
          <xdr:cNvCxnSpPr/>
        </xdr:nvCxnSpPr>
        <xdr:spPr>
          <a:xfrm>
            <a:off x="9516600" y="123480"/>
            <a:ext cx="2160" cy="1583640"/>
          </a:xfrm>
          <a:prstGeom prst="straightConnector1">
            <a:avLst/>
          </a:prstGeom>
          <a:ln w="38100">
            <a:solidFill>
              <a:srgbClr val="000000"/>
            </a:solidFill>
            <a:miter/>
            <a:tailEnd len="med" type="triangle" w="med"/>
          </a:ln>
        </xdr:spPr>
      </xdr:cxnSp>
    </xdr:grpSp>
    <xdr:clientData/>
  </xdr:twoCellAnchor>
  <xdr:twoCellAnchor editAs="oneCell">
    <xdr:from>
      <xdr:col>6</xdr:col>
      <xdr:colOff>161640</xdr:colOff>
      <xdr:row>0</xdr:row>
      <xdr:rowOff>95040</xdr:rowOff>
    </xdr:from>
    <xdr:to>
      <xdr:col>12</xdr:col>
      <xdr:colOff>345240</xdr:colOff>
      <xdr:row>0</xdr:row>
      <xdr:rowOff>96840</xdr:rowOff>
    </xdr:to>
    <xdr:grpSp>
      <xdr:nvGrpSpPr>
        <xdr:cNvPr id="153" name="Shape 2"/>
        <xdr:cNvGrpSpPr/>
      </xdr:nvGrpSpPr>
      <xdr:grpSpPr>
        <a:xfrm>
          <a:off x="5116680" y="95040"/>
          <a:ext cx="4212000" cy="1800"/>
          <a:chOff x="5116680" y="95040"/>
          <a:chExt cx="4212000" cy="1800"/>
        </a:xfrm>
      </xdr:grpSpPr>
      <xdr:cxnSp>
        <xdr:nvCxnSpPr>
          <xdr:cNvPr id="154" name="Shape 114"/>
          <xdr:cNvCxnSpPr/>
        </xdr:nvCxnSpPr>
        <xdr:spPr>
          <a:xfrm>
            <a:off x="5116680" y="95040"/>
            <a:ext cx="4212360" cy="2160"/>
          </a:xfrm>
          <a:prstGeom prst="straightConnector1">
            <a:avLst/>
          </a:prstGeom>
          <a:ln w="38100">
            <a:solidFill>
              <a:srgbClr val="000000"/>
            </a:solidFill>
            <a:miter/>
          </a:ln>
        </xdr:spPr>
      </xdr:cxnSp>
    </xdr:grpSp>
    <xdr:clientData/>
  </xdr:twoCellAnchor>
  <xdr:twoCellAnchor editAs="oneCell">
    <xdr:from>
      <xdr:col>12</xdr:col>
      <xdr:colOff>542880</xdr:colOff>
      <xdr:row>12</xdr:row>
      <xdr:rowOff>56880</xdr:rowOff>
    </xdr:from>
    <xdr:to>
      <xdr:col>12</xdr:col>
      <xdr:colOff>544680</xdr:colOff>
      <xdr:row>14</xdr:row>
      <xdr:rowOff>106560</xdr:rowOff>
    </xdr:to>
    <xdr:grpSp>
      <xdr:nvGrpSpPr>
        <xdr:cNvPr id="155" name="Shape 2"/>
        <xdr:cNvGrpSpPr/>
      </xdr:nvGrpSpPr>
      <xdr:grpSpPr>
        <a:xfrm>
          <a:off x="9526320" y="2228760"/>
          <a:ext cx="1800" cy="354240"/>
          <a:chOff x="9526320" y="2228760"/>
          <a:chExt cx="1800" cy="354240"/>
        </a:xfrm>
      </xdr:grpSpPr>
      <xdr:cxnSp>
        <xdr:nvCxnSpPr>
          <xdr:cNvPr id="156" name="Shape 115"/>
          <xdr:cNvCxnSpPr/>
        </xdr:nvCxnSpPr>
        <xdr:spPr>
          <a:xfrm>
            <a:off x="9526320" y="2228760"/>
            <a:ext cx="2160" cy="354600"/>
          </a:xfrm>
          <a:prstGeom prst="straightConnector1">
            <a:avLst/>
          </a:prstGeom>
          <a:ln w="38100">
            <a:solidFill>
              <a:srgbClr val="000000"/>
            </a:solidFill>
            <a:miter/>
            <a:tailEnd len="med" type="triangle" w="med"/>
          </a:ln>
        </xdr:spPr>
      </xdr:cxnSp>
    </xdr:grp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552600</xdr:colOff>
      <xdr:row>10</xdr:row>
      <xdr:rowOff>0</xdr:rowOff>
    </xdr:from>
    <xdr:to>
      <xdr:col>3</xdr:col>
      <xdr:colOff>752760</xdr:colOff>
      <xdr:row>14</xdr:row>
      <xdr:rowOff>7560</xdr:rowOff>
    </xdr:to>
    <xdr:sp>
      <xdr:nvSpPr>
        <xdr:cNvPr id="157" name="Shape 116"/>
        <xdr:cNvSpPr/>
      </xdr:nvSpPr>
      <xdr:spPr>
        <a:xfrm>
          <a:off x="1804680" y="1676520"/>
          <a:ext cx="826560" cy="61704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TX</a:t>
          </a:r>
          <a:endParaRPr b="0" lang="en-US" sz="1000" strike="noStrike" u="none">
            <a:effectLst/>
            <a:uFillTx/>
            <a:latin typeface="Times New Roman"/>
          </a:endParaRPr>
        </a:p>
      </xdr:txBody>
    </xdr:sp>
    <xdr:clientData/>
  </xdr:twoCellAnchor>
  <xdr:twoCellAnchor editAs="oneCell">
    <xdr:from>
      <xdr:col>3</xdr:col>
      <xdr:colOff>780840</xdr:colOff>
      <xdr:row>11</xdr:row>
      <xdr:rowOff>133200</xdr:rowOff>
    </xdr:from>
    <xdr:to>
      <xdr:col>3</xdr:col>
      <xdr:colOff>1563840</xdr:colOff>
      <xdr:row>11</xdr:row>
      <xdr:rowOff>135000</xdr:rowOff>
    </xdr:to>
    <xdr:grpSp>
      <xdr:nvGrpSpPr>
        <xdr:cNvPr id="158" name="Shape 2"/>
        <xdr:cNvGrpSpPr/>
      </xdr:nvGrpSpPr>
      <xdr:grpSpPr>
        <a:xfrm>
          <a:off x="2659320" y="1962000"/>
          <a:ext cx="783000" cy="1800"/>
          <a:chOff x="2659320" y="1962000"/>
          <a:chExt cx="783000" cy="1800"/>
        </a:xfrm>
      </xdr:grpSpPr>
      <xdr:cxnSp>
        <xdr:nvCxnSpPr>
          <xdr:cNvPr id="159" name="Shape 117"/>
          <xdr:cNvCxnSpPr/>
        </xdr:nvCxnSpPr>
        <xdr:spPr>
          <a:xfrm>
            <a:off x="2659320" y="1962000"/>
            <a:ext cx="783360" cy="2160"/>
          </a:xfrm>
          <a:prstGeom prst="straightConnector1">
            <a:avLst/>
          </a:prstGeom>
          <a:ln w="19050">
            <a:solidFill>
              <a:srgbClr val="000000"/>
            </a:solidFill>
            <a:miter/>
          </a:ln>
        </xdr:spPr>
      </xdr:cxnSp>
    </xdr:grpSp>
    <xdr:clientData/>
  </xdr:twoCellAnchor>
  <xdr:twoCellAnchor editAs="oneCell">
    <xdr:from>
      <xdr:col>3</xdr:col>
      <xdr:colOff>1638360</xdr:colOff>
      <xdr:row>10</xdr:row>
      <xdr:rowOff>85680</xdr:rowOff>
    </xdr:from>
    <xdr:to>
      <xdr:col>4</xdr:col>
      <xdr:colOff>597960</xdr:colOff>
      <xdr:row>13</xdr:row>
      <xdr:rowOff>55080</xdr:rowOff>
    </xdr:to>
    <xdr:sp>
      <xdr:nvSpPr>
        <xdr:cNvPr id="160" name="Shape 118"/>
        <xdr:cNvSpPr/>
      </xdr:nvSpPr>
      <xdr:spPr>
        <a:xfrm>
          <a:off x="3516840" y="1762200"/>
          <a:ext cx="607320" cy="42660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5</xdr:col>
      <xdr:colOff>642960</xdr:colOff>
      <xdr:row>10</xdr:row>
      <xdr:rowOff>66600</xdr:rowOff>
    </xdr:from>
    <xdr:to>
      <xdr:col>7</xdr:col>
      <xdr:colOff>11520</xdr:colOff>
      <xdr:row>13</xdr:row>
      <xdr:rowOff>83520</xdr:rowOff>
    </xdr:to>
    <xdr:sp>
      <xdr:nvSpPr>
        <xdr:cNvPr id="161" name="Shape 119"/>
        <xdr:cNvSpPr/>
      </xdr:nvSpPr>
      <xdr:spPr>
        <a:xfrm>
          <a:off x="4795200" y="1743120"/>
          <a:ext cx="655200" cy="47412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900" strike="noStrike" u="none">
              <a:solidFill>
                <a:srgbClr val="000000"/>
              </a:solidFill>
              <a:effectLst/>
              <a:uFillTx/>
              <a:latin typeface="Arial"/>
              <a:ea typeface="Arial"/>
            </a:rPr>
            <a:t>Other </a:t>
          </a:r>
          <a:endParaRPr b="0" lang="en-US" sz="900" strike="noStrike" u="none">
            <a:effectLst/>
            <a:uFillTx/>
            <a:latin typeface="Times New Roman"/>
          </a:endParaRPr>
        </a:p>
        <a:p>
          <a:pPr algn="ctr">
            <a:lnSpc>
              <a:spcPct val="100000"/>
            </a:lnSpc>
            <a:tabLst>
              <a:tab algn="l" pos="0"/>
            </a:tabLst>
          </a:pPr>
          <a:r>
            <a:rPr b="1" lang="en-US" sz="900" strike="noStrike" u="none">
              <a:solidFill>
                <a:srgbClr val="000000"/>
              </a:solidFill>
              <a:effectLst/>
              <a:uFillTx/>
              <a:latin typeface="Arial"/>
              <a:ea typeface="Arial"/>
            </a:rPr>
            <a:t>In-Line</a:t>
          </a:r>
          <a:endParaRPr b="0" lang="en-US" sz="900" strike="noStrike" u="none">
            <a:effectLst/>
            <a:uFillTx/>
            <a:latin typeface="Times New Roman"/>
          </a:endParaRPr>
        </a:p>
        <a:p>
          <a:pPr algn="ctr">
            <a:lnSpc>
              <a:spcPct val="100000"/>
            </a:lnSpc>
            <a:tabLst>
              <a:tab algn="l" pos="0"/>
            </a:tabLst>
          </a:pPr>
          <a:r>
            <a:rPr b="1" lang="en-US" sz="900" strike="noStrike" u="none">
              <a:solidFill>
                <a:srgbClr val="000000"/>
              </a:solidFill>
              <a:effectLst/>
              <a:uFillTx/>
              <a:latin typeface="Arial"/>
              <a:ea typeface="Arial"/>
            </a:rPr>
            <a:t>Device</a:t>
          </a:r>
          <a:endParaRPr b="0" lang="en-US" sz="900" strike="noStrike" u="none">
            <a:effectLst/>
            <a:uFillTx/>
            <a:latin typeface="Times New Roman"/>
          </a:endParaRPr>
        </a:p>
        <a:p>
          <a:pPr algn="ctr">
            <a:lnSpc>
              <a:spcPct val="100000"/>
            </a:lnSpc>
            <a:tabLst>
              <a:tab algn="l" pos="0"/>
            </a:tabLst>
          </a:pPr>
          <a:endParaRPr b="0" lang="en-US" sz="900" strike="noStrike" u="none">
            <a:effectLst/>
            <a:uFillTx/>
            <a:latin typeface="Times New Roman"/>
          </a:endParaRPr>
        </a:p>
      </xdr:txBody>
    </xdr:sp>
    <xdr:clientData/>
  </xdr:twoCellAnchor>
  <xdr:twoCellAnchor editAs="oneCell">
    <xdr:from>
      <xdr:col>5</xdr:col>
      <xdr:colOff>9360</xdr:colOff>
      <xdr:row>11</xdr:row>
      <xdr:rowOff>133200</xdr:rowOff>
    </xdr:from>
    <xdr:to>
      <xdr:col>5</xdr:col>
      <xdr:colOff>601560</xdr:colOff>
      <xdr:row>11</xdr:row>
      <xdr:rowOff>135000</xdr:rowOff>
    </xdr:to>
    <xdr:grpSp>
      <xdr:nvGrpSpPr>
        <xdr:cNvPr id="162" name="Shape 2"/>
        <xdr:cNvGrpSpPr/>
      </xdr:nvGrpSpPr>
      <xdr:grpSpPr>
        <a:xfrm>
          <a:off x="4161600" y="1962000"/>
          <a:ext cx="592200" cy="1800"/>
          <a:chOff x="4161600" y="1962000"/>
          <a:chExt cx="592200" cy="1800"/>
        </a:xfrm>
      </xdr:grpSpPr>
      <xdr:cxnSp>
        <xdr:nvCxnSpPr>
          <xdr:cNvPr id="163" name="Shape 120"/>
          <xdr:cNvCxnSpPr/>
        </xdr:nvCxnSpPr>
        <xdr:spPr>
          <a:xfrm>
            <a:off x="4161600" y="1962000"/>
            <a:ext cx="592560" cy="2160"/>
          </a:xfrm>
          <a:prstGeom prst="straightConnector1">
            <a:avLst/>
          </a:prstGeom>
          <a:ln w="19050">
            <a:solidFill>
              <a:srgbClr val="000000"/>
            </a:solidFill>
            <a:miter/>
          </a:ln>
        </xdr:spPr>
      </xdr:cxnSp>
    </xdr:grpSp>
    <xdr:clientData/>
  </xdr:twoCellAnchor>
  <xdr:twoCellAnchor editAs="oneCell">
    <xdr:from>
      <xdr:col>7</xdr:col>
      <xdr:colOff>564120</xdr:colOff>
      <xdr:row>8</xdr:row>
      <xdr:rowOff>11880</xdr:rowOff>
    </xdr:from>
    <xdr:to>
      <xdr:col>8</xdr:col>
      <xdr:colOff>497880</xdr:colOff>
      <xdr:row>10</xdr:row>
      <xdr:rowOff>123840</xdr:rowOff>
    </xdr:to>
    <xdr:sp>
      <xdr:nvSpPr>
        <xdr:cNvPr id="164" name="Shape 121"/>
        <xdr:cNvSpPr/>
      </xdr:nvSpPr>
      <xdr:spPr>
        <a:xfrm rot="10800000">
          <a:off x="6003000" y="1383480"/>
          <a:ext cx="559800" cy="416880"/>
        </a:xfrm>
        <a:prstGeom prst="triangle">
          <a:avLst>
            <a:gd name="adj" fmla="val 50000"/>
          </a:avLst>
        </a:prstGeom>
        <a:solidFill>
          <a:srgbClr val="ffffff"/>
        </a:solidFill>
        <a:ln w="19050">
          <a:solidFill>
            <a:srgbClr val="000000"/>
          </a:solidFill>
          <a:miter/>
        </a:ln>
      </xdr:spPr>
      <xdr:style>
        <a:lnRef idx="0"/>
        <a:fillRef idx="0"/>
        <a:effectRef idx="0"/>
        <a:fontRef idx="minor"/>
      </xdr:style>
    </xdr:sp>
    <xdr:clientData/>
  </xdr:twoCellAnchor>
  <xdr:twoCellAnchor editAs="oneCell">
    <xdr:from>
      <xdr:col>8</xdr:col>
      <xdr:colOff>228600</xdr:colOff>
      <xdr:row>8</xdr:row>
      <xdr:rowOff>9360</xdr:rowOff>
    </xdr:from>
    <xdr:to>
      <xdr:col>8</xdr:col>
      <xdr:colOff>230400</xdr:colOff>
      <xdr:row>12</xdr:row>
      <xdr:rowOff>1800</xdr:rowOff>
    </xdr:to>
    <xdr:grpSp>
      <xdr:nvGrpSpPr>
        <xdr:cNvPr id="165" name="Shape 2"/>
        <xdr:cNvGrpSpPr/>
      </xdr:nvGrpSpPr>
      <xdr:grpSpPr>
        <a:xfrm>
          <a:off x="6293520" y="1380960"/>
          <a:ext cx="1800" cy="601920"/>
          <a:chOff x="6293520" y="1380960"/>
          <a:chExt cx="1800" cy="601920"/>
        </a:xfrm>
      </xdr:grpSpPr>
      <xdr:cxnSp>
        <xdr:nvCxnSpPr>
          <xdr:cNvPr id="166" name="Shape 122"/>
          <xdr:cNvCxnSpPr/>
        </xdr:nvCxnSpPr>
        <xdr:spPr>
          <a:xfrm>
            <a:off x="6293520" y="1380960"/>
            <a:ext cx="2160" cy="602280"/>
          </a:xfrm>
          <a:prstGeom prst="straightConnector1">
            <a:avLst/>
          </a:prstGeom>
          <a:ln w="19050">
            <a:solidFill>
              <a:srgbClr val="000000"/>
            </a:solidFill>
            <a:miter/>
          </a:ln>
        </xdr:spPr>
      </xdr:cxnSp>
    </xdr:grpSp>
    <xdr:clientData/>
  </xdr:twoCellAnchor>
  <xdr:twoCellAnchor editAs="oneCell">
    <xdr:from>
      <xdr:col>7</xdr:col>
      <xdr:colOff>28440</xdr:colOff>
      <xdr:row>11</xdr:row>
      <xdr:rowOff>133200</xdr:rowOff>
    </xdr:from>
    <xdr:to>
      <xdr:col>8</xdr:col>
      <xdr:colOff>204120</xdr:colOff>
      <xdr:row>11</xdr:row>
      <xdr:rowOff>135000</xdr:rowOff>
    </xdr:to>
    <xdr:grpSp>
      <xdr:nvGrpSpPr>
        <xdr:cNvPr id="167" name="Shape 2"/>
        <xdr:cNvGrpSpPr/>
      </xdr:nvGrpSpPr>
      <xdr:grpSpPr>
        <a:xfrm>
          <a:off x="5467320" y="1962000"/>
          <a:ext cx="801720" cy="1800"/>
          <a:chOff x="5467320" y="1962000"/>
          <a:chExt cx="801720" cy="1800"/>
        </a:xfrm>
      </xdr:grpSpPr>
      <xdr:cxnSp>
        <xdr:nvCxnSpPr>
          <xdr:cNvPr id="168" name="Shape 123"/>
          <xdr:cNvCxnSpPr/>
        </xdr:nvCxnSpPr>
        <xdr:spPr>
          <a:xfrm>
            <a:off x="5467320" y="1962000"/>
            <a:ext cx="802080" cy="2160"/>
          </a:xfrm>
          <a:prstGeom prst="straightConnector1">
            <a:avLst/>
          </a:prstGeom>
          <a:ln w="19050">
            <a:solidFill>
              <a:srgbClr val="000000"/>
            </a:solidFill>
            <a:miter/>
          </a:ln>
        </xdr:spPr>
      </xdr:cxnSp>
    </xdr:grpSp>
    <xdr:clientData/>
  </xdr:twoCellAnchor>
  <xdr:twoCellAnchor editAs="oneCell">
    <xdr:from>
      <xdr:col>8</xdr:col>
      <xdr:colOff>552240</xdr:colOff>
      <xdr:row>44</xdr:row>
      <xdr:rowOff>133200</xdr:rowOff>
    </xdr:from>
    <xdr:to>
      <xdr:col>8</xdr:col>
      <xdr:colOff>554040</xdr:colOff>
      <xdr:row>46</xdr:row>
      <xdr:rowOff>77760</xdr:rowOff>
    </xdr:to>
    <xdr:grpSp>
      <xdr:nvGrpSpPr>
        <xdr:cNvPr id="169" name="Shape 2"/>
        <xdr:cNvGrpSpPr/>
      </xdr:nvGrpSpPr>
      <xdr:grpSpPr>
        <a:xfrm>
          <a:off x="6617160" y="7029360"/>
          <a:ext cx="1800" cy="249480"/>
          <a:chOff x="6617160" y="7029360"/>
          <a:chExt cx="1800" cy="249480"/>
        </a:xfrm>
      </xdr:grpSpPr>
      <xdr:cxnSp>
        <xdr:nvCxnSpPr>
          <xdr:cNvPr id="170" name="Shape 124"/>
          <xdr:cNvCxnSpPr/>
        </xdr:nvCxnSpPr>
        <xdr:spPr>
          <a:xfrm>
            <a:off x="6617160" y="7029360"/>
            <a:ext cx="2160" cy="249840"/>
          </a:xfrm>
          <a:prstGeom prst="straightConnector1">
            <a:avLst/>
          </a:prstGeom>
          <a:ln w="9525">
            <a:solidFill>
              <a:srgbClr val="ff0000"/>
            </a:solidFill>
            <a:miter/>
            <a:headEnd len="med" type="triangle" w="med"/>
            <a:tailEnd len="med" type="triangle" w="med"/>
          </a:ln>
        </xdr:spPr>
      </xdr:cxnSp>
    </xdr:grpSp>
    <xdr:clientData/>
  </xdr:twoCellAnchor>
  <xdr:twoCellAnchor editAs="oneCell">
    <xdr:from>
      <xdr:col>3</xdr:col>
      <xdr:colOff>9360</xdr:colOff>
      <xdr:row>45</xdr:row>
      <xdr:rowOff>143280</xdr:rowOff>
    </xdr:from>
    <xdr:to>
      <xdr:col>3</xdr:col>
      <xdr:colOff>816840</xdr:colOff>
      <xdr:row>49</xdr:row>
      <xdr:rowOff>140760</xdr:rowOff>
    </xdr:to>
    <xdr:sp>
      <xdr:nvSpPr>
        <xdr:cNvPr id="171" name="Shape 125"/>
        <xdr:cNvSpPr/>
      </xdr:nvSpPr>
      <xdr:spPr>
        <a:xfrm>
          <a:off x="1887840" y="7191720"/>
          <a:ext cx="807480" cy="60732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TX</a:t>
          </a:r>
          <a:endParaRPr b="0" lang="en-US" sz="1000" strike="noStrike" u="none">
            <a:effectLst/>
            <a:uFillTx/>
            <a:latin typeface="Times New Roman"/>
          </a:endParaRPr>
        </a:p>
      </xdr:txBody>
    </xdr:sp>
    <xdr:clientData/>
  </xdr:twoCellAnchor>
  <xdr:twoCellAnchor editAs="oneCell">
    <xdr:from>
      <xdr:col>3</xdr:col>
      <xdr:colOff>799920</xdr:colOff>
      <xdr:row>47</xdr:row>
      <xdr:rowOff>114120</xdr:rowOff>
    </xdr:from>
    <xdr:to>
      <xdr:col>3</xdr:col>
      <xdr:colOff>1582920</xdr:colOff>
      <xdr:row>47</xdr:row>
      <xdr:rowOff>115920</xdr:rowOff>
    </xdr:to>
    <xdr:grpSp>
      <xdr:nvGrpSpPr>
        <xdr:cNvPr id="172" name="Shape 2"/>
        <xdr:cNvGrpSpPr/>
      </xdr:nvGrpSpPr>
      <xdr:grpSpPr>
        <a:xfrm>
          <a:off x="2678400" y="7467480"/>
          <a:ext cx="783000" cy="1800"/>
          <a:chOff x="2678400" y="7467480"/>
          <a:chExt cx="783000" cy="1800"/>
        </a:xfrm>
      </xdr:grpSpPr>
      <xdr:cxnSp>
        <xdr:nvCxnSpPr>
          <xdr:cNvPr id="173" name="Shape 117"/>
          <xdr:cNvCxnSpPr/>
        </xdr:nvCxnSpPr>
        <xdr:spPr>
          <a:xfrm>
            <a:off x="2678400" y="7467480"/>
            <a:ext cx="783360" cy="2160"/>
          </a:xfrm>
          <a:prstGeom prst="straightConnector1">
            <a:avLst/>
          </a:prstGeom>
          <a:ln w="19050">
            <a:solidFill>
              <a:srgbClr val="000000"/>
            </a:solidFill>
            <a:miter/>
          </a:ln>
        </xdr:spPr>
      </xdr:cxnSp>
    </xdr:grpSp>
    <xdr:clientData/>
  </xdr:twoCellAnchor>
  <xdr:twoCellAnchor editAs="oneCell">
    <xdr:from>
      <xdr:col>4</xdr:col>
      <xdr:colOff>9360</xdr:colOff>
      <xdr:row>46</xdr:row>
      <xdr:rowOff>66600</xdr:rowOff>
    </xdr:from>
    <xdr:to>
      <xdr:col>5</xdr:col>
      <xdr:colOff>360</xdr:colOff>
      <xdr:row>49</xdr:row>
      <xdr:rowOff>64440</xdr:rowOff>
    </xdr:to>
    <xdr:sp>
      <xdr:nvSpPr>
        <xdr:cNvPr id="174" name="Shape 126"/>
        <xdr:cNvSpPr/>
      </xdr:nvSpPr>
      <xdr:spPr>
        <a:xfrm>
          <a:off x="3535560" y="7267680"/>
          <a:ext cx="617040" cy="45504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6</xdr:col>
      <xdr:colOff>9360</xdr:colOff>
      <xdr:row>46</xdr:row>
      <xdr:rowOff>85680</xdr:rowOff>
    </xdr:from>
    <xdr:to>
      <xdr:col>6</xdr:col>
      <xdr:colOff>626400</xdr:colOff>
      <xdr:row>49</xdr:row>
      <xdr:rowOff>121680</xdr:rowOff>
    </xdr:to>
    <xdr:sp>
      <xdr:nvSpPr>
        <xdr:cNvPr id="175" name="Shape 127"/>
        <xdr:cNvSpPr/>
      </xdr:nvSpPr>
      <xdr:spPr>
        <a:xfrm>
          <a:off x="4813920" y="7286760"/>
          <a:ext cx="617040" cy="493200"/>
        </a:xfrm>
        <a:prstGeom prst="rect">
          <a:avLst/>
        </a:prstGeom>
        <a:solidFill>
          <a:srgbClr val="ffff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Losses:</a:t>
          </a:r>
          <a:endParaRPr b="0" lang="en-US" sz="1000" strike="noStrike" u="none">
            <a:effectLst/>
            <a:uFillTx/>
            <a:latin typeface="Times New Roman"/>
          </a:endParaRPr>
        </a:p>
      </xdr:txBody>
    </xdr:sp>
    <xdr:clientData/>
  </xdr:twoCellAnchor>
  <xdr:twoCellAnchor editAs="oneCell">
    <xdr:from>
      <xdr:col>5</xdr:col>
      <xdr:colOff>28440</xdr:colOff>
      <xdr:row>47</xdr:row>
      <xdr:rowOff>114120</xdr:rowOff>
    </xdr:from>
    <xdr:to>
      <xdr:col>5</xdr:col>
      <xdr:colOff>630360</xdr:colOff>
      <xdr:row>47</xdr:row>
      <xdr:rowOff>115920</xdr:rowOff>
    </xdr:to>
    <xdr:grpSp>
      <xdr:nvGrpSpPr>
        <xdr:cNvPr id="176" name="Shape 2"/>
        <xdr:cNvGrpSpPr/>
      </xdr:nvGrpSpPr>
      <xdr:grpSpPr>
        <a:xfrm>
          <a:off x="4180680" y="7467480"/>
          <a:ext cx="601920" cy="1800"/>
          <a:chOff x="4180680" y="7467480"/>
          <a:chExt cx="601920" cy="1800"/>
        </a:xfrm>
      </xdr:grpSpPr>
      <xdr:cxnSp>
        <xdr:nvCxnSpPr>
          <xdr:cNvPr id="177" name="Shape 128"/>
          <xdr:cNvCxnSpPr/>
        </xdr:nvCxnSpPr>
        <xdr:spPr>
          <a:xfrm>
            <a:off x="4180680" y="7467480"/>
            <a:ext cx="602280" cy="2160"/>
          </a:xfrm>
          <a:prstGeom prst="straightConnector1">
            <a:avLst/>
          </a:prstGeom>
          <a:ln w="19050">
            <a:solidFill>
              <a:srgbClr val="000000"/>
            </a:solidFill>
            <a:miter/>
          </a:ln>
        </xdr:spPr>
      </xdr:cxnSp>
    </xdr:grpSp>
    <xdr:clientData/>
  </xdr:twoCellAnchor>
  <xdr:twoCellAnchor editAs="oneCell">
    <xdr:from>
      <xdr:col>8</xdr:col>
      <xdr:colOff>2160</xdr:colOff>
      <xdr:row>44</xdr:row>
      <xdr:rowOff>2160</xdr:rowOff>
    </xdr:from>
    <xdr:to>
      <xdr:col>8</xdr:col>
      <xdr:colOff>552600</xdr:colOff>
      <xdr:row>46</xdr:row>
      <xdr:rowOff>114120</xdr:rowOff>
    </xdr:to>
    <xdr:sp>
      <xdr:nvSpPr>
        <xdr:cNvPr id="178" name="Shape 129"/>
        <xdr:cNvSpPr/>
      </xdr:nvSpPr>
      <xdr:spPr>
        <a:xfrm rot="10800000">
          <a:off x="6067080" y="6898320"/>
          <a:ext cx="550440" cy="416880"/>
        </a:xfrm>
        <a:prstGeom prst="triangle">
          <a:avLst>
            <a:gd name="adj" fmla="val 50000"/>
          </a:avLst>
        </a:prstGeom>
        <a:solidFill>
          <a:srgbClr val="ffffff"/>
        </a:solidFill>
        <a:ln w="19050">
          <a:solidFill>
            <a:srgbClr val="000000"/>
          </a:solidFill>
          <a:miter/>
        </a:ln>
      </xdr:spPr>
      <xdr:style>
        <a:lnRef idx="0"/>
        <a:fillRef idx="0"/>
        <a:effectRef idx="0"/>
        <a:fontRef idx="minor"/>
      </xdr:style>
    </xdr:sp>
    <xdr:clientData/>
  </xdr:twoCellAnchor>
  <xdr:twoCellAnchor editAs="oneCell">
    <xdr:from>
      <xdr:col>8</xdr:col>
      <xdr:colOff>257040</xdr:colOff>
      <xdr:row>44</xdr:row>
      <xdr:rowOff>9360</xdr:rowOff>
    </xdr:from>
    <xdr:to>
      <xdr:col>8</xdr:col>
      <xdr:colOff>258840</xdr:colOff>
      <xdr:row>47</xdr:row>
      <xdr:rowOff>135000</xdr:rowOff>
    </xdr:to>
    <xdr:grpSp>
      <xdr:nvGrpSpPr>
        <xdr:cNvPr id="179" name="Shape 2"/>
        <xdr:cNvGrpSpPr/>
      </xdr:nvGrpSpPr>
      <xdr:grpSpPr>
        <a:xfrm>
          <a:off x="6321960" y="6905520"/>
          <a:ext cx="1800" cy="582840"/>
          <a:chOff x="6321960" y="6905520"/>
          <a:chExt cx="1800" cy="582840"/>
        </a:xfrm>
      </xdr:grpSpPr>
      <xdr:cxnSp>
        <xdr:nvCxnSpPr>
          <xdr:cNvPr id="180" name="Shape 130"/>
          <xdr:cNvCxnSpPr/>
        </xdr:nvCxnSpPr>
        <xdr:spPr>
          <a:xfrm>
            <a:off x="6321960" y="6905520"/>
            <a:ext cx="2160" cy="583200"/>
          </a:xfrm>
          <a:prstGeom prst="straightConnector1">
            <a:avLst/>
          </a:prstGeom>
          <a:ln w="19050">
            <a:solidFill>
              <a:srgbClr val="000000"/>
            </a:solidFill>
            <a:miter/>
          </a:ln>
        </xdr:spPr>
      </xdr:cxnSp>
    </xdr:grpSp>
    <xdr:clientData/>
  </xdr:twoCellAnchor>
  <xdr:twoCellAnchor editAs="oneCell">
    <xdr:from>
      <xdr:col>7</xdr:col>
      <xdr:colOff>18720</xdr:colOff>
      <xdr:row>47</xdr:row>
      <xdr:rowOff>114120</xdr:rowOff>
    </xdr:from>
    <xdr:to>
      <xdr:col>8</xdr:col>
      <xdr:colOff>223200</xdr:colOff>
      <xdr:row>47</xdr:row>
      <xdr:rowOff>115920</xdr:rowOff>
    </xdr:to>
    <xdr:grpSp>
      <xdr:nvGrpSpPr>
        <xdr:cNvPr id="181" name="Shape 2"/>
        <xdr:cNvGrpSpPr/>
      </xdr:nvGrpSpPr>
      <xdr:grpSpPr>
        <a:xfrm>
          <a:off x="5457600" y="7467480"/>
          <a:ext cx="830520" cy="1800"/>
          <a:chOff x="5457600" y="7467480"/>
          <a:chExt cx="830520" cy="1800"/>
        </a:xfrm>
      </xdr:grpSpPr>
      <xdr:cxnSp>
        <xdr:nvCxnSpPr>
          <xdr:cNvPr id="182" name="Shape 131"/>
          <xdr:cNvCxnSpPr/>
        </xdr:nvCxnSpPr>
        <xdr:spPr>
          <a:xfrm>
            <a:off x="5457600" y="7467480"/>
            <a:ext cx="830880" cy="2160"/>
          </a:xfrm>
          <a:prstGeom prst="straightConnector1">
            <a:avLst/>
          </a:prstGeom>
          <a:ln w="19050">
            <a:solidFill>
              <a:srgbClr val="000000"/>
            </a:solidFill>
            <a:miter/>
          </a:ln>
        </xdr:spPr>
      </xdr:cxnSp>
    </xdr:grpSp>
    <xdr:clientData/>
  </xdr:twoCellAnchor>
  <xdr:twoCellAnchor editAs="oneCell">
    <xdr:from>
      <xdr:col>3</xdr:col>
      <xdr:colOff>971640</xdr:colOff>
      <xdr:row>10</xdr:row>
      <xdr:rowOff>0</xdr:rowOff>
    </xdr:from>
    <xdr:to>
      <xdr:col>3</xdr:col>
      <xdr:colOff>1321920</xdr:colOff>
      <xdr:row>11</xdr:row>
      <xdr:rowOff>26640</xdr:rowOff>
    </xdr:to>
    <xdr:sp>
      <xdr:nvSpPr>
        <xdr:cNvPr id="183" name="Shape 132"/>
        <xdr:cNvSpPr/>
      </xdr:nvSpPr>
      <xdr:spPr>
        <a:xfrm>
          <a:off x="2850120" y="1676520"/>
          <a:ext cx="3502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Line A</a:t>
          </a:r>
          <a:endParaRPr b="0" lang="en-US" sz="1000" strike="noStrike" u="none">
            <a:effectLst/>
            <a:uFillTx/>
            <a:latin typeface="Times New Roman"/>
          </a:endParaRPr>
        </a:p>
      </xdr:txBody>
    </xdr:sp>
    <xdr:clientData/>
  </xdr:twoCellAnchor>
  <xdr:twoCellAnchor editAs="oneCell">
    <xdr:from>
      <xdr:col>8</xdr:col>
      <xdr:colOff>504720</xdr:colOff>
      <xdr:row>9</xdr:row>
      <xdr:rowOff>133200</xdr:rowOff>
    </xdr:from>
    <xdr:to>
      <xdr:col>8</xdr:col>
      <xdr:colOff>506520</xdr:colOff>
      <xdr:row>11</xdr:row>
      <xdr:rowOff>87120</xdr:rowOff>
    </xdr:to>
    <xdr:grpSp>
      <xdr:nvGrpSpPr>
        <xdr:cNvPr id="184" name="Shape 2"/>
        <xdr:cNvGrpSpPr/>
      </xdr:nvGrpSpPr>
      <xdr:grpSpPr>
        <a:xfrm>
          <a:off x="6569640" y="1657080"/>
          <a:ext cx="1800" cy="258840"/>
          <a:chOff x="6569640" y="1657080"/>
          <a:chExt cx="1800" cy="258840"/>
        </a:xfrm>
      </xdr:grpSpPr>
      <xdr:cxnSp>
        <xdr:nvCxnSpPr>
          <xdr:cNvPr id="185" name="Shape 133"/>
          <xdr:cNvCxnSpPr/>
        </xdr:nvCxnSpPr>
        <xdr:spPr>
          <a:xfrm>
            <a:off x="6569640" y="1657080"/>
            <a:ext cx="2160" cy="259200"/>
          </a:xfrm>
          <a:prstGeom prst="straightConnector1">
            <a:avLst/>
          </a:prstGeom>
          <a:ln w="9525">
            <a:solidFill>
              <a:srgbClr val="ff0000"/>
            </a:solidFill>
            <a:miter/>
            <a:headEnd len="med" type="triangle" w="med"/>
            <a:tailEnd len="med" type="triangle" w="med"/>
          </a:ln>
        </xdr:spPr>
      </xdr:cxnSp>
    </xdr:grp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288000</xdr:colOff>
      <xdr:row>9</xdr:row>
      <xdr:rowOff>2160</xdr:rowOff>
    </xdr:from>
    <xdr:to>
      <xdr:col>3</xdr:col>
      <xdr:colOff>259560</xdr:colOff>
      <xdr:row>12</xdr:row>
      <xdr:rowOff>95400</xdr:rowOff>
    </xdr:to>
    <xdr:sp>
      <xdr:nvSpPr>
        <xdr:cNvPr id="186" name="Shape 134"/>
        <xdr:cNvSpPr/>
      </xdr:nvSpPr>
      <xdr:spPr>
        <a:xfrm rot="10800000">
          <a:off x="1540080" y="1488240"/>
          <a:ext cx="597960" cy="55044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607320</xdr:colOff>
      <xdr:row>9</xdr:row>
      <xdr:rowOff>0</xdr:rowOff>
    </xdr:from>
    <xdr:to>
      <xdr:col>2</xdr:col>
      <xdr:colOff>609120</xdr:colOff>
      <xdr:row>15</xdr:row>
      <xdr:rowOff>11160</xdr:rowOff>
    </xdr:to>
    <xdr:grpSp>
      <xdr:nvGrpSpPr>
        <xdr:cNvPr id="187" name="Shape 2"/>
        <xdr:cNvGrpSpPr/>
      </xdr:nvGrpSpPr>
      <xdr:grpSpPr>
        <a:xfrm>
          <a:off x="1859400" y="1486080"/>
          <a:ext cx="1800" cy="925560"/>
          <a:chOff x="1859400" y="1486080"/>
          <a:chExt cx="1800" cy="925560"/>
        </a:xfrm>
      </xdr:grpSpPr>
      <xdr:cxnSp>
        <xdr:nvCxnSpPr>
          <xdr:cNvPr id="188" name="Shape 135"/>
          <xdr:cNvCxnSpPr/>
        </xdr:nvCxnSpPr>
        <xdr:spPr>
          <a:xfrm>
            <a:off x="1859400" y="1486080"/>
            <a:ext cx="2160" cy="925920"/>
          </a:xfrm>
          <a:prstGeom prst="straightConnector1">
            <a:avLst/>
          </a:prstGeom>
          <a:ln w="9525">
            <a:solidFill>
              <a:srgbClr val="000000"/>
            </a:solidFill>
            <a:miter/>
          </a:ln>
        </xdr:spPr>
      </xdr:cxnSp>
    </xdr:grpSp>
    <xdr:clientData/>
  </xdr:twoCellAnchor>
  <xdr:twoCellAnchor editAs="oneCell">
    <xdr:from>
      <xdr:col>3</xdr:col>
      <xdr:colOff>9360</xdr:colOff>
      <xdr:row>14</xdr:row>
      <xdr:rowOff>142920</xdr:rowOff>
    </xdr:from>
    <xdr:to>
      <xdr:col>3</xdr:col>
      <xdr:colOff>592200</xdr:colOff>
      <xdr:row>14</xdr:row>
      <xdr:rowOff>144720</xdr:rowOff>
    </xdr:to>
    <xdr:grpSp>
      <xdr:nvGrpSpPr>
        <xdr:cNvPr id="189" name="Shape 2"/>
        <xdr:cNvGrpSpPr/>
      </xdr:nvGrpSpPr>
      <xdr:grpSpPr>
        <a:xfrm>
          <a:off x="1887840" y="2390760"/>
          <a:ext cx="582840" cy="1800"/>
          <a:chOff x="1887840" y="2390760"/>
          <a:chExt cx="582840" cy="1800"/>
        </a:xfrm>
      </xdr:grpSpPr>
      <xdr:cxnSp>
        <xdr:nvCxnSpPr>
          <xdr:cNvPr id="190" name="Shape 136"/>
          <xdr:cNvCxnSpPr/>
        </xdr:nvCxnSpPr>
        <xdr:spPr>
          <a:xfrm>
            <a:off x="1887840" y="2390760"/>
            <a:ext cx="583200" cy="2160"/>
          </a:xfrm>
          <a:prstGeom prst="straightConnector1">
            <a:avLst/>
          </a:prstGeom>
          <a:ln w="9525">
            <a:solidFill>
              <a:srgbClr val="000000"/>
            </a:solidFill>
            <a:miter/>
          </a:ln>
        </xdr:spPr>
      </xdr:cxnSp>
    </xdr:grpSp>
    <xdr:clientData/>
  </xdr:twoCellAnchor>
  <xdr:twoCellAnchor editAs="oneCell">
    <xdr:from>
      <xdr:col>4</xdr:col>
      <xdr:colOff>0</xdr:colOff>
      <xdr:row>13</xdr:row>
      <xdr:rowOff>0</xdr:rowOff>
    </xdr:from>
    <xdr:to>
      <xdr:col>5</xdr:col>
      <xdr:colOff>257760</xdr:colOff>
      <xdr:row>17</xdr:row>
      <xdr:rowOff>7560</xdr:rowOff>
    </xdr:to>
    <xdr:sp>
      <xdr:nvSpPr>
        <xdr:cNvPr id="191" name="Shape 137"/>
        <xdr:cNvSpPr/>
      </xdr:nvSpPr>
      <xdr:spPr>
        <a:xfrm>
          <a:off x="2504520" y="2095560"/>
          <a:ext cx="883800" cy="61704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0</xdr:colOff>
      <xdr:row>13</xdr:row>
      <xdr:rowOff>0</xdr:rowOff>
    </xdr:from>
    <xdr:to>
      <xdr:col>7</xdr:col>
      <xdr:colOff>257760</xdr:colOff>
      <xdr:row>17</xdr:row>
      <xdr:rowOff>7560</xdr:rowOff>
    </xdr:to>
    <xdr:sp>
      <xdr:nvSpPr>
        <xdr:cNvPr id="192" name="Shape 137"/>
        <xdr:cNvSpPr/>
      </xdr:nvSpPr>
      <xdr:spPr>
        <a:xfrm>
          <a:off x="3756600" y="2095560"/>
          <a:ext cx="883800" cy="61704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2160</xdr:colOff>
      <xdr:row>12</xdr:row>
      <xdr:rowOff>66600</xdr:rowOff>
    </xdr:from>
    <xdr:to>
      <xdr:col>9</xdr:col>
      <xdr:colOff>176040</xdr:colOff>
      <xdr:row>17</xdr:row>
      <xdr:rowOff>93240</xdr:rowOff>
    </xdr:to>
    <xdr:sp>
      <xdr:nvSpPr>
        <xdr:cNvPr id="193" name="Shape 138"/>
        <xdr:cNvSpPr/>
      </xdr:nvSpPr>
      <xdr:spPr>
        <a:xfrm rot="5400000">
          <a:off x="5201640" y="1819440"/>
          <a:ext cx="788400" cy="1169280"/>
        </a:xfrm>
        <a:prstGeom prst="triangle">
          <a:avLst>
            <a:gd name="adj" fmla="val 50000"/>
          </a:avLst>
        </a:prstGeom>
        <a:solidFill>
          <a:srgbClr val="ffffff"/>
        </a:solidFill>
        <a:ln w="9525">
          <a:solidFill>
            <a:srgbClr val="000000"/>
          </a:solidFill>
          <a:miter/>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5</xdr:col>
      <xdr:colOff>285480</xdr:colOff>
      <xdr:row>14</xdr:row>
      <xdr:rowOff>133560</xdr:rowOff>
    </xdr:from>
    <xdr:to>
      <xdr:col>5</xdr:col>
      <xdr:colOff>592200</xdr:colOff>
      <xdr:row>14</xdr:row>
      <xdr:rowOff>135360</xdr:rowOff>
    </xdr:to>
    <xdr:grpSp>
      <xdr:nvGrpSpPr>
        <xdr:cNvPr id="194" name="Shape 2"/>
        <xdr:cNvGrpSpPr/>
      </xdr:nvGrpSpPr>
      <xdr:grpSpPr>
        <a:xfrm>
          <a:off x="3416040" y="2381400"/>
          <a:ext cx="306720" cy="1800"/>
          <a:chOff x="3416040" y="2381400"/>
          <a:chExt cx="306720" cy="1800"/>
        </a:xfrm>
      </xdr:grpSpPr>
      <xdr:cxnSp>
        <xdr:nvCxnSpPr>
          <xdr:cNvPr id="195" name="Shape 139"/>
          <xdr:cNvCxnSpPr/>
        </xdr:nvCxnSpPr>
        <xdr:spPr>
          <a:xfrm>
            <a:off x="3416040" y="2381400"/>
            <a:ext cx="307080" cy="2160"/>
          </a:xfrm>
          <a:prstGeom prst="straightConnector1">
            <a:avLst/>
          </a:prstGeom>
          <a:ln w="9525">
            <a:solidFill>
              <a:srgbClr val="000000"/>
            </a:solidFill>
            <a:miter/>
          </a:ln>
        </xdr:spPr>
      </xdr:cxnSp>
    </xdr:grpSp>
    <xdr:clientData/>
  </xdr:twoCellAnchor>
  <xdr:twoCellAnchor editAs="oneCell">
    <xdr:from>
      <xdr:col>7</xdr:col>
      <xdr:colOff>285480</xdr:colOff>
      <xdr:row>14</xdr:row>
      <xdr:rowOff>133560</xdr:rowOff>
    </xdr:from>
    <xdr:to>
      <xdr:col>7</xdr:col>
      <xdr:colOff>582480</xdr:colOff>
      <xdr:row>14</xdr:row>
      <xdr:rowOff>135360</xdr:rowOff>
    </xdr:to>
    <xdr:grpSp>
      <xdr:nvGrpSpPr>
        <xdr:cNvPr id="196" name="Shape 2"/>
        <xdr:cNvGrpSpPr/>
      </xdr:nvGrpSpPr>
      <xdr:grpSpPr>
        <a:xfrm>
          <a:off x="4668120" y="2381400"/>
          <a:ext cx="297000" cy="1800"/>
          <a:chOff x="4668120" y="2381400"/>
          <a:chExt cx="297000" cy="1800"/>
        </a:xfrm>
      </xdr:grpSpPr>
      <xdr:cxnSp>
        <xdr:nvCxnSpPr>
          <xdr:cNvPr id="197" name="Shape 140"/>
          <xdr:cNvCxnSpPr/>
        </xdr:nvCxnSpPr>
        <xdr:spPr>
          <a:xfrm>
            <a:off x="4668120" y="2381400"/>
            <a:ext cx="297360" cy="2160"/>
          </a:xfrm>
          <a:prstGeom prst="straightConnector1">
            <a:avLst/>
          </a:prstGeom>
          <a:ln w="9525">
            <a:solidFill>
              <a:srgbClr val="000000"/>
            </a:solidFill>
            <a:miter/>
          </a:ln>
        </xdr:spPr>
      </xdr:cxnSp>
    </xdr:grpSp>
    <xdr:clientData/>
  </xdr:twoCellAnchor>
  <xdr:twoCellAnchor editAs="oneCell">
    <xdr:from>
      <xdr:col>9</xdr:col>
      <xdr:colOff>209520</xdr:colOff>
      <xdr:row>14</xdr:row>
      <xdr:rowOff>133560</xdr:rowOff>
    </xdr:from>
    <xdr:to>
      <xdr:col>9</xdr:col>
      <xdr:colOff>668520</xdr:colOff>
      <xdr:row>14</xdr:row>
      <xdr:rowOff>135360</xdr:rowOff>
    </xdr:to>
    <xdr:grpSp>
      <xdr:nvGrpSpPr>
        <xdr:cNvPr id="198" name="Shape 2"/>
        <xdr:cNvGrpSpPr/>
      </xdr:nvGrpSpPr>
      <xdr:grpSpPr>
        <a:xfrm>
          <a:off x="6213960" y="2381400"/>
          <a:ext cx="459000" cy="1800"/>
          <a:chOff x="6213960" y="2381400"/>
          <a:chExt cx="459000" cy="1800"/>
        </a:xfrm>
      </xdr:grpSpPr>
      <xdr:cxnSp>
        <xdr:nvCxnSpPr>
          <xdr:cNvPr id="199" name="Shape 141"/>
          <xdr:cNvCxnSpPr/>
        </xdr:nvCxnSpPr>
        <xdr:spPr>
          <a:xfrm>
            <a:off x="6213960" y="2381400"/>
            <a:ext cx="459360" cy="2160"/>
          </a:xfrm>
          <a:prstGeom prst="straightConnector1">
            <a:avLst/>
          </a:prstGeom>
          <a:ln w="9525">
            <a:solidFill>
              <a:srgbClr val="000000"/>
            </a:solidFill>
            <a:miter/>
          </a:ln>
        </xdr:spPr>
      </xdr:cxnSp>
    </xdr:grpSp>
    <xdr:clientData/>
  </xdr:twoCellAnchor>
  <xdr:twoCellAnchor editAs="oneCell">
    <xdr:from>
      <xdr:col>11</xdr:col>
      <xdr:colOff>285840</xdr:colOff>
      <xdr:row>14</xdr:row>
      <xdr:rowOff>114480</xdr:rowOff>
    </xdr:from>
    <xdr:to>
      <xdr:col>11</xdr:col>
      <xdr:colOff>360000</xdr:colOff>
      <xdr:row>15</xdr:row>
      <xdr:rowOff>45360</xdr:rowOff>
    </xdr:to>
    <xdr:sp>
      <xdr:nvSpPr>
        <xdr:cNvPr id="200" name="Shape 142"/>
        <xdr:cNvSpPr/>
      </xdr:nvSpPr>
      <xdr:spPr>
        <a:xfrm>
          <a:off x="7867800" y="2362320"/>
          <a:ext cx="74160" cy="8352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14</xdr:row>
      <xdr:rowOff>66600</xdr:rowOff>
    </xdr:from>
    <xdr:to>
      <xdr:col>8</xdr:col>
      <xdr:colOff>293040</xdr:colOff>
      <xdr:row>15</xdr:row>
      <xdr:rowOff>92880</xdr:rowOff>
    </xdr:to>
    <xdr:sp>
      <xdr:nvSpPr>
        <xdr:cNvPr id="201" name="Shape 143"/>
        <xdr:cNvSpPr/>
      </xdr:nvSpPr>
      <xdr:spPr>
        <a:xfrm>
          <a:off x="5056560" y="2314440"/>
          <a:ext cx="2455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20</xdr:col>
      <xdr:colOff>438120</xdr:colOff>
      <xdr:row>52</xdr:row>
      <xdr:rowOff>37800</xdr:rowOff>
    </xdr:from>
    <xdr:to>
      <xdr:col>21</xdr:col>
      <xdr:colOff>112320</xdr:colOff>
      <xdr:row>54</xdr:row>
      <xdr:rowOff>68040</xdr:rowOff>
    </xdr:to>
    <xdr:grpSp>
      <xdr:nvGrpSpPr>
        <xdr:cNvPr id="202" name="Shape 2"/>
        <xdr:cNvGrpSpPr/>
      </xdr:nvGrpSpPr>
      <xdr:grpSpPr>
        <a:xfrm>
          <a:off x="13655160" y="8076960"/>
          <a:ext cx="335160" cy="335160"/>
          <a:chOff x="13655160" y="8076960"/>
          <a:chExt cx="335160" cy="335160"/>
        </a:xfrm>
      </xdr:grpSpPr>
      <xdr:cxnSp>
        <xdr:nvCxnSpPr>
          <xdr:cNvPr id="203" name="Shape 144"/>
          <xdr:cNvCxnSpPr/>
        </xdr:nvCxnSpPr>
        <xdr:spPr>
          <a:xfrm flipV="1">
            <a:off x="13655160" y="8076960"/>
            <a:ext cx="335520" cy="335520"/>
          </a:xfrm>
          <a:prstGeom prst="straightConnector1">
            <a:avLst/>
          </a:prstGeom>
          <a:ln w="9525">
            <a:solidFill>
              <a:srgbClr val="ff0000"/>
            </a:solidFill>
            <a:miter/>
            <a:tailEnd len="med" type="triangle" w="med"/>
          </a:ln>
        </xdr:spPr>
      </xdr:cxnSp>
    </xdr:grpSp>
    <xdr:clientData/>
  </xdr:twoCellAnchor>
  <xdr:twoCellAnchor editAs="oneCell">
    <xdr:from>
      <xdr:col>6</xdr:col>
      <xdr:colOff>66600</xdr:colOff>
      <xdr:row>13</xdr:row>
      <xdr:rowOff>123840</xdr:rowOff>
    </xdr:from>
    <xdr:to>
      <xdr:col>7</xdr:col>
      <xdr:colOff>19440</xdr:colOff>
      <xdr:row>16</xdr:row>
      <xdr:rowOff>7560</xdr:rowOff>
    </xdr:to>
    <xdr:sp>
      <xdr:nvSpPr>
        <xdr:cNvPr id="204" name="Shape 145"/>
        <xdr:cNvSpPr/>
      </xdr:nvSpPr>
      <xdr:spPr>
        <a:xfrm>
          <a:off x="3823200" y="2219400"/>
          <a:ext cx="578880" cy="340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4</xdr:col>
      <xdr:colOff>142920</xdr:colOff>
      <xdr:row>13</xdr:row>
      <xdr:rowOff>47520</xdr:rowOff>
    </xdr:from>
    <xdr:to>
      <xdr:col>4</xdr:col>
      <xdr:colOff>550440</xdr:colOff>
      <xdr:row>16</xdr:row>
      <xdr:rowOff>73800</xdr:rowOff>
    </xdr:to>
    <xdr:sp>
      <xdr:nvSpPr>
        <xdr:cNvPr id="205" name="Shape 146"/>
        <xdr:cNvSpPr/>
      </xdr:nvSpPr>
      <xdr:spPr>
        <a:xfrm>
          <a:off x="2647440" y="2143080"/>
          <a:ext cx="407520" cy="4834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2160</xdr:colOff>
      <xdr:row>13</xdr:row>
      <xdr:rowOff>9360</xdr:rowOff>
    </xdr:from>
    <xdr:to>
      <xdr:col>10</xdr:col>
      <xdr:colOff>561960</xdr:colOff>
      <xdr:row>16</xdr:row>
      <xdr:rowOff>111960</xdr:rowOff>
    </xdr:to>
    <xdr:sp>
      <xdr:nvSpPr>
        <xdr:cNvPr id="206" name="Shape 147"/>
        <xdr:cNvSpPr/>
      </xdr:nvSpPr>
      <xdr:spPr>
        <a:xfrm rot="5400000">
          <a:off x="6711480" y="2104920"/>
          <a:ext cx="559800" cy="55980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10</xdr:col>
      <xdr:colOff>561960</xdr:colOff>
      <xdr:row>14</xdr:row>
      <xdr:rowOff>133560</xdr:rowOff>
    </xdr:from>
    <xdr:to>
      <xdr:col>11</xdr:col>
      <xdr:colOff>5400</xdr:colOff>
      <xdr:row>14</xdr:row>
      <xdr:rowOff>135360</xdr:rowOff>
    </xdr:to>
    <xdr:grpSp>
      <xdr:nvGrpSpPr>
        <xdr:cNvPr id="207" name="Shape 2"/>
        <xdr:cNvGrpSpPr/>
      </xdr:nvGrpSpPr>
      <xdr:grpSpPr>
        <a:xfrm>
          <a:off x="7271280" y="2381400"/>
          <a:ext cx="316080" cy="1800"/>
          <a:chOff x="7271280" y="2381400"/>
          <a:chExt cx="316080" cy="1800"/>
        </a:xfrm>
      </xdr:grpSpPr>
      <xdr:cxnSp>
        <xdr:nvCxnSpPr>
          <xdr:cNvPr id="208" name="Shape 148"/>
          <xdr:cNvCxnSpPr/>
        </xdr:nvCxnSpPr>
        <xdr:spPr>
          <a:xfrm>
            <a:off x="7271280" y="2381400"/>
            <a:ext cx="316440" cy="2160"/>
          </a:xfrm>
          <a:prstGeom prst="straightConnector1">
            <a:avLst/>
          </a:prstGeom>
          <a:ln w="9525">
            <a:solidFill>
              <a:srgbClr val="000000"/>
            </a:solidFill>
            <a:miter/>
          </a:ln>
        </xdr:spPr>
      </xdr:cxnSp>
    </xdr:grpSp>
    <xdr:clientData/>
  </xdr:twoCellAnchor>
  <xdr:twoCellAnchor editAs="oneCell">
    <xdr:from>
      <xdr:col>7</xdr:col>
      <xdr:colOff>616680</xdr:colOff>
      <xdr:row>9</xdr:row>
      <xdr:rowOff>0</xdr:rowOff>
    </xdr:from>
    <xdr:to>
      <xdr:col>7</xdr:col>
      <xdr:colOff>618480</xdr:colOff>
      <xdr:row>12</xdr:row>
      <xdr:rowOff>49320</xdr:rowOff>
    </xdr:to>
    <xdr:grpSp>
      <xdr:nvGrpSpPr>
        <xdr:cNvPr id="209" name="Shape 2"/>
        <xdr:cNvGrpSpPr/>
      </xdr:nvGrpSpPr>
      <xdr:grpSpPr>
        <a:xfrm>
          <a:off x="4999320" y="1486080"/>
          <a:ext cx="1800" cy="506520"/>
          <a:chOff x="4999320" y="1486080"/>
          <a:chExt cx="1800" cy="506520"/>
        </a:xfrm>
      </xdr:grpSpPr>
      <xdr:cxnSp>
        <xdr:nvCxnSpPr>
          <xdr:cNvPr id="210" name="Shape 149"/>
          <xdr:cNvCxnSpPr/>
        </xdr:nvCxnSpPr>
        <xdr:spPr>
          <a:xfrm>
            <a:off x="4999320" y="1486080"/>
            <a:ext cx="2160" cy="506880"/>
          </a:xfrm>
          <a:prstGeom prst="straightConnector1">
            <a:avLst/>
          </a:prstGeom>
          <a:ln w="9525">
            <a:solidFill>
              <a:srgbClr val="000000"/>
            </a:solidFill>
            <a:miter/>
          </a:ln>
        </xdr:spPr>
      </xdr:cxnSp>
    </xdr:grpSp>
    <xdr:clientData/>
  </xdr:twoCellAnchor>
  <xdr:twoCellAnchor editAs="oneCell">
    <xdr:from>
      <xdr:col>7</xdr:col>
      <xdr:colOff>552240</xdr:colOff>
      <xdr:row>17</xdr:row>
      <xdr:rowOff>114120</xdr:rowOff>
    </xdr:from>
    <xdr:to>
      <xdr:col>7</xdr:col>
      <xdr:colOff>554040</xdr:colOff>
      <xdr:row>21</xdr:row>
      <xdr:rowOff>20520</xdr:rowOff>
    </xdr:to>
    <xdr:grpSp>
      <xdr:nvGrpSpPr>
        <xdr:cNvPr id="211" name="Shape 2"/>
        <xdr:cNvGrpSpPr/>
      </xdr:nvGrpSpPr>
      <xdr:grpSpPr>
        <a:xfrm>
          <a:off x="4934880" y="2819160"/>
          <a:ext cx="1800" cy="516240"/>
          <a:chOff x="4934880" y="2819160"/>
          <a:chExt cx="1800" cy="516240"/>
        </a:xfrm>
      </xdr:grpSpPr>
      <xdr:cxnSp>
        <xdr:nvCxnSpPr>
          <xdr:cNvPr id="212" name="Shape 150"/>
          <xdr:cNvCxnSpPr/>
        </xdr:nvCxnSpPr>
        <xdr:spPr>
          <a:xfrm>
            <a:off x="4934880" y="2819160"/>
            <a:ext cx="2160" cy="516600"/>
          </a:xfrm>
          <a:prstGeom prst="straightConnector1">
            <a:avLst/>
          </a:prstGeom>
          <a:ln w="9525">
            <a:solidFill>
              <a:srgbClr val="000000"/>
            </a:solidFill>
            <a:miter/>
          </a:ln>
        </xdr:spPr>
      </xdr:cxnSp>
    </xdr:grpSp>
    <xdr:clientData/>
  </xdr:twoCellAnchor>
  <xdr:twoCellAnchor editAs="oneCell">
    <xdr:from>
      <xdr:col>9</xdr:col>
      <xdr:colOff>685800</xdr:colOff>
      <xdr:row>9</xdr:row>
      <xdr:rowOff>114120</xdr:rowOff>
    </xdr:from>
    <xdr:to>
      <xdr:col>9</xdr:col>
      <xdr:colOff>687600</xdr:colOff>
      <xdr:row>13</xdr:row>
      <xdr:rowOff>20880</xdr:rowOff>
    </xdr:to>
    <xdr:grpSp>
      <xdr:nvGrpSpPr>
        <xdr:cNvPr id="213" name="Shape 2"/>
        <xdr:cNvGrpSpPr/>
      </xdr:nvGrpSpPr>
      <xdr:grpSpPr>
        <a:xfrm>
          <a:off x="6690240" y="1600200"/>
          <a:ext cx="1800" cy="516240"/>
          <a:chOff x="6690240" y="1600200"/>
          <a:chExt cx="1800" cy="516240"/>
        </a:xfrm>
      </xdr:grpSpPr>
      <xdr:cxnSp>
        <xdr:nvCxnSpPr>
          <xdr:cNvPr id="214" name="Shape 150"/>
          <xdr:cNvCxnSpPr/>
        </xdr:nvCxnSpPr>
        <xdr:spPr>
          <a:xfrm>
            <a:off x="6690240" y="1600200"/>
            <a:ext cx="2160" cy="516600"/>
          </a:xfrm>
          <a:prstGeom prst="straightConnector1">
            <a:avLst/>
          </a:prstGeom>
          <a:ln w="9525">
            <a:solidFill>
              <a:srgbClr val="000000"/>
            </a:solidFill>
            <a:miter/>
          </a:ln>
        </xdr:spPr>
      </xdr:cxnSp>
    </xdr:grpSp>
    <xdr:clientData/>
  </xdr:twoCellAnchor>
  <xdr:twoCellAnchor editAs="oneCell">
    <xdr:from>
      <xdr:col>9</xdr:col>
      <xdr:colOff>685800</xdr:colOff>
      <xdr:row>16</xdr:row>
      <xdr:rowOff>133200</xdr:rowOff>
    </xdr:from>
    <xdr:to>
      <xdr:col>9</xdr:col>
      <xdr:colOff>687600</xdr:colOff>
      <xdr:row>20</xdr:row>
      <xdr:rowOff>49320</xdr:rowOff>
    </xdr:to>
    <xdr:grpSp>
      <xdr:nvGrpSpPr>
        <xdr:cNvPr id="215" name="Shape 2"/>
        <xdr:cNvGrpSpPr/>
      </xdr:nvGrpSpPr>
      <xdr:grpSpPr>
        <a:xfrm>
          <a:off x="6690240" y="2685960"/>
          <a:ext cx="1800" cy="525600"/>
          <a:chOff x="6690240" y="2685960"/>
          <a:chExt cx="1800" cy="525600"/>
        </a:xfrm>
      </xdr:grpSpPr>
      <xdr:cxnSp>
        <xdr:nvCxnSpPr>
          <xdr:cNvPr id="216" name="Shape 151"/>
          <xdr:cNvCxnSpPr/>
        </xdr:nvCxnSpPr>
        <xdr:spPr>
          <a:xfrm>
            <a:off x="6690240" y="2685960"/>
            <a:ext cx="2160" cy="525960"/>
          </a:xfrm>
          <a:prstGeom prst="straightConnector1">
            <a:avLst/>
          </a:prstGeom>
          <a:ln w="9525">
            <a:solidFill>
              <a:srgbClr val="000000"/>
            </a:solidFill>
            <a:miter/>
          </a:ln>
        </xdr:spPr>
      </xdr:cxnSp>
    </xdr:grpSp>
    <xdr:clientData/>
  </xdr:twoCellAnchor>
  <xdr:twoCellAnchor editAs="oneCell">
    <xdr:from>
      <xdr:col>10</xdr:col>
      <xdr:colOff>9360</xdr:colOff>
      <xdr:row>14</xdr:row>
      <xdr:rowOff>0</xdr:rowOff>
    </xdr:from>
    <xdr:to>
      <xdr:col>10</xdr:col>
      <xdr:colOff>369000</xdr:colOff>
      <xdr:row>16</xdr:row>
      <xdr:rowOff>45360</xdr:rowOff>
    </xdr:to>
    <xdr:sp>
      <xdr:nvSpPr>
        <xdr:cNvPr id="217" name="Shape 152"/>
        <xdr:cNvSpPr/>
      </xdr:nvSpPr>
      <xdr:spPr>
        <a:xfrm>
          <a:off x="6718680" y="2247840"/>
          <a:ext cx="359640" cy="350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2nd</a:t>
          </a:r>
          <a:endParaRPr b="0" lang="en-US" sz="800" strike="noStrike" u="none">
            <a:effectLst/>
            <a:uFillTx/>
            <a:latin typeface="Times New Roman"/>
          </a:endParaRPr>
        </a:p>
        <a:p>
          <a:pPr>
            <a:lnSpc>
              <a:spcPct val="100000"/>
            </a:lnSpc>
            <a:tabLst>
              <a:tab algn="l" pos="0"/>
            </a:tabLst>
          </a:pPr>
          <a:r>
            <a:rPr b="1" lang="en-US" sz="800" strike="noStrike" u="none">
              <a:solidFill>
                <a:srgbClr val="000000"/>
              </a:solidFill>
              <a:effectLst/>
              <a:uFillTx/>
              <a:latin typeface="Arial"/>
              <a:ea typeface="Arial"/>
            </a:rPr>
            <a:t>Stage</a:t>
          </a:r>
          <a:endParaRPr b="0" lang="en-US" sz="800" strike="noStrike" u="none">
            <a:effectLst/>
            <a:uFillTx/>
            <a:latin typeface="Times New Roman"/>
          </a:endParaRPr>
        </a:p>
      </xdr:txBody>
    </xdr:sp>
    <xdr:clientData/>
  </xdr:twoCellAnchor>
  <xdr:twoCellAnchor editAs="oneCell">
    <xdr:from>
      <xdr:col>6</xdr:col>
      <xdr:colOff>304920</xdr:colOff>
      <xdr:row>18</xdr:row>
      <xdr:rowOff>0</xdr:rowOff>
    </xdr:from>
    <xdr:to>
      <xdr:col>6</xdr:col>
      <xdr:colOff>388440</xdr:colOff>
      <xdr:row>19</xdr:row>
      <xdr:rowOff>16920</xdr:rowOff>
    </xdr:to>
    <xdr:sp>
      <xdr:nvSpPr>
        <xdr:cNvPr id="218" name="Shape 153"/>
        <xdr:cNvSpPr/>
      </xdr:nvSpPr>
      <xdr:spPr>
        <a:xfrm>
          <a:off x="4061520" y="2857680"/>
          <a:ext cx="83520" cy="169200"/>
        </a:xfrm>
        <a:prstGeom prst="rect">
          <a:avLst/>
        </a:prstGeom>
        <a:noFill/>
        <a:ln w="0">
          <a:noFill/>
        </a:ln>
      </xdr:spPr>
      <xdr:style>
        <a:lnRef idx="0"/>
        <a:fillRef idx="0"/>
        <a:effectRef idx="0"/>
        <a:fontRef idx="minor"/>
      </xdr:style>
    </xdr:sp>
    <xdr:clientData/>
  </xdr:twoCellAnchor>
  <xdr:twoCellAnchor editAs="oneCell">
    <xdr:from>
      <xdr:col>6</xdr:col>
      <xdr:colOff>228600</xdr:colOff>
      <xdr:row>17</xdr:row>
      <xdr:rowOff>0</xdr:rowOff>
    </xdr:from>
    <xdr:to>
      <xdr:col>6</xdr:col>
      <xdr:colOff>483480</xdr:colOff>
      <xdr:row>18</xdr:row>
      <xdr:rowOff>26280</xdr:rowOff>
    </xdr:to>
    <xdr:sp>
      <xdr:nvSpPr>
        <xdr:cNvPr id="219" name="Shape 154"/>
        <xdr:cNvSpPr/>
      </xdr:nvSpPr>
      <xdr:spPr>
        <a:xfrm>
          <a:off x="3985200" y="2705040"/>
          <a:ext cx="2548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BPF</a:t>
          </a:r>
          <a:endParaRPr b="0" lang="en-US" sz="800" strike="noStrike" u="none">
            <a:effectLst/>
            <a:uFillTx/>
            <a:latin typeface="Times New Roman"/>
          </a:endParaRPr>
        </a:p>
      </xdr:txBody>
    </xdr:sp>
    <xdr:clientData/>
  </xdr:twoCellAnchor>
  <xdr:twoCellAnchor editAs="oneCell">
    <xdr:from>
      <xdr:col>6</xdr:col>
      <xdr:colOff>0</xdr:colOff>
      <xdr:row>17</xdr:row>
      <xdr:rowOff>56880</xdr:rowOff>
    </xdr:from>
    <xdr:to>
      <xdr:col>6</xdr:col>
      <xdr:colOff>239760</xdr:colOff>
      <xdr:row>17</xdr:row>
      <xdr:rowOff>58680</xdr:rowOff>
    </xdr:to>
    <xdr:grpSp>
      <xdr:nvGrpSpPr>
        <xdr:cNvPr id="220" name="Shape 2"/>
        <xdr:cNvGrpSpPr/>
      </xdr:nvGrpSpPr>
      <xdr:grpSpPr>
        <a:xfrm>
          <a:off x="3756600" y="2761920"/>
          <a:ext cx="239760" cy="1800"/>
          <a:chOff x="3756600" y="2761920"/>
          <a:chExt cx="239760" cy="1800"/>
        </a:xfrm>
      </xdr:grpSpPr>
      <xdr:cxnSp>
        <xdr:nvCxnSpPr>
          <xdr:cNvPr id="221" name="Shape 155"/>
          <xdr:cNvCxnSpPr/>
        </xdr:nvCxnSpPr>
        <xdr:spPr>
          <a:xfrm flipH="1">
            <a:off x="3756600" y="2761920"/>
            <a:ext cx="240120" cy="216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17</xdr:row>
      <xdr:rowOff>56880</xdr:rowOff>
    </xdr:from>
    <xdr:to>
      <xdr:col>7</xdr:col>
      <xdr:colOff>258840</xdr:colOff>
      <xdr:row>17</xdr:row>
      <xdr:rowOff>58680</xdr:rowOff>
    </xdr:to>
    <xdr:grpSp>
      <xdr:nvGrpSpPr>
        <xdr:cNvPr id="222" name="Shape 2"/>
        <xdr:cNvGrpSpPr/>
      </xdr:nvGrpSpPr>
      <xdr:grpSpPr>
        <a:xfrm>
          <a:off x="4392000" y="2761920"/>
          <a:ext cx="249480" cy="1800"/>
          <a:chOff x="4392000" y="2761920"/>
          <a:chExt cx="249480" cy="1800"/>
        </a:xfrm>
      </xdr:grpSpPr>
      <xdr:cxnSp>
        <xdr:nvCxnSpPr>
          <xdr:cNvPr id="223" name="Shape 156"/>
          <xdr:cNvCxnSpPr/>
        </xdr:nvCxnSpPr>
        <xdr:spPr>
          <a:xfrm>
            <a:off x="4392000" y="2761920"/>
            <a:ext cx="249840" cy="2160"/>
          </a:xfrm>
          <a:prstGeom prst="straightConnector1">
            <a:avLst/>
          </a:prstGeom>
          <a:ln w="9525">
            <a:solidFill>
              <a:srgbClr val="000000"/>
            </a:solidFill>
            <a:miter/>
            <a:tailEnd len="med" type="triangle" w="med"/>
          </a:ln>
        </xdr:spPr>
      </xdr:cxnSp>
    </xdr:grpSp>
    <xdr:clientData/>
  </xdr:twoCellAnchor>
  <xdr:twoCellAnchor editAs="oneCell">
    <xdr:from>
      <xdr:col>3</xdr:col>
      <xdr:colOff>570960</xdr:colOff>
      <xdr:row>17</xdr:row>
      <xdr:rowOff>66600</xdr:rowOff>
    </xdr:from>
    <xdr:to>
      <xdr:col>4</xdr:col>
      <xdr:colOff>194760</xdr:colOff>
      <xdr:row>17</xdr:row>
      <xdr:rowOff>68400</xdr:rowOff>
    </xdr:to>
    <xdr:grpSp>
      <xdr:nvGrpSpPr>
        <xdr:cNvPr id="224" name="Shape 2"/>
        <xdr:cNvGrpSpPr/>
      </xdr:nvGrpSpPr>
      <xdr:grpSpPr>
        <a:xfrm>
          <a:off x="2449440" y="2771640"/>
          <a:ext cx="249840" cy="1800"/>
          <a:chOff x="2449440" y="2771640"/>
          <a:chExt cx="249840" cy="1800"/>
        </a:xfrm>
      </xdr:grpSpPr>
      <xdr:cxnSp>
        <xdr:nvCxnSpPr>
          <xdr:cNvPr id="225" name="Shape 157"/>
          <xdr:cNvCxnSpPr/>
        </xdr:nvCxnSpPr>
        <xdr:spPr>
          <a:xfrm flipH="1">
            <a:off x="2449440" y="2771640"/>
            <a:ext cx="250200" cy="2160"/>
          </a:xfrm>
          <a:prstGeom prst="straightConnector1">
            <a:avLst/>
          </a:prstGeom>
          <a:ln w="9525">
            <a:solidFill>
              <a:srgbClr val="000000"/>
            </a:solidFill>
            <a:miter/>
            <a:tailEnd len="med" type="triangle" w="med"/>
          </a:ln>
        </xdr:spPr>
      </xdr:cxnSp>
    </xdr:grpSp>
    <xdr:clientData/>
  </xdr:twoCellAnchor>
  <xdr:twoCellAnchor editAs="oneCell">
    <xdr:from>
      <xdr:col>5</xdr:col>
      <xdr:colOff>18720</xdr:colOff>
      <xdr:row>17</xdr:row>
      <xdr:rowOff>56880</xdr:rowOff>
    </xdr:from>
    <xdr:to>
      <xdr:col>5</xdr:col>
      <xdr:colOff>268200</xdr:colOff>
      <xdr:row>17</xdr:row>
      <xdr:rowOff>58680</xdr:rowOff>
    </xdr:to>
    <xdr:grpSp>
      <xdr:nvGrpSpPr>
        <xdr:cNvPr id="226" name="Shape 2"/>
        <xdr:cNvGrpSpPr/>
      </xdr:nvGrpSpPr>
      <xdr:grpSpPr>
        <a:xfrm>
          <a:off x="3149280" y="2761920"/>
          <a:ext cx="249480" cy="1800"/>
          <a:chOff x="3149280" y="2761920"/>
          <a:chExt cx="249480" cy="1800"/>
        </a:xfrm>
      </xdr:grpSpPr>
      <xdr:cxnSp>
        <xdr:nvCxnSpPr>
          <xdr:cNvPr id="227" name="Shape 156"/>
          <xdr:cNvCxnSpPr/>
        </xdr:nvCxnSpPr>
        <xdr:spPr>
          <a:xfrm>
            <a:off x="3149280" y="2761920"/>
            <a:ext cx="249840" cy="2160"/>
          </a:xfrm>
          <a:prstGeom prst="straightConnector1">
            <a:avLst/>
          </a:prstGeom>
          <a:ln w="9525">
            <a:solidFill>
              <a:srgbClr val="000000"/>
            </a:solidFill>
            <a:miter/>
            <a:tailEnd len="med" type="triangle" w="med"/>
          </a:ln>
        </xdr:spPr>
      </xdr:cxnSp>
    </xdr:grpSp>
    <xdr:clientData/>
  </xdr:twoCellAnchor>
  <xdr:twoCellAnchor editAs="oneCell">
    <xdr:from>
      <xdr:col>4</xdr:col>
      <xdr:colOff>228600</xdr:colOff>
      <xdr:row>17</xdr:row>
      <xdr:rowOff>0</xdr:rowOff>
    </xdr:from>
    <xdr:to>
      <xdr:col>4</xdr:col>
      <xdr:colOff>521640</xdr:colOff>
      <xdr:row>18</xdr:row>
      <xdr:rowOff>26280</xdr:rowOff>
    </xdr:to>
    <xdr:sp>
      <xdr:nvSpPr>
        <xdr:cNvPr id="228" name="Shape 158"/>
        <xdr:cNvSpPr/>
      </xdr:nvSpPr>
      <xdr:spPr>
        <a:xfrm>
          <a:off x="2733120" y="2705040"/>
          <a:ext cx="2930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other</a:t>
          </a:r>
          <a:endParaRPr b="0" lang="en-US" sz="800" strike="noStrike" u="none">
            <a:effectLst/>
            <a:uFillTx/>
            <a:latin typeface="Times New Roman"/>
          </a:endParaRPr>
        </a:p>
      </xdr:txBody>
    </xdr:sp>
    <xdr:clientData/>
  </xdr:twoCellAnchor>
  <xdr:twoCellAnchor editAs="oneCell">
    <xdr:from>
      <xdr:col>17</xdr:col>
      <xdr:colOff>266400</xdr:colOff>
      <xdr:row>63</xdr:row>
      <xdr:rowOff>47160</xdr:rowOff>
    </xdr:from>
    <xdr:to>
      <xdr:col>17</xdr:col>
      <xdr:colOff>268200</xdr:colOff>
      <xdr:row>65</xdr:row>
      <xdr:rowOff>39960</xdr:rowOff>
    </xdr:to>
    <xdr:grpSp>
      <xdr:nvGrpSpPr>
        <xdr:cNvPr id="229" name="Shape 2"/>
        <xdr:cNvGrpSpPr/>
      </xdr:nvGrpSpPr>
      <xdr:grpSpPr>
        <a:xfrm>
          <a:off x="11604960" y="9762840"/>
          <a:ext cx="1800" cy="297360"/>
          <a:chOff x="11604960" y="9762840"/>
          <a:chExt cx="1800" cy="297360"/>
        </a:xfrm>
      </xdr:grpSpPr>
      <xdr:cxnSp>
        <xdr:nvCxnSpPr>
          <xdr:cNvPr id="230" name="Shape 159"/>
          <xdr:cNvCxnSpPr/>
        </xdr:nvCxnSpPr>
        <xdr:spPr>
          <a:xfrm flipV="1">
            <a:off x="11604960" y="9762840"/>
            <a:ext cx="2160" cy="297720"/>
          </a:xfrm>
          <a:prstGeom prst="straightConnector1">
            <a:avLst/>
          </a:prstGeom>
          <a:ln w="9525">
            <a:solidFill>
              <a:srgbClr val="ff0000"/>
            </a:solidFill>
            <a:miter/>
            <a:tailEnd len="med" type="triangle" w="med"/>
          </a:ln>
        </xdr:spPr>
      </xdr:cxnSp>
    </xdr:grpSp>
    <xdr:clientData/>
  </xdr:twoCellAnchor>
  <xdr:twoCellAnchor editAs="oneCell">
    <xdr:from>
      <xdr:col>17</xdr:col>
      <xdr:colOff>266400</xdr:colOff>
      <xdr:row>59</xdr:row>
      <xdr:rowOff>75960</xdr:rowOff>
    </xdr:from>
    <xdr:to>
      <xdr:col>17</xdr:col>
      <xdr:colOff>268200</xdr:colOff>
      <xdr:row>61</xdr:row>
      <xdr:rowOff>77760</xdr:rowOff>
    </xdr:to>
    <xdr:grpSp>
      <xdr:nvGrpSpPr>
        <xdr:cNvPr id="231" name="Shape 2"/>
        <xdr:cNvGrpSpPr/>
      </xdr:nvGrpSpPr>
      <xdr:grpSpPr>
        <a:xfrm>
          <a:off x="11604960" y="9181800"/>
          <a:ext cx="1800" cy="306720"/>
          <a:chOff x="11604960" y="9181800"/>
          <a:chExt cx="1800" cy="306720"/>
        </a:xfrm>
      </xdr:grpSpPr>
      <xdr:cxnSp>
        <xdr:nvCxnSpPr>
          <xdr:cNvPr id="232" name="Shape 160"/>
          <xdr:cNvCxnSpPr/>
        </xdr:nvCxnSpPr>
        <xdr:spPr>
          <a:xfrm flipV="1">
            <a:off x="11604960" y="9181800"/>
            <a:ext cx="2160" cy="307080"/>
          </a:xfrm>
          <a:prstGeom prst="straightConnector1">
            <a:avLst/>
          </a:prstGeom>
          <a:ln w="9525">
            <a:solidFill>
              <a:srgbClr val="ff0000"/>
            </a:solidFill>
            <a:miter/>
            <a:tailEnd len="med" type="triangle" w="med"/>
          </a:ln>
        </xdr:spPr>
      </xdr:cxnSp>
    </xdr:grpSp>
    <xdr:clientData/>
  </xdr:twoCellAnchor>
  <xdr:twoCellAnchor editAs="oneCell">
    <xdr:from>
      <xdr:col>20</xdr:col>
      <xdr:colOff>276120</xdr:colOff>
      <xdr:row>63</xdr:row>
      <xdr:rowOff>47160</xdr:rowOff>
    </xdr:from>
    <xdr:to>
      <xdr:col>20</xdr:col>
      <xdr:colOff>277920</xdr:colOff>
      <xdr:row>65</xdr:row>
      <xdr:rowOff>39960</xdr:rowOff>
    </xdr:to>
    <xdr:grpSp>
      <xdr:nvGrpSpPr>
        <xdr:cNvPr id="233" name="Shape 2"/>
        <xdr:cNvGrpSpPr/>
      </xdr:nvGrpSpPr>
      <xdr:grpSpPr>
        <a:xfrm>
          <a:off x="13493160" y="9762840"/>
          <a:ext cx="1800" cy="297360"/>
          <a:chOff x="13493160" y="9762840"/>
          <a:chExt cx="1800" cy="297360"/>
        </a:xfrm>
      </xdr:grpSpPr>
      <xdr:cxnSp>
        <xdr:nvCxnSpPr>
          <xdr:cNvPr id="234" name="Shape 159"/>
          <xdr:cNvCxnSpPr/>
        </xdr:nvCxnSpPr>
        <xdr:spPr>
          <a:xfrm flipV="1">
            <a:off x="13493160" y="9762840"/>
            <a:ext cx="2160" cy="297720"/>
          </a:xfrm>
          <a:prstGeom prst="straightConnector1">
            <a:avLst/>
          </a:prstGeom>
          <a:ln w="9525">
            <a:solidFill>
              <a:srgbClr val="ff0000"/>
            </a:solidFill>
            <a:miter/>
            <a:tailEnd len="med" type="triangle" w="med"/>
          </a:ln>
        </xdr:spPr>
      </xdr:cxnSp>
    </xdr:grpSp>
    <xdr:clientData/>
  </xdr:twoCellAnchor>
  <xdr:twoCellAnchor editAs="oneCell">
    <xdr:from>
      <xdr:col>20</xdr:col>
      <xdr:colOff>276120</xdr:colOff>
      <xdr:row>59</xdr:row>
      <xdr:rowOff>75960</xdr:rowOff>
    </xdr:from>
    <xdr:to>
      <xdr:col>20</xdr:col>
      <xdr:colOff>277920</xdr:colOff>
      <xdr:row>61</xdr:row>
      <xdr:rowOff>77760</xdr:rowOff>
    </xdr:to>
    <xdr:grpSp>
      <xdr:nvGrpSpPr>
        <xdr:cNvPr id="235" name="Shape 2"/>
        <xdr:cNvGrpSpPr/>
      </xdr:nvGrpSpPr>
      <xdr:grpSpPr>
        <a:xfrm>
          <a:off x="13493160" y="9181800"/>
          <a:ext cx="1800" cy="306720"/>
          <a:chOff x="13493160" y="9181800"/>
          <a:chExt cx="1800" cy="306720"/>
        </a:xfrm>
      </xdr:grpSpPr>
      <xdr:cxnSp>
        <xdr:nvCxnSpPr>
          <xdr:cNvPr id="236" name="Shape 160"/>
          <xdr:cNvCxnSpPr/>
        </xdr:nvCxnSpPr>
        <xdr:spPr>
          <a:xfrm flipV="1">
            <a:off x="13493160" y="9181800"/>
            <a:ext cx="2160" cy="307080"/>
          </a:xfrm>
          <a:prstGeom prst="straightConnector1">
            <a:avLst/>
          </a:prstGeom>
          <a:ln w="9525">
            <a:solidFill>
              <a:srgbClr val="ff0000"/>
            </a:solidFill>
            <a:miter/>
            <a:tailEnd len="med" type="triangle" w="med"/>
          </a:ln>
        </xdr:spPr>
      </xdr:cxnSp>
    </xdr:grpSp>
    <xdr:clientData/>
  </xdr:twoCellAnchor>
  <xdr:twoCellAnchor editAs="oneCell">
    <xdr:from>
      <xdr:col>13</xdr:col>
      <xdr:colOff>123840</xdr:colOff>
      <xdr:row>51</xdr:row>
      <xdr:rowOff>0</xdr:rowOff>
    </xdr:from>
    <xdr:to>
      <xdr:col>13</xdr:col>
      <xdr:colOff>540720</xdr:colOff>
      <xdr:row>68</xdr:row>
      <xdr:rowOff>131400</xdr:rowOff>
    </xdr:to>
    <xdr:sp>
      <xdr:nvSpPr>
        <xdr:cNvPr id="237" name="Shape 161"/>
        <xdr:cNvSpPr/>
      </xdr:nvSpPr>
      <xdr:spPr>
        <a:xfrm>
          <a:off x="8957880" y="7886880"/>
          <a:ext cx="416880" cy="272196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2</xdr:col>
      <xdr:colOff>288000</xdr:colOff>
      <xdr:row>80</xdr:row>
      <xdr:rowOff>2160</xdr:rowOff>
    </xdr:from>
    <xdr:to>
      <xdr:col>3</xdr:col>
      <xdr:colOff>259560</xdr:colOff>
      <xdr:row>83</xdr:row>
      <xdr:rowOff>95400</xdr:rowOff>
    </xdr:to>
    <xdr:sp>
      <xdr:nvSpPr>
        <xdr:cNvPr id="238" name="Shape 134"/>
        <xdr:cNvSpPr/>
      </xdr:nvSpPr>
      <xdr:spPr>
        <a:xfrm rot="10800000">
          <a:off x="1540080" y="12346560"/>
          <a:ext cx="597960" cy="550440"/>
        </a:xfrm>
        <a:prstGeom prst="triangle">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2</xdr:col>
      <xdr:colOff>607320</xdr:colOff>
      <xdr:row>80</xdr:row>
      <xdr:rowOff>0</xdr:rowOff>
    </xdr:from>
    <xdr:to>
      <xdr:col>2</xdr:col>
      <xdr:colOff>609120</xdr:colOff>
      <xdr:row>86</xdr:row>
      <xdr:rowOff>11160</xdr:rowOff>
    </xdr:to>
    <xdr:grpSp>
      <xdr:nvGrpSpPr>
        <xdr:cNvPr id="239" name="Shape 2"/>
        <xdr:cNvGrpSpPr/>
      </xdr:nvGrpSpPr>
      <xdr:grpSpPr>
        <a:xfrm>
          <a:off x="1859400" y="12344400"/>
          <a:ext cx="1800" cy="925560"/>
          <a:chOff x="1859400" y="12344400"/>
          <a:chExt cx="1800" cy="925560"/>
        </a:xfrm>
      </xdr:grpSpPr>
      <xdr:cxnSp>
        <xdr:nvCxnSpPr>
          <xdr:cNvPr id="240" name="Shape 135"/>
          <xdr:cNvCxnSpPr/>
        </xdr:nvCxnSpPr>
        <xdr:spPr>
          <a:xfrm>
            <a:off x="1859400" y="12344400"/>
            <a:ext cx="2160" cy="925920"/>
          </a:xfrm>
          <a:prstGeom prst="straightConnector1">
            <a:avLst/>
          </a:prstGeom>
          <a:ln w="9525">
            <a:solidFill>
              <a:srgbClr val="000000"/>
            </a:solidFill>
            <a:miter/>
          </a:ln>
        </xdr:spPr>
      </xdr:cxnSp>
    </xdr:grpSp>
    <xdr:clientData/>
  </xdr:twoCellAnchor>
  <xdr:twoCellAnchor editAs="oneCell">
    <xdr:from>
      <xdr:col>3</xdr:col>
      <xdr:colOff>9360</xdr:colOff>
      <xdr:row>85</xdr:row>
      <xdr:rowOff>142560</xdr:rowOff>
    </xdr:from>
    <xdr:to>
      <xdr:col>3</xdr:col>
      <xdr:colOff>592200</xdr:colOff>
      <xdr:row>85</xdr:row>
      <xdr:rowOff>144360</xdr:rowOff>
    </xdr:to>
    <xdr:grpSp>
      <xdr:nvGrpSpPr>
        <xdr:cNvPr id="241" name="Shape 2"/>
        <xdr:cNvGrpSpPr/>
      </xdr:nvGrpSpPr>
      <xdr:grpSpPr>
        <a:xfrm>
          <a:off x="1887840" y="13249080"/>
          <a:ext cx="582840" cy="1800"/>
          <a:chOff x="1887840" y="13249080"/>
          <a:chExt cx="582840" cy="1800"/>
        </a:xfrm>
      </xdr:grpSpPr>
      <xdr:cxnSp>
        <xdr:nvCxnSpPr>
          <xdr:cNvPr id="242" name="Shape 136"/>
          <xdr:cNvCxnSpPr/>
        </xdr:nvCxnSpPr>
        <xdr:spPr>
          <a:xfrm>
            <a:off x="1887840" y="13249080"/>
            <a:ext cx="583200" cy="2160"/>
          </a:xfrm>
          <a:prstGeom prst="straightConnector1">
            <a:avLst/>
          </a:prstGeom>
          <a:ln w="9525">
            <a:solidFill>
              <a:srgbClr val="000000"/>
            </a:solidFill>
            <a:miter/>
          </a:ln>
        </xdr:spPr>
      </xdr:cxnSp>
    </xdr:grpSp>
    <xdr:clientData/>
  </xdr:twoCellAnchor>
  <xdr:twoCellAnchor editAs="oneCell">
    <xdr:from>
      <xdr:col>4</xdr:col>
      <xdr:colOff>0</xdr:colOff>
      <xdr:row>84</xdr:row>
      <xdr:rowOff>0</xdr:rowOff>
    </xdr:from>
    <xdr:to>
      <xdr:col>5</xdr:col>
      <xdr:colOff>257760</xdr:colOff>
      <xdr:row>88</xdr:row>
      <xdr:rowOff>7200</xdr:rowOff>
    </xdr:to>
    <xdr:sp>
      <xdr:nvSpPr>
        <xdr:cNvPr id="243" name="Shape 137"/>
        <xdr:cNvSpPr/>
      </xdr:nvSpPr>
      <xdr:spPr>
        <a:xfrm>
          <a:off x="2504520" y="12953880"/>
          <a:ext cx="883800" cy="61704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0</xdr:colOff>
      <xdr:row>84</xdr:row>
      <xdr:rowOff>0</xdr:rowOff>
    </xdr:from>
    <xdr:to>
      <xdr:col>7</xdr:col>
      <xdr:colOff>257760</xdr:colOff>
      <xdr:row>88</xdr:row>
      <xdr:rowOff>7200</xdr:rowOff>
    </xdr:to>
    <xdr:sp>
      <xdr:nvSpPr>
        <xdr:cNvPr id="244" name="Shape 137"/>
        <xdr:cNvSpPr/>
      </xdr:nvSpPr>
      <xdr:spPr>
        <a:xfrm>
          <a:off x="3756600" y="12953880"/>
          <a:ext cx="883800" cy="61704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2160</xdr:colOff>
      <xdr:row>84</xdr:row>
      <xdr:rowOff>0</xdr:rowOff>
    </xdr:from>
    <xdr:to>
      <xdr:col>8</xdr:col>
      <xdr:colOff>581040</xdr:colOff>
      <xdr:row>87</xdr:row>
      <xdr:rowOff>131040</xdr:rowOff>
    </xdr:to>
    <xdr:sp>
      <xdr:nvSpPr>
        <xdr:cNvPr id="245" name="Shape 162"/>
        <xdr:cNvSpPr/>
      </xdr:nvSpPr>
      <xdr:spPr>
        <a:xfrm rot="5400000">
          <a:off x="5006520" y="12958560"/>
          <a:ext cx="588240" cy="578880"/>
        </a:xfrm>
        <a:prstGeom prst="triangle">
          <a:avLst>
            <a:gd name="adj" fmla="val 50000"/>
          </a:avLst>
        </a:prstGeom>
        <a:solidFill>
          <a:srgbClr val="ffffff"/>
        </a:solidFill>
        <a:ln w="9525">
          <a:solidFill>
            <a:srgbClr val="000000"/>
          </a:solidFill>
          <a:miter/>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5</xdr:col>
      <xdr:colOff>285480</xdr:colOff>
      <xdr:row>85</xdr:row>
      <xdr:rowOff>133200</xdr:rowOff>
    </xdr:from>
    <xdr:to>
      <xdr:col>5</xdr:col>
      <xdr:colOff>592200</xdr:colOff>
      <xdr:row>85</xdr:row>
      <xdr:rowOff>135000</xdr:rowOff>
    </xdr:to>
    <xdr:grpSp>
      <xdr:nvGrpSpPr>
        <xdr:cNvPr id="246" name="Shape 2"/>
        <xdr:cNvGrpSpPr/>
      </xdr:nvGrpSpPr>
      <xdr:grpSpPr>
        <a:xfrm>
          <a:off x="3416040" y="13239720"/>
          <a:ext cx="306720" cy="1800"/>
          <a:chOff x="3416040" y="13239720"/>
          <a:chExt cx="306720" cy="1800"/>
        </a:xfrm>
      </xdr:grpSpPr>
      <xdr:cxnSp>
        <xdr:nvCxnSpPr>
          <xdr:cNvPr id="247" name="Shape 139"/>
          <xdr:cNvCxnSpPr/>
        </xdr:nvCxnSpPr>
        <xdr:spPr>
          <a:xfrm>
            <a:off x="3416040" y="13239720"/>
            <a:ext cx="307080" cy="2160"/>
          </a:xfrm>
          <a:prstGeom prst="straightConnector1">
            <a:avLst/>
          </a:prstGeom>
          <a:ln w="9525">
            <a:solidFill>
              <a:srgbClr val="000000"/>
            </a:solidFill>
            <a:miter/>
          </a:ln>
        </xdr:spPr>
      </xdr:cxnSp>
    </xdr:grpSp>
    <xdr:clientData/>
  </xdr:twoCellAnchor>
  <xdr:twoCellAnchor editAs="oneCell">
    <xdr:from>
      <xdr:col>7</xdr:col>
      <xdr:colOff>285480</xdr:colOff>
      <xdr:row>85</xdr:row>
      <xdr:rowOff>133200</xdr:rowOff>
    </xdr:from>
    <xdr:to>
      <xdr:col>7</xdr:col>
      <xdr:colOff>582480</xdr:colOff>
      <xdr:row>85</xdr:row>
      <xdr:rowOff>135000</xdr:rowOff>
    </xdr:to>
    <xdr:grpSp>
      <xdr:nvGrpSpPr>
        <xdr:cNvPr id="248" name="Shape 2"/>
        <xdr:cNvGrpSpPr/>
      </xdr:nvGrpSpPr>
      <xdr:grpSpPr>
        <a:xfrm>
          <a:off x="4668120" y="13239720"/>
          <a:ext cx="297000" cy="1800"/>
          <a:chOff x="4668120" y="13239720"/>
          <a:chExt cx="297000" cy="1800"/>
        </a:xfrm>
      </xdr:grpSpPr>
      <xdr:cxnSp>
        <xdr:nvCxnSpPr>
          <xdr:cNvPr id="249" name="Shape 140"/>
          <xdr:cNvCxnSpPr/>
        </xdr:nvCxnSpPr>
        <xdr:spPr>
          <a:xfrm>
            <a:off x="4668120" y="13239720"/>
            <a:ext cx="297360" cy="2160"/>
          </a:xfrm>
          <a:prstGeom prst="straightConnector1">
            <a:avLst/>
          </a:prstGeom>
          <a:ln w="9525">
            <a:solidFill>
              <a:srgbClr val="000000"/>
            </a:solidFill>
            <a:miter/>
          </a:ln>
        </xdr:spPr>
      </xdr:cxnSp>
    </xdr:grpSp>
    <xdr:clientData/>
  </xdr:twoCellAnchor>
  <xdr:twoCellAnchor editAs="oneCell">
    <xdr:from>
      <xdr:col>8</xdr:col>
      <xdr:colOff>571320</xdr:colOff>
      <xdr:row>85</xdr:row>
      <xdr:rowOff>133200</xdr:rowOff>
    </xdr:from>
    <xdr:to>
      <xdr:col>9</xdr:col>
      <xdr:colOff>615960</xdr:colOff>
      <xdr:row>85</xdr:row>
      <xdr:rowOff>135000</xdr:rowOff>
    </xdr:to>
    <xdr:grpSp>
      <xdr:nvGrpSpPr>
        <xdr:cNvPr id="250" name="Shape 2"/>
        <xdr:cNvGrpSpPr/>
      </xdr:nvGrpSpPr>
      <xdr:grpSpPr>
        <a:xfrm>
          <a:off x="5580360" y="13239720"/>
          <a:ext cx="1040040" cy="1800"/>
          <a:chOff x="5580360" y="13239720"/>
          <a:chExt cx="1040040" cy="1800"/>
        </a:xfrm>
      </xdr:grpSpPr>
      <xdr:cxnSp>
        <xdr:nvCxnSpPr>
          <xdr:cNvPr id="251" name="Shape 163"/>
          <xdr:cNvCxnSpPr/>
        </xdr:nvCxnSpPr>
        <xdr:spPr>
          <a:xfrm>
            <a:off x="5580360" y="13239720"/>
            <a:ext cx="1040400" cy="2160"/>
          </a:xfrm>
          <a:prstGeom prst="straightConnector1">
            <a:avLst/>
          </a:prstGeom>
          <a:ln w="19050">
            <a:solidFill>
              <a:srgbClr val="000000"/>
            </a:solidFill>
            <a:miter/>
          </a:ln>
        </xdr:spPr>
      </xdr:cxnSp>
    </xdr:grpSp>
    <xdr:clientData/>
  </xdr:twoCellAnchor>
  <xdr:twoCellAnchor editAs="oneCell">
    <xdr:from>
      <xdr:col>12</xdr:col>
      <xdr:colOff>285840</xdr:colOff>
      <xdr:row>85</xdr:row>
      <xdr:rowOff>104760</xdr:rowOff>
    </xdr:from>
    <xdr:to>
      <xdr:col>12</xdr:col>
      <xdr:colOff>369360</xdr:colOff>
      <xdr:row>86</xdr:row>
      <xdr:rowOff>36000</xdr:rowOff>
    </xdr:to>
    <xdr:sp>
      <xdr:nvSpPr>
        <xdr:cNvPr id="252" name="Shape 93"/>
        <xdr:cNvSpPr/>
      </xdr:nvSpPr>
      <xdr:spPr>
        <a:xfrm>
          <a:off x="8493840" y="13211280"/>
          <a:ext cx="83520" cy="83520"/>
        </a:xfrm>
        <a:prstGeom prst="ellipse">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85</xdr:row>
      <xdr:rowOff>66600</xdr:rowOff>
    </xdr:from>
    <xdr:to>
      <xdr:col>8</xdr:col>
      <xdr:colOff>293040</xdr:colOff>
      <xdr:row>86</xdr:row>
      <xdr:rowOff>93240</xdr:rowOff>
    </xdr:to>
    <xdr:sp>
      <xdr:nvSpPr>
        <xdr:cNvPr id="253" name="Shape 164"/>
        <xdr:cNvSpPr/>
      </xdr:nvSpPr>
      <xdr:spPr>
        <a:xfrm>
          <a:off x="5056560" y="13173120"/>
          <a:ext cx="2455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6</xdr:col>
      <xdr:colOff>66600</xdr:colOff>
      <xdr:row>84</xdr:row>
      <xdr:rowOff>123840</xdr:rowOff>
    </xdr:from>
    <xdr:to>
      <xdr:col>7</xdr:col>
      <xdr:colOff>19440</xdr:colOff>
      <xdr:row>87</xdr:row>
      <xdr:rowOff>7560</xdr:rowOff>
    </xdr:to>
    <xdr:sp>
      <xdr:nvSpPr>
        <xdr:cNvPr id="254" name="Shape 165"/>
        <xdr:cNvSpPr/>
      </xdr:nvSpPr>
      <xdr:spPr>
        <a:xfrm>
          <a:off x="3823200" y="13077720"/>
          <a:ext cx="578880" cy="340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4</xdr:col>
      <xdr:colOff>142920</xdr:colOff>
      <xdr:row>84</xdr:row>
      <xdr:rowOff>47520</xdr:rowOff>
    </xdr:from>
    <xdr:to>
      <xdr:col>4</xdr:col>
      <xdr:colOff>550440</xdr:colOff>
      <xdr:row>87</xdr:row>
      <xdr:rowOff>73800</xdr:rowOff>
    </xdr:to>
    <xdr:sp>
      <xdr:nvSpPr>
        <xdr:cNvPr id="255" name="Shape 166"/>
        <xdr:cNvSpPr/>
      </xdr:nvSpPr>
      <xdr:spPr>
        <a:xfrm>
          <a:off x="2647440" y="13001400"/>
          <a:ext cx="407520" cy="4834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11</xdr:col>
      <xdr:colOff>161640</xdr:colOff>
      <xdr:row>85</xdr:row>
      <xdr:rowOff>133200</xdr:rowOff>
    </xdr:from>
    <xdr:to>
      <xdr:col>12</xdr:col>
      <xdr:colOff>242280</xdr:colOff>
      <xdr:row>85</xdr:row>
      <xdr:rowOff>135000</xdr:rowOff>
    </xdr:to>
    <xdr:grpSp>
      <xdr:nvGrpSpPr>
        <xdr:cNvPr id="256" name="Shape 2"/>
        <xdr:cNvGrpSpPr/>
      </xdr:nvGrpSpPr>
      <xdr:grpSpPr>
        <a:xfrm>
          <a:off x="7743600" y="13239720"/>
          <a:ext cx="706680" cy="1800"/>
          <a:chOff x="7743600" y="13239720"/>
          <a:chExt cx="706680" cy="1800"/>
        </a:xfrm>
      </xdr:grpSpPr>
      <xdr:cxnSp>
        <xdr:nvCxnSpPr>
          <xdr:cNvPr id="257" name="Shape 167"/>
          <xdr:cNvCxnSpPr/>
        </xdr:nvCxnSpPr>
        <xdr:spPr>
          <a:xfrm>
            <a:off x="7743600" y="13239720"/>
            <a:ext cx="707040" cy="2160"/>
          </a:xfrm>
          <a:prstGeom prst="straightConnector1">
            <a:avLst/>
          </a:prstGeom>
          <a:ln w="9525">
            <a:solidFill>
              <a:srgbClr val="000000"/>
            </a:solidFill>
            <a:miter/>
          </a:ln>
        </xdr:spPr>
      </xdr:cxnSp>
    </xdr:grpSp>
    <xdr:clientData/>
  </xdr:twoCellAnchor>
  <xdr:twoCellAnchor editAs="oneCell">
    <xdr:from>
      <xdr:col>7</xdr:col>
      <xdr:colOff>616680</xdr:colOff>
      <xdr:row>80</xdr:row>
      <xdr:rowOff>0</xdr:rowOff>
    </xdr:from>
    <xdr:to>
      <xdr:col>7</xdr:col>
      <xdr:colOff>618480</xdr:colOff>
      <xdr:row>83</xdr:row>
      <xdr:rowOff>49320</xdr:rowOff>
    </xdr:to>
    <xdr:grpSp>
      <xdr:nvGrpSpPr>
        <xdr:cNvPr id="258" name="Shape 2"/>
        <xdr:cNvGrpSpPr/>
      </xdr:nvGrpSpPr>
      <xdr:grpSpPr>
        <a:xfrm>
          <a:off x="4999320" y="12344400"/>
          <a:ext cx="1800" cy="506520"/>
          <a:chOff x="4999320" y="12344400"/>
          <a:chExt cx="1800" cy="506520"/>
        </a:xfrm>
      </xdr:grpSpPr>
      <xdr:cxnSp>
        <xdr:nvCxnSpPr>
          <xdr:cNvPr id="259" name="Shape 149"/>
          <xdr:cNvCxnSpPr/>
        </xdr:nvCxnSpPr>
        <xdr:spPr>
          <a:xfrm>
            <a:off x="4999320" y="12344400"/>
            <a:ext cx="2160" cy="506880"/>
          </a:xfrm>
          <a:prstGeom prst="straightConnector1">
            <a:avLst/>
          </a:prstGeom>
          <a:ln w="9525">
            <a:solidFill>
              <a:srgbClr val="000000"/>
            </a:solidFill>
            <a:miter/>
          </a:ln>
        </xdr:spPr>
      </xdr:cxnSp>
    </xdr:grpSp>
    <xdr:clientData/>
  </xdr:twoCellAnchor>
  <xdr:twoCellAnchor editAs="oneCell">
    <xdr:from>
      <xdr:col>7</xdr:col>
      <xdr:colOff>552240</xdr:colOff>
      <xdr:row>88</xdr:row>
      <xdr:rowOff>114120</xdr:rowOff>
    </xdr:from>
    <xdr:to>
      <xdr:col>7</xdr:col>
      <xdr:colOff>554040</xdr:colOff>
      <xdr:row>92</xdr:row>
      <xdr:rowOff>20880</xdr:rowOff>
    </xdr:to>
    <xdr:grpSp>
      <xdr:nvGrpSpPr>
        <xdr:cNvPr id="260" name="Shape 2"/>
        <xdr:cNvGrpSpPr/>
      </xdr:nvGrpSpPr>
      <xdr:grpSpPr>
        <a:xfrm>
          <a:off x="4934880" y="13677840"/>
          <a:ext cx="1800" cy="516240"/>
          <a:chOff x="4934880" y="13677840"/>
          <a:chExt cx="1800" cy="516240"/>
        </a:xfrm>
      </xdr:grpSpPr>
      <xdr:cxnSp>
        <xdr:nvCxnSpPr>
          <xdr:cNvPr id="261" name="Shape 150"/>
          <xdr:cNvCxnSpPr/>
        </xdr:nvCxnSpPr>
        <xdr:spPr>
          <a:xfrm>
            <a:off x="4934880" y="13677840"/>
            <a:ext cx="2160" cy="516600"/>
          </a:xfrm>
          <a:prstGeom prst="straightConnector1">
            <a:avLst/>
          </a:prstGeom>
          <a:ln w="9525">
            <a:solidFill>
              <a:srgbClr val="000000"/>
            </a:solidFill>
            <a:miter/>
          </a:ln>
        </xdr:spPr>
      </xdr:cxnSp>
    </xdr:grpSp>
    <xdr:clientData/>
  </xdr:twoCellAnchor>
  <xdr:twoCellAnchor editAs="oneCell">
    <xdr:from>
      <xdr:col>9</xdr:col>
      <xdr:colOff>685800</xdr:colOff>
      <xdr:row>80</xdr:row>
      <xdr:rowOff>114120</xdr:rowOff>
    </xdr:from>
    <xdr:to>
      <xdr:col>9</xdr:col>
      <xdr:colOff>687600</xdr:colOff>
      <xdr:row>84</xdr:row>
      <xdr:rowOff>20880</xdr:rowOff>
    </xdr:to>
    <xdr:grpSp>
      <xdr:nvGrpSpPr>
        <xdr:cNvPr id="262" name="Shape 2"/>
        <xdr:cNvGrpSpPr/>
      </xdr:nvGrpSpPr>
      <xdr:grpSpPr>
        <a:xfrm>
          <a:off x="6690240" y="12458520"/>
          <a:ext cx="1800" cy="516240"/>
          <a:chOff x="6690240" y="12458520"/>
          <a:chExt cx="1800" cy="516240"/>
        </a:xfrm>
      </xdr:grpSpPr>
      <xdr:cxnSp>
        <xdr:nvCxnSpPr>
          <xdr:cNvPr id="263" name="Shape 150"/>
          <xdr:cNvCxnSpPr/>
        </xdr:nvCxnSpPr>
        <xdr:spPr>
          <a:xfrm>
            <a:off x="6690240" y="12458520"/>
            <a:ext cx="2160" cy="516600"/>
          </a:xfrm>
          <a:prstGeom prst="straightConnector1">
            <a:avLst/>
          </a:prstGeom>
          <a:ln w="9525">
            <a:solidFill>
              <a:srgbClr val="000000"/>
            </a:solidFill>
            <a:miter/>
          </a:ln>
        </xdr:spPr>
      </xdr:cxnSp>
    </xdr:grpSp>
    <xdr:clientData/>
  </xdr:twoCellAnchor>
  <xdr:twoCellAnchor editAs="oneCell">
    <xdr:from>
      <xdr:col>9</xdr:col>
      <xdr:colOff>685800</xdr:colOff>
      <xdr:row>87</xdr:row>
      <xdr:rowOff>133200</xdr:rowOff>
    </xdr:from>
    <xdr:to>
      <xdr:col>9</xdr:col>
      <xdr:colOff>687600</xdr:colOff>
      <xdr:row>91</xdr:row>
      <xdr:rowOff>48960</xdr:rowOff>
    </xdr:to>
    <xdr:grpSp>
      <xdr:nvGrpSpPr>
        <xdr:cNvPr id="264" name="Shape 2"/>
        <xdr:cNvGrpSpPr/>
      </xdr:nvGrpSpPr>
      <xdr:grpSpPr>
        <a:xfrm>
          <a:off x="6690240" y="13544280"/>
          <a:ext cx="1800" cy="525600"/>
          <a:chOff x="6690240" y="13544280"/>
          <a:chExt cx="1800" cy="525600"/>
        </a:xfrm>
      </xdr:grpSpPr>
      <xdr:cxnSp>
        <xdr:nvCxnSpPr>
          <xdr:cNvPr id="265" name="Shape 151"/>
          <xdr:cNvCxnSpPr/>
        </xdr:nvCxnSpPr>
        <xdr:spPr>
          <a:xfrm>
            <a:off x="6690240" y="13544280"/>
            <a:ext cx="2160" cy="525960"/>
          </a:xfrm>
          <a:prstGeom prst="straightConnector1">
            <a:avLst/>
          </a:prstGeom>
          <a:ln w="9525">
            <a:solidFill>
              <a:srgbClr val="000000"/>
            </a:solidFill>
            <a:miter/>
          </a:ln>
        </xdr:spPr>
      </xdr:cxnSp>
    </xdr:grpSp>
    <xdr:clientData/>
  </xdr:twoCellAnchor>
  <xdr:twoCellAnchor editAs="oneCell">
    <xdr:from>
      <xdr:col>10</xdr:col>
      <xdr:colOff>9360</xdr:colOff>
      <xdr:row>85</xdr:row>
      <xdr:rowOff>0</xdr:rowOff>
    </xdr:from>
    <xdr:to>
      <xdr:col>10</xdr:col>
      <xdr:colOff>369000</xdr:colOff>
      <xdr:row>87</xdr:row>
      <xdr:rowOff>45720</xdr:rowOff>
    </xdr:to>
    <xdr:sp>
      <xdr:nvSpPr>
        <xdr:cNvPr id="266" name="Shape 168"/>
        <xdr:cNvSpPr/>
      </xdr:nvSpPr>
      <xdr:spPr>
        <a:xfrm>
          <a:off x="6718680" y="13106520"/>
          <a:ext cx="359640" cy="350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endParaRPr b="0" lang="en-US" sz="1400" strike="noStrike" u="none">
            <a:effectLst/>
            <a:uFillTx/>
            <a:latin typeface="Times New Roman"/>
          </a:endParaRPr>
        </a:p>
        <a:p>
          <a:pP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6</xdr:col>
      <xdr:colOff>304920</xdr:colOff>
      <xdr:row>89</xdr:row>
      <xdr:rowOff>0</xdr:rowOff>
    </xdr:from>
    <xdr:to>
      <xdr:col>6</xdr:col>
      <xdr:colOff>388440</xdr:colOff>
      <xdr:row>90</xdr:row>
      <xdr:rowOff>16920</xdr:rowOff>
    </xdr:to>
    <xdr:sp>
      <xdr:nvSpPr>
        <xdr:cNvPr id="267" name="Shape 153"/>
        <xdr:cNvSpPr/>
      </xdr:nvSpPr>
      <xdr:spPr>
        <a:xfrm>
          <a:off x="4061520" y="13716000"/>
          <a:ext cx="83520" cy="169200"/>
        </a:xfrm>
        <a:prstGeom prst="rect">
          <a:avLst/>
        </a:prstGeom>
        <a:noFill/>
        <a:ln w="0">
          <a:noFill/>
        </a:ln>
      </xdr:spPr>
      <xdr:style>
        <a:lnRef idx="0"/>
        <a:fillRef idx="0"/>
        <a:effectRef idx="0"/>
        <a:fontRef idx="minor"/>
      </xdr:style>
    </xdr:sp>
    <xdr:clientData/>
  </xdr:twoCellAnchor>
  <xdr:twoCellAnchor editAs="oneCell">
    <xdr:from>
      <xdr:col>6</xdr:col>
      <xdr:colOff>228600</xdr:colOff>
      <xdr:row>88</xdr:row>
      <xdr:rowOff>0</xdr:rowOff>
    </xdr:from>
    <xdr:to>
      <xdr:col>6</xdr:col>
      <xdr:colOff>483480</xdr:colOff>
      <xdr:row>89</xdr:row>
      <xdr:rowOff>26640</xdr:rowOff>
    </xdr:to>
    <xdr:sp>
      <xdr:nvSpPr>
        <xdr:cNvPr id="268" name="Shape 169"/>
        <xdr:cNvSpPr/>
      </xdr:nvSpPr>
      <xdr:spPr>
        <a:xfrm>
          <a:off x="3985200" y="13563720"/>
          <a:ext cx="2548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BPF</a:t>
          </a:r>
          <a:endParaRPr b="0" lang="en-US" sz="800" strike="noStrike" u="none">
            <a:effectLst/>
            <a:uFillTx/>
            <a:latin typeface="Times New Roman"/>
          </a:endParaRPr>
        </a:p>
      </xdr:txBody>
    </xdr:sp>
    <xdr:clientData/>
  </xdr:twoCellAnchor>
  <xdr:twoCellAnchor editAs="oneCell">
    <xdr:from>
      <xdr:col>6</xdr:col>
      <xdr:colOff>0</xdr:colOff>
      <xdr:row>88</xdr:row>
      <xdr:rowOff>56880</xdr:rowOff>
    </xdr:from>
    <xdr:to>
      <xdr:col>6</xdr:col>
      <xdr:colOff>239760</xdr:colOff>
      <xdr:row>88</xdr:row>
      <xdr:rowOff>58680</xdr:rowOff>
    </xdr:to>
    <xdr:grpSp>
      <xdr:nvGrpSpPr>
        <xdr:cNvPr id="269" name="Shape 2"/>
        <xdr:cNvGrpSpPr/>
      </xdr:nvGrpSpPr>
      <xdr:grpSpPr>
        <a:xfrm>
          <a:off x="3756600" y="13620600"/>
          <a:ext cx="239760" cy="1800"/>
          <a:chOff x="3756600" y="13620600"/>
          <a:chExt cx="239760" cy="1800"/>
        </a:xfrm>
      </xdr:grpSpPr>
      <xdr:cxnSp>
        <xdr:nvCxnSpPr>
          <xdr:cNvPr id="270" name="Shape 155"/>
          <xdr:cNvCxnSpPr/>
        </xdr:nvCxnSpPr>
        <xdr:spPr>
          <a:xfrm flipH="1">
            <a:off x="3756600" y="13620600"/>
            <a:ext cx="240120" cy="216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88</xdr:row>
      <xdr:rowOff>56880</xdr:rowOff>
    </xdr:from>
    <xdr:to>
      <xdr:col>7</xdr:col>
      <xdr:colOff>258840</xdr:colOff>
      <xdr:row>88</xdr:row>
      <xdr:rowOff>58680</xdr:rowOff>
    </xdr:to>
    <xdr:grpSp>
      <xdr:nvGrpSpPr>
        <xdr:cNvPr id="271" name="Shape 2"/>
        <xdr:cNvGrpSpPr/>
      </xdr:nvGrpSpPr>
      <xdr:grpSpPr>
        <a:xfrm>
          <a:off x="4392000" y="13620600"/>
          <a:ext cx="249480" cy="1800"/>
          <a:chOff x="4392000" y="13620600"/>
          <a:chExt cx="249480" cy="1800"/>
        </a:xfrm>
      </xdr:grpSpPr>
      <xdr:cxnSp>
        <xdr:nvCxnSpPr>
          <xdr:cNvPr id="272" name="Shape 156"/>
          <xdr:cNvCxnSpPr/>
        </xdr:nvCxnSpPr>
        <xdr:spPr>
          <a:xfrm>
            <a:off x="4392000" y="13620600"/>
            <a:ext cx="249840" cy="2160"/>
          </a:xfrm>
          <a:prstGeom prst="straightConnector1">
            <a:avLst/>
          </a:prstGeom>
          <a:ln w="9525">
            <a:solidFill>
              <a:srgbClr val="000000"/>
            </a:solidFill>
            <a:miter/>
            <a:tailEnd len="med" type="triangle" w="med"/>
          </a:ln>
        </xdr:spPr>
      </xdr:cxnSp>
    </xdr:grpSp>
    <xdr:clientData/>
  </xdr:twoCellAnchor>
  <xdr:twoCellAnchor editAs="oneCell">
    <xdr:from>
      <xdr:col>3</xdr:col>
      <xdr:colOff>570960</xdr:colOff>
      <xdr:row>88</xdr:row>
      <xdr:rowOff>66600</xdr:rowOff>
    </xdr:from>
    <xdr:to>
      <xdr:col>4</xdr:col>
      <xdr:colOff>194760</xdr:colOff>
      <xdr:row>88</xdr:row>
      <xdr:rowOff>68400</xdr:rowOff>
    </xdr:to>
    <xdr:grpSp>
      <xdr:nvGrpSpPr>
        <xdr:cNvPr id="273" name="Shape 2"/>
        <xdr:cNvGrpSpPr/>
      </xdr:nvGrpSpPr>
      <xdr:grpSpPr>
        <a:xfrm>
          <a:off x="2449440" y="13630320"/>
          <a:ext cx="249840" cy="1800"/>
          <a:chOff x="2449440" y="13630320"/>
          <a:chExt cx="249840" cy="1800"/>
        </a:xfrm>
      </xdr:grpSpPr>
      <xdr:cxnSp>
        <xdr:nvCxnSpPr>
          <xdr:cNvPr id="274" name="Shape 157"/>
          <xdr:cNvCxnSpPr/>
        </xdr:nvCxnSpPr>
        <xdr:spPr>
          <a:xfrm flipH="1">
            <a:off x="2449440" y="13630320"/>
            <a:ext cx="250200" cy="2160"/>
          </a:xfrm>
          <a:prstGeom prst="straightConnector1">
            <a:avLst/>
          </a:prstGeom>
          <a:ln w="9525">
            <a:solidFill>
              <a:srgbClr val="000000"/>
            </a:solidFill>
            <a:miter/>
            <a:tailEnd len="med" type="triangle" w="med"/>
          </a:ln>
        </xdr:spPr>
      </xdr:cxnSp>
    </xdr:grpSp>
    <xdr:clientData/>
  </xdr:twoCellAnchor>
  <xdr:twoCellAnchor editAs="oneCell">
    <xdr:from>
      <xdr:col>5</xdr:col>
      <xdr:colOff>18720</xdr:colOff>
      <xdr:row>88</xdr:row>
      <xdr:rowOff>56880</xdr:rowOff>
    </xdr:from>
    <xdr:to>
      <xdr:col>5</xdr:col>
      <xdr:colOff>268200</xdr:colOff>
      <xdr:row>88</xdr:row>
      <xdr:rowOff>58680</xdr:rowOff>
    </xdr:to>
    <xdr:grpSp>
      <xdr:nvGrpSpPr>
        <xdr:cNvPr id="275" name="Shape 2"/>
        <xdr:cNvGrpSpPr/>
      </xdr:nvGrpSpPr>
      <xdr:grpSpPr>
        <a:xfrm>
          <a:off x="3149280" y="13620600"/>
          <a:ext cx="249480" cy="1800"/>
          <a:chOff x="3149280" y="13620600"/>
          <a:chExt cx="249480" cy="1800"/>
        </a:xfrm>
      </xdr:grpSpPr>
      <xdr:cxnSp>
        <xdr:nvCxnSpPr>
          <xdr:cNvPr id="276" name="Shape 156"/>
          <xdr:cNvCxnSpPr/>
        </xdr:nvCxnSpPr>
        <xdr:spPr>
          <a:xfrm>
            <a:off x="3149280" y="13620600"/>
            <a:ext cx="249840" cy="2160"/>
          </a:xfrm>
          <a:prstGeom prst="straightConnector1">
            <a:avLst/>
          </a:prstGeom>
          <a:ln w="9525">
            <a:solidFill>
              <a:srgbClr val="000000"/>
            </a:solidFill>
            <a:miter/>
            <a:tailEnd len="med" type="triangle" w="med"/>
          </a:ln>
        </xdr:spPr>
      </xdr:cxnSp>
    </xdr:grpSp>
    <xdr:clientData/>
  </xdr:twoCellAnchor>
  <xdr:twoCellAnchor editAs="oneCell">
    <xdr:from>
      <xdr:col>4</xdr:col>
      <xdr:colOff>228600</xdr:colOff>
      <xdr:row>88</xdr:row>
      <xdr:rowOff>0</xdr:rowOff>
    </xdr:from>
    <xdr:to>
      <xdr:col>4</xdr:col>
      <xdr:colOff>521640</xdr:colOff>
      <xdr:row>89</xdr:row>
      <xdr:rowOff>26640</xdr:rowOff>
    </xdr:to>
    <xdr:sp>
      <xdr:nvSpPr>
        <xdr:cNvPr id="277" name="Shape 170"/>
        <xdr:cNvSpPr/>
      </xdr:nvSpPr>
      <xdr:spPr>
        <a:xfrm>
          <a:off x="2733120" y="13563720"/>
          <a:ext cx="2930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other</a:t>
          </a:r>
          <a:endParaRPr b="0" lang="en-US" sz="800" strike="noStrike" u="none">
            <a:effectLst/>
            <a:uFillTx/>
            <a:latin typeface="Times New Roman"/>
          </a:endParaRPr>
        </a:p>
      </xdr:txBody>
    </xdr:sp>
    <xdr:clientData/>
  </xdr:twoCellAnchor>
  <xdr:twoCellAnchor editAs="oneCell">
    <xdr:from>
      <xdr:col>13</xdr:col>
      <xdr:colOff>9360</xdr:colOff>
      <xdr:row>119</xdr:row>
      <xdr:rowOff>0</xdr:rowOff>
    </xdr:from>
    <xdr:to>
      <xdr:col>13</xdr:col>
      <xdr:colOff>550080</xdr:colOff>
      <xdr:row>142</xdr:row>
      <xdr:rowOff>7200</xdr:rowOff>
    </xdr:to>
    <xdr:sp>
      <xdr:nvSpPr>
        <xdr:cNvPr id="278" name="Shape 171"/>
        <xdr:cNvSpPr/>
      </xdr:nvSpPr>
      <xdr:spPr>
        <a:xfrm>
          <a:off x="8843400" y="18288000"/>
          <a:ext cx="540720" cy="351252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10</xdr:col>
      <xdr:colOff>151920</xdr:colOff>
      <xdr:row>127</xdr:row>
      <xdr:rowOff>75960</xdr:rowOff>
    </xdr:from>
    <xdr:to>
      <xdr:col>12</xdr:col>
      <xdr:colOff>198360</xdr:colOff>
      <xdr:row>127</xdr:row>
      <xdr:rowOff>77760</xdr:rowOff>
    </xdr:to>
    <xdr:grpSp>
      <xdr:nvGrpSpPr>
        <xdr:cNvPr id="279" name="Shape 2"/>
        <xdr:cNvGrpSpPr/>
      </xdr:nvGrpSpPr>
      <xdr:grpSpPr>
        <a:xfrm>
          <a:off x="6861240" y="19583280"/>
          <a:ext cx="1545120" cy="1800"/>
          <a:chOff x="6861240" y="19583280"/>
          <a:chExt cx="1545120" cy="1800"/>
        </a:xfrm>
      </xdr:grpSpPr>
      <xdr:cxnSp>
        <xdr:nvCxnSpPr>
          <xdr:cNvPr id="280" name="Shape 172"/>
          <xdr:cNvCxnSpPr/>
        </xdr:nvCxnSpPr>
        <xdr:spPr>
          <a:xfrm flipH="1">
            <a:off x="6861240" y="19583280"/>
            <a:ext cx="1545480" cy="2160"/>
          </a:xfrm>
          <a:prstGeom prst="straightConnector1">
            <a:avLst/>
          </a:prstGeom>
          <a:ln w="9525">
            <a:solidFill>
              <a:srgbClr val="000000"/>
            </a:solidFill>
            <a:miter/>
            <a:tailEnd len="med" type="triangle" w="med"/>
          </a:ln>
        </xdr:spPr>
      </xdr:cxnSp>
    </xdr:grpSp>
    <xdr:clientData/>
  </xdr:twoCellAnchor>
  <xdr:twoCellAnchor editAs="oneCell">
    <xdr:from>
      <xdr:col>10</xdr:col>
      <xdr:colOff>228600</xdr:colOff>
      <xdr:row>60</xdr:row>
      <xdr:rowOff>75960</xdr:rowOff>
    </xdr:from>
    <xdr:to>
      <xdr:col>12</xdr:col>
      <xdr:colOff>331920</xdr:colOff>
      <xdr:row>60</xdr:row>
      <xdr:rowOff>77760</xdr:rowOff>
    </xdr:to>
    <xdr:grpSp>
      <xdr:nvGrpSpPr>
        <xdr:cNvPr id="281" name="Shape 2"/>
        <xdr:cNvGrpSpPr/>
      </xdr:nvGrpSpPr>
      <xdr:grpSpPr>
        <a:xfrm>
          <a:off x="6937920" y="9334440"/>
          <a:ext cx="1602000" cy="1800"/>
          <a:chOff x="6937920" y="9334440"/>
          <a:chExt cx="1602000" cy="1800"/>
        </a:xfrm>
      </xdr:grpSpPr>
      <xdr:cxnSp>
        <xdr:nvCxnSpPr>
          <xdr:cNvPr id="282" name="Shape 173"/>
          <xdr:cNvCxnSpPr/>
        </xdr:nvCxnSpPr>
        <xdr:spPr>
          <a:xfrm flipH="1">
            <a:off x="6937920" y="9334440"/>
            <a:ext cx="1602360" cy="2160"/>
          </a:xfrm>
          <a:prstGeom prst="straightConnector1">
            <a:avLst/>
          </a:prstGeom>
          <a:ln w="9525">
            <a:solidFill>
              <a:srgbClr val="000000"/>
            </a:solidFill>
            <a:miter/>
            <a:tailEnd len="med" type="triangle" w="med"/>
          </a:ln>
        </xdr:spPr>
      </xdr:cxnSp>
    </xdr:grpSp>
    <xdr:clientData/>
  </xdr:twoCellAnchor>
  <xdr:twoCellAnchor editAs="oneCell">
    <xdr:from>
      <xdr:col>12</xdr:col>
      <xdr:colOff>0</xdr:colOff>
      <xdr:row>60</xdr:row>
      <xdr:rowOff>95040</xdr:rowOff>
    </xdr:from>
    <xdr:to>
      <xdr:col>12</xdr:col>
      <xdr:colOff>1800</xdr:colOff>
      <xdr:row>64</xdr:row>
      <xdr:rowOff>87480</xdr:rowOff>
    </xdr:to>
    <xdr:grpSp>
      <xdr:nvGrpSpPr>
        <xdr:cNvPr id="283" name="Shape 2"/>
        <xdr:cNvGrpSpPr/>
      </xdr:nvGrpSpPr>
      <xdr:grpSpPr>
        <a:xfrm>
          <a:off x="8208000" y="9353520"/>
          <a:ext cx="1800" cy="601920"/>
          <a:chOff x="8208000" y="9353520"/>
          <a:chExt cx="1800" cy="601920"/>
        </a:xfrm>
      </xdr:grpSpPr>
      <xdr:cxnSp>
        <xdr:nvCxnSpPr>
          <xdr:cNvPr id="284" name="Shape 174"/>
          <xdr:cNvCxnSpPr/>
        </xdr:nvCxnSpPr>
        <xdr:spPr>
          <a:xfrm>
            <a:off x="8208000" y="9353520"/>
            <a:ext cx="2160" cy="602280"/>
          </a:xfrm>
          <a:prstGeom prst="straightConnector1">
            <a:avLst/>
          </a:prstGeom>
          <a:ln w="9525">
            <a:solidFill>
              <a:srgbClr val="000000"/>
            </a:solidFill>
            <a:miter/>
          </a:ln>
        </xdr:spPr>
      </xdr:cxnSp>
    </xdr:grpSp>
    <xdr:clientData/>
  </xdr:twoCellAnchor>
  <xdr:twoCellAnchor editAs="oneCell">
    <xdr:from>
      <xdr:col>10</xdr:col>
      <xdr:colOff>266400</xdr:colOff>
      <xdr:row>64</xdr:row>
      <xdr:rowOff>66600</xdr:rowOff>
    </xdr:from>
    <xdr:to>
      <xdr:col>11</xdr:col>
      <xdr:colOff>338760</xdr:colOff>
      <xdr:row>64</xdr:row>
      <xdr:rowOff>68400</xdr:rowOff>
    </xdr:to>
    <xdr:grpSp>
      <xdr:nvGrpSpPr>
        <xdr:cNvPr id="285" name="Shape 2"/>
        <xdr:cNvGrpSpPr/>
      </xdr:nvGrpSpPr>
      <xdr:grpSpPr>
        <a:xfrm>
          <a:off x="6975720" y="9934560"/>
          <a:ext cx="945000" cy="1800"/>
          <a:chOff x="6975720" y="9934560"/>
          <a:chExt cx="945000" cy="1800"/>
        </a:xfrm>
      </xdr:grpSpPr>
      <xdr:cxnSp>
        <xdr:nvCxnSpPr>
          <xdr:cNvPr id="286" name="Shape 175"/>
          <xdr:cNvCxnSpPr/>
        </xdr:nvCxnSpPr>
        <xdr:spPr>
          <a:xfrm flipH="1">
            <a:off x="6975720" y="9934560"/>
            <a:ext cx="945360" cy="2160"/>
          </a:xfrm>
          <a:prstGeom prst="straightConnector1">
            <a:avLst/>
          </a:prstGeom>
          <a:ln w="9525">
            <a:solidFill>
              <a:srgbClr val="000000"/>
            </a:solidFill>
            <a:miter/>
            <a:tailEnd len="med" type="triangle" w="med"/>
          </a:ln>
        </xdr:spPr>
      </xdr:cxnSp>
    </xdr:grpSp>
    <xdr:clientData/>
  </xdr:twoCellAnchor>
  <xdr:twoCellAnchor editAs="oneCell">
    <xdr:from>
      <xdr:col>10</xdr:col>
      <xdr:colOff>218880</xdr:colOff>
      <xdr:row>119</xdr:row>
      <xdr:rowOff>56880</xdr:rowOff>
    </xdr:from>
    <xdr:to>
      <xdr:col>10</xdr:col>
      <xdr:colOff>782640</xdr:colOff>
      <xdr:row>119</xdr:row>
      <xdr:rowOff>58680</xdr:rowOff>
    </xdr:to>
    <xdr:grpSp>
      <xdr:nvGrpSpPr>
        <xdr:cNvPr id="287" name="Shape 2"/>
        <xdr:cNvGrpSpPr/>
      </xdr:nvGrpSpPr>
      <xdr:grpSpPr>
        <a:xfrm>
          <a:off x="6928200" y="18344880"/>
          <a:ext cx="563760" cy="1800"/>
          <a:chOff x="6928200" y="18344880"/>
          <a:chExt cx="563760" cy="1800"/>
        </a:xfrm>
      </xdr:grpSpPr>
      <xdr:cxnSp>
        <xdr:nvCxnSpPr>
          <xdr:cNvPr id="288" name="Shape 176"/>
          <xdr:cNvCxnSpPr/>
        </xdr:nvCxnSpPr>
        <xdr:spPr>
          <a:xfrm flipH="1">
            <a:off x="6928200" y="18344880"/>
            <a:ext cx="564120" cy="2160"/>
          </a:xfrm>
          <a:prstGeom prst="straightConnector1">
            <a:avLst/>
          </a:prstGeom>
          <a:ln w="9525">
            <a:solidFill>
              <a:srgbClr val="000000"/>
            </a:solidFill>
            <a:miter/>
            <a:tailEnd len="med" type="triangle" w="med"/>
          </a:ln>
        </xdr:spPr>
      </xdr:cxnSp>
    </xdr:grpSp>
    <xdr:clientData/>
  </xdr:twoCellAnchor>
  <xdr:twoCellAnchor editAs="oneCell">
    <xdr:from>
      <xdr:col>11</xdr:col>
      <xdr:colOff>161640</xdr:colOff>
      <xdr:row>119</xdr:row>
      <xdr:rowOff>75960</xdr:rowOff>
    </xdr:from>
    <xdr:to>
      <xdr:col>11</xdr:col>
      <xdr:colOff>163440</xdr:colOff>
      <xdr:row>121</xdr:row>
      <xdr:rowOff>77760</xdr:rowOff>
    </xdr:to>
    <xdr:grpSp>
      <xdr:nvGrpSpPr>
        <xdr:cNvPr id="289" name="Shape 2"/>
        <xdr:cNvGrpSpPr/>
      </xdr:nvGrpSpPr>
      <xdr:grpSpPr>
        <a:xfrm>
          <a:off x="7743600" y="18363960"/>
          <a:ext cx="1800" cy="306720"/>
          <a:chOff x="7743600" y="18363960"/>
          <a:chExt cx="1800" cy="306720"/>
        </a:xfrm>
      </xdr:grpSpPr>
      <xdr:cxnSp>
        <xdr:nvCxnSpPr>
          <xdr:cNvPr id="290" name="Shape 177"/>
          <xdr:cNvCxnSpPr/>
        </xdr:nvCxnSpPr>
        <xdr:spPr>
          <a:xfrm>
            <a:off x="7743600" y="18363960"/>
            <a:ext cx="2160" cy="307080"/>
          </a:xfrm>
          <a:prstGeom prst="straightConnector1">
            <a:avLst/>
          </a:prstGeom>
          <a:ln w="9525">
            <a:solidFill>
              <a:srgbClr val="000000"/>
            </a:solidFill>
            <a:miter/>
          </a:ln>
        </xdr:spPr>
      </xdr:cxnSp>
    </xdr:grpSp>
    <xdr:clientData/>
  </xdr:twoCellAnchor>
  <xdr:twoCellAnchor editAs="oneCell">
    <xdr:from>
      <xdr:col>11</xdr:col>
      <xdr:colOff>9360</xdr:colOff>
      <xdr:row>121</xdr:row>
      <xdr:rowOff>56880</xdr:rowOff>
    </xdr:from>
    <xdr:to>
      <xdr:col>11</xdr:col>
      <xdr:colOff>192240</xdr:colOff>
      <xdr:row>121</xdr:row>
      <xdr:rowOff>58680</xdr:rowOff>
    </xdr:to>
    <xdr:grpSp>
      <xdr:nvGrpSpPr>
        <xdr:cNvPr id="291" name="Shape 2"/>
        <xdr:cNvGrpSpPr/>
      </xdr:nvGrpSpPr>
      <xdr:grpSpPr>
        <a:xfrm>
          <a:off x="7591320" y="18649800"/>
          <a:ext cx="182880" cy="1800"/>
          <a:chOff x="7591320" y="18649800"/>
          <a:chExt cx="182880" cy="1800"/>
        </a:xfrm>
      </xdr:grpSpPr>
      <xdr:cxnSp>
        <xdr:nvCxnSpPr>
          <xdr:cNvPr id="292" name="Shape 178"/>
          <xdr:cNvCxnSpPr/>
        </xdr:nvCxnSpPr>
        <xdr:spPr>
          <a:xfrm flipH="1">
            <a:off x="7591320" y="18649800"/>
            <a:ext cx="183240" cy="2160"/>
          </a:xfrm>
          <a:prstGeom prst="straightConnector1">
            <a:avLst/>
          </a:prstGeom>
          <a:ln w="9525">
            <a:solidFill>
              <a:srgbClr val="000000"/>
            </a:solidFill>
            <a:miter/>
          </a:ln>
        </xdr:spPr>
      </xdr:cxnSp>
    </xdr:grpSp>
    <xdr:clientData/>
  </xdr:twoCellAnchor>
  <xdr:twoCellAnchor editAs="oneCell">
    <xdr:from>
      <xdr:col>10</xdr:col>
      <xdr:colOff>218880</xdr:colOff>
      <xdr:row>48</xdr:row>
      <xdr:rowOff>56880</xdr:rowOff>
    </xdr:from>
    <xdr:to>
      <xdr:col>10</xdr:col>
      <xdr:colOff>811080</xdr:colOff>
      <xdr:row>48</xdr:row>
      <xdr:rowOff>58680</xdr:rowOff>
    </xdr:to>
    <xdr:grpSp>
      <xdr:nvGrpSpPr>
        <xdr:cNvPr id="293" name="Shape 2"/>
        <xdr:cNvGrpSpPr/>
      </xdr:nvGrpSpPr>
      <xdr:grpSpPr>
        <a:xfrm>
          <a:off x="6928200" y="7486560"/>
          <a:ext cx="592200" cy="1800"/>
          <a:chOff x="6928200" y="7486560"/>
          <a:chExt cx="592200" cy="1800"/>
        </a:xfrm>
      </xdr:grpSpPr>
      <xdr:cxnSp>
        <xdr:nvCxnSpPr>
          <xdr:cNvPr id="294" name="Shape 179"/>
          <xdr:cNvCxnSpPr/>
        </xdr:nvCxnSpPr>
        <xdr:spPr>
          <a:xfrm flipH="1">
            <a:off x="6928200" y="7486560"/>
            <a:ext cx="592560" cy="2160"/>
          </a:xfrm>
          <a:prstGeom prst="straightConnector1">
            <a:avLst/>
          </a:prstGeom>
          <a:ln w="9525">
            <a:solidFill>
              <a:srgbClr val="000000"/>
            </a:solidFill>
            <a:miter/>
            <a:tailEnd len="med" type="triangle" w="med"/>
          </a:ln>
        </xdr:spPr>
      </xdr:cxnSp>
    </xdr:grpSp>
    <xdr:clientData/>
  </xdr:twoCellAnchor>
  <xdr:twoCellAnchor editAs="oneCell">
    <xdr:from>
      <xdr:col>11</xdr:col>
      <xdr:colOff>199800</xdr:colOff>
      <xdr:row>48</xdr:row>
      <xdr:rowOff>75960</xdr:rowOff>
    </xdr:from>
    <xdr:to>
      <xdr:col>11</xdr:col>
      <xdr:colOff>239760</xdr:colOff>
      <xdr:row>50</xdr:row>
      <xdr:rowOff>78120</xdr:rowOff>
    </xdr:to>
    <xdr:grpSp>
      <xdr:nvGrpSpPr>
        <xdr:cNvPr id="295" name="Shape 2"/>
        <xdr:cNvGrpSpPr/>
      </xdr:nvGrpSpPr>
      <xdr:grpSpPr>
        <a:xfrm>
          <a:off x="7781760" y="7505640"/>
          <a:ext cx="39960" cy="306720"/>
          <a:chOff x="7781760" y="7505640"/>
          <a:chExt cx="39960" cy="306720"/>
        </a:xfrm>
      </xdr:grpSpPr>
      <xdr:cxnSp>
        <xdr:nvCxnSpPr>
          <xdr:cNvPr id="296" name="Shape 180"/>
          <xdr:cNvCxnSpPr/>
        </xdr:nvCxnSpPr>
        <xdr:spPr>
          <a:xfrm flipH="1">
            <a:off x="7781760" y="7505640"/>
            <a:ext cx="40320" cy="307080"/>
          </a:xfrm>
          <a:prstGeom prst="straightConnector1">
            <a:avLst/>
          </a:prstGeom>
          <a:ln w="9525">
            <a:solidFill>
              <a:srgbClr val="000000"/>
            </a:solidFill>
            <a:miter/>
          </a:ln>
        </xdr:spPr>
      </xdr:cxnSp>
    </xdr:grpSp>
    <xdr:clientData/>
  </xdr:twoCellAnchor>
  <xdr:twoCellAnchor editAs="oneCell">
    <xdr:from>
      <xdr:col>11</xdr:col>
      <xdr:colOff>0</xdr:colOff>
      <xdr:row>50</xdr:row>
      <xdr:rowOff>56880</xdr:rowOff>
    </xdr:from>
    <xdr:to>
      <xdr:col>11</xdr:col>
      <xdr:colOff>220680</xdr:colOff>
      <xdr:row>50</xdr:row>
      <xdr:rowOff>58680</xdr:rowOff>
    </xdr:to>
    <xdr:grpSp>
      <xdr:nvGrpSpPr>
        <xdr:cNvPr id="297" name="Shape 2"/>
        <xdr:cNvGrpSpPr/>
      </xdr:nvGrpSpPr>
      <xdr:grpSpPr>
        <a:xfrm>
          <a:off x="7581960" y="7791120"/>
          <a:ext cx="220680" cy="1800"/>
          <a:chOff x="7581960" y="7791120"/>
          <a:chExt cx="220680" cy="1800"/>
        </a:xfrm>
      </xdr:grpSpPr>
      <xdr:cxnSp>
        <xdr:nvCxnSpPr>
          <xdr:cNvPr id="298" name="Shape 181"/>
          <xdr:cNvCxnSpPr/>
        </xdr:nvCxnSpPr>
        <xdr:spPr>
          <a:xfrm flipH="1">
            <a:off x="7581960" y="7791120"/>
            <a:ext cx="221040" cy="2160"/>
          </a:xfrm>
          <a:prstGeom prst="straightConnector1">
            <a:avLst/>
          </a:prstGeom>
          <a:ln w="9525">
            <a:solidFill>
              <a:srgbClr val="000000"/>
            </a:solidFill>
            <a:miter/>
          </a:ln>
        </xdr:spPr>
      </xdr:cxnSp>
    </xdr:grpSp>
    <xdr:clientData/>
  </xdr:twoCellAnchor>
  <xdr:twoCellAnchor editAs="oneCell">
    <xdr:from>
      <xdr:col>10</xdr:col>
      <xdr:colOff>0</xdr:colOff>
      <xdr:row>84</xdr:row>
      <xdr:rowOff>0</xdr:rowOff>
    </xdr:from>
    <xdr:to>
      <xdr:col>11</xdr:col>
      <xdr:colOff>201600</xdr:colOff>
      <xdr:row>87</xdr:row>
      <xdr:rowOff>131040</xdr:rowOff>
    </xdr:to>
    <xdr:sp>
      <xdr:nvSpPr>
        <xdr:cNvPr id="299" name="Shape 182"/>
        <xdr:cNvSpPr/>
      </xdr:nvSpPr>
      <xdr:spPr>
        <a:xfrm>
          <a:off x="6709320" y="12953880"/>
          <a:ext cx="1074240" cy="588240"/>
        </a:xfrm>
        <a:prstGeom prst="rect">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9</xdr:col>
      <xdr:colOff>628560</xdr:colOff>
      <xdr:row>84</xdr:row>
      <xdr:rowOff>123840</xdr:rowOff>
    </xdr:from>
    <xdr:to>
      <xdr:col>11</xdr:col>
      <xdr:colOff>1440</xdr:colOff>
      <xdr:row>87</xdr:row>
      <xdr:rowOff>7560</xdr:rowOff>
    </xdr:to>
    <xdr:sp>
      <xdr:nvSpPr>
        <xdr:cNvPr id="300" name="Shape 183"/>
        <xdr:cNvSpPr/>
      </xdr:nvSpPr>
      <xdr:spPr>
        <a:xfrm>
          <a:off x="6633000" y="13077720"/>
          <a:ext cx="950400" cy="340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Communications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Receiver</a:t>
          </a:r>
          <a:endParaRPr b="0" lang="en-US" sz="1000" strike="noStrike" u="none">
            <a:effectLst/>
            <a:uFillTx/>
            <a:latin typeface="Times New Roman"/>
          </a:endParaRPr>
        </a:p>
      </xdr:txBody>
    </xdr:sp>
    <xdr:clientData/>
  </xdr:twoCellAnchor>
  <xdr:twoCellAnchor editAs="oneCell">
    <xdr:from>
      <xdr:col>9</xdr:col>
      <xdr:colOff>0</xdr:colOff>
      <xdr:row>83</xdr:row>
      <xdr:rowOff>123840</xdr:rowOff>
    </xdr:from>
    <xdr:to>
      <xdr:col>9</xdr:col>
      <xdr:colOff>159840</xdr:colOff>
      <xdr:row>85</xdr:row>
      <xdr:rowOff>7200</xdr:rowOff>
    </xdr:to>
    <xdr:sp>
      <xdr:nvSpPr>
        <xdr:cNvPr id="301" name="Shape 184"/>
        <xdr:cNvSpPr/>
      </xdr:nvSpPr>
      <xdr:spPr>
        <a:xfrm>
          <a:off x="6004440" y="12925440"/>
          <a:ext cx="15984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a:t>
          </a:r>
          <a:r>
            <a:rPr b="0" lang="en-US" sz="800" strike="noStrike" u="none">
              <a:solidFill>
                <a:srgbClr val="000000"/>
              </a:solidFill>
              <a:effectLst/>
              <a:uFillTx/>
              <a:latin typeface="Arial"/>
              <a:ea typeface="Arial"/>
            </a:rPr>
            <a:t>D</a:t>
          </a:r>
          <a:endParaRPr b="0" lang="en-US" sz="800" strike="noStrike" u="none">
            <a:effectLst/>
            <a:uFillTx/>
            <a:latin typeface="Times New Roman"/>
          </a:endParaRPr>
        </a:p>
      </xdr:txBody>
    </xdr:sp>
    <xdr:clientData/>
  </xdr:twoCellAnchor>
  <xdr:twoCellAnchor editAs="oneCell">
    <xdr:from>
      <xdr:col>8</xdr:col>
      <xdr:colOff>447840</xdr:colOff>
      <xdr:row>86</xdr:row>
      <xdr:rowOff>114480</xdr:rowOff>
    </xdr:from>
    <xdr:to>
      <xdr:col>9</xdr:col>
      <xdr:colOff>355320</xdr:colOff>
      <xdr:row>88</xdr:row>
      <xdr:rowOff>140760</xdr:rowOff>
    </xdr:to>
    <xdr:sp>
      <xdr:nvSpPr>
        <xdr:cNvPr id="302" name="Shape 185"/>
        <xdr:cNvSpPr/>
      </xdr:nvSpPr>
      <xdr:spPr>
        <a:xfrm>
          <a:off x="5456880" y="13373280"/>
          <a:ext cx="90288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Long Cable Run</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(See Note Below)</a:t>
          </a:r>
          <a:endParaRPr b="0" lang="en-US" sz="1000" strike="noStrike" u="none">
            <a:effectLst/>
            <a:uFillTx/>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342360</xdr:colOff>
      <xdr:row>9</xdr:row>
      <xdr:rowOff>66600</xdr:rowOff>
    </xdr:from>
    <xdr:to>
      <xdr:col>4</xdr:col>
      <xdr:colOff>592200</xdr:colOff>
      <xdr:row>9</xdr:row>
      <xdr:rowOff>68400</xdr:rowOff>
    </xdr:to>
    <xdr:grpSp>
      <xdr:nvGrpSpPr>
        <xdr:cNvPr id="303" name="Shape 2"/>
        <xdr:cNvGrpSpPr/>
      </xdr:nvGrpSpPr>
      <xdr:grpSpPr>
        <a:xfrm>
          <a:off x="2846880" y="1724040"/>
          <a:ext cx="249840" cy="1800"/>
          <a:chOff x="2846880" y="1724040"/>
          <a:chExt cx="249840" cy="1800"/>
        </a:xfrm>
      </xdr:grpSpPr>
      <xdr:cxnSp>
        <xdr:nvCxnSpPr>
          <xdr:cNvPr id="304" name="Shape 186"/>
          <xdr:cNvCxnSpPr/>
        </xdr:nvCxnSpPr>
        <xdr:spPr>
          <a:xfrm flipH="1">
            <a:off x="2846880" y="1724040"/>
            <a:ext cx="250200" cy="2160"/>
          </a:xfrm>
          <a:prstGeom prst="straightConnector1">
            <a:avLst/>
          </a:prstGeom>
          <a:ln w="9525">
            <a:solidFill>
              <a:srgbClr val="000000"/>
            </a:solidFill>
            <a:miter/>
          </a:ln>
        </xdr:spPr>
      </xdr:cxnSp>
    </xdr:grpSp>
    <xdr:clientData/>
  </xdr:twoCellAnchor>
  <xdr:twoCellAnchor editAs="oneCell">
    <xdr:from>
      <xdr:col>4</xdr:col>
      <xdr:colOff>323640</xdr:colOff>
      <xdr:row>9</xdr:row>
      <xdr:rowOff>85680</xdr:rowOff>
    </xdr:from>
    <xdr:to>
      <xdr:col>4</xdr:col>
      <xdr:colOff>325440</xdr:colOff>
      <xdr:row>10</xdr:row>
      <xdr:rowOff>1440</xdr:rowOff>
    </xdr:to>
    <xdr:grpSp>
      <xdr:nvGrpSpPr>
        <xdr:cNvPr id="305" name="Shape 2"/>
        <xdr:cNvGrpSpPr/>
      </xdr:nvGrpSpPr>
      <xdr:grpSpPr>
        <a:xfrm>
          <a:off x="2828160" y="1743120"/>
          <a:ext cx="1800" cy="77760"/>
          <a:chOff x="2828160" y="1743120"/>
          <a:chExt cx="1800" cy="77760"/>
        </a:xfrm>
      </xdr:grpSpPr>
      <xdr:cxnSp>
        <xdr:nvCxnSpPr>
          <xdr:cNvPr id="306" name="Shape 187"/>
          <xdr:cNvCxnSpPr/>
        </xdr:nvCxnSpPr>
        <xdr:spPr>
          <a:xfrm>
            <a:off x="2828160" y="1743120"/>
            <a:ext cx="2160" cy="78120"/>
          </a:xfrm>
          <a:prstGeom prst="straightConnector1">
            <a:avLst/>
          </a:prstGeom>
          <a:ln w="9525">
            <a:solidFill>
              <a:srgbClr val="000000"/>
            </a:solidFill>
            <a:miter/>
            <a:tailEnd len="med" type="triangle" w="med"/>
          </a:ln>
        </xdr:spPr>
      </xdr:cxnSp>
    </xdr:grpSp>
    <xdr:clientData/>
  </xdr:twoCellAnchor>
  <xdr:twoCellAnchor editAs="oneCell">
    <xdr:from>
      <xdr:col>4</xdr:col>
      <xdr:colOff>342360</xdr:colOff>
      <xdr:row>56</xdr:row>
      <xdr:rowOff>66600</xdr:rowOff>
    </xdr:from>
    <xdr:to>
      <xdr:col>4</xdr:col>
      <xdr:colOff>592200</xdr:colOff>
      <xdr:row>56</xdr:row>
      <xdr:rowOff>68400</xdr:rowOff>
    </xdr:to>
    <xdr:grpSp>
      <xdr:nvGrpSpPr>
        <xdr:cNvPr id="307" name="Shape 2"/>
        <xdr:cNvGrpSpPr/>
      </xdr:nvGrpSpPr>
      <xdr:grpSpPr>
        <a:xfrm>
          <a:off x="2846880" y="14601600"/>
          <a:ext cx="249840" cy="1800"/>
          <a:chOff x="2846880" y="14601600"/>
          <a:chExt cx="249840" cy="1800"/>
        </a:xfrm>
      </xdr:grpSpPr>
      <xdr:cxnSp>
        <xdr:nvCxnSpPr>
          <xdr:cNvPr id="308" name="Shape 186"/>
          <xdr:cNvCxnSpPr/>
        </xdr:nvCxnSpPr>
        <xdr:spPr>
          <a:xfrm flipH="1">
            <a:off x="2846880" y="14601600"/>
            <a:ext cx="250200" cy="2160"/>
          </a:xfrm>
          <a:prstGeom prst="straightConnector1">
            <a:avLst/>
          </a:prstGeom>
          <a:ln w="9525">
            <a:solidFill>
              <a:srgbClr val="000000"/>
            </a:solidFill>
            <a:miter/>
          </a:ln>
        </xdr:spPr>
      </xdr:cxnSp>
    </xdr:grpSp>
    <xdr:clientData/>
  </xdr:twoCellAnchor>
  <xdr:twoCellAnchor editAs="oneCell">
    <xdr:from>
      <xdr:col>4</xdr:col>
      <xdr:colOff>323640</xdr:colOff>
      <xdr:row>56</xdr:row>
      <xdr:rowOff>85680</xdr:rowOff>
    </xdr:from>
    <xdr:to>
      <xdr:col>4</xdr:col>
      <xdr:colOff>325440</xdr:colOff>
      <xdr:row>57</xdr:row>
      <xdr:rowOff>1440</xdr:rowOff>
    </xdr:to>
    <xdr:grpSp>
      <xdr:nvGrpSpPr>
        <xdr:cNvPr id="309" name="Shape 2"/>
        <xdr:cNvGrpSpPr/>
      </xdr:nvGrpSpPr>
      <xdr:grpSpPr>
        <a:xfrm>
          <a:off x="2828160" y="14620680"/>
          <a:ext cx="1800" cy="77760"/>
          <a:chOff x="2828160" y="14620680"/>
          <a:chExt cx="1800" cy="77760"/>
        </a:xfrm>
      </xdr:grpSpPr>
      <xdr:cxnSp>
        <xdr:nvCxnSpPr>
          <xdr:cNvPr id="310" name="Shape 187"/>
          <xdr:cNvCxnSpPr/>
        </xdr:nvCxnSpPr>
        <xdr:spPr>
          <a:xfrm>
            <a:off x="2828160" y="14620680"/>
            <a:ext cx="2160" cy="78120"/>
          </a:xfrm>
          <a:prstGeom prst="straightConnector1">
            <a:avLst/>
          </a:prstGeom>
          <a:ln w="9525">
            <a:solidFill>
              <a:srgbClr val="000000"/>
            </a:solidFill>
            <a:miter/>
            <a:tailEnd len="med" type="triangle" w="med"/>
          </a:ln>
        </xdr:spPr>
      </xdr:cxnSp>
    </xdr:grpSp>
    <xdr:clientData/>
  </xdr:twoCellAnchor>
  <xdr:twoCellAnchor editAs="oneCell">
    <xdr:from>
      <xdr:col>3</xdr:col>
      <xdr:colOff>95040</xdr:colOff>
      <xdr:row>33</xdr:row>
      <xdr:rowOff>9360</xdr:rowOff>
    </xdr:from>
    <xdr:to>
      <xdr:col>3</xdr:col>
      <xdr:colOff>96840</xdr:colOff>
      <xdr:row>34</xdr:row>
      <xdr:rowOff>1800</xdr:rowOff>
    </xdr:to>
    <xdr:grpSp>
      <xdr:nvGrpSpPr>
        <xdr:cNvPr id="311" name="Shape 2"/>
        <xdr:cNvGrpSpPr/>
      </xdr:nvGrpSpPr>
      <xdr:grpSpPr>
        <a:xfrm>
          <a:off x="1973520" y="8753400"/>
          <a:ext cx="1800" cy="192240"/>
          <a:chOff x="1973520" y="8753400"/>
          <a:chExt cx="1800" cy="192240"/>
        </a:xfrm>
      </xdr:grpSpPr>
      <xdr:cxnSp>
        <xdr:nvCxnSpPr>
          <xdr:cNvPr id="312" name="Shape 81"/>
          <xdr:cNvCxnSpPr/>
        </xdr:nvCxnSpPr>
        <xdr:spPr>
          <a:xfrm flipV="1">
            <a:off x="1973520" y="8753400"/>
            <a:ext cx="2160" cy="192600"/>
          </a:xfrm>
          <a:prstGeom prst="straightConnector1">
            <a:avLst/>
          </a:prstGeom>
          <a:ln w="19050">
            <a:solidFill>
              <a:srgbClr val="000000"/>
            </a:solidFill>
            <a:miter/>
            <a:tailEnd len="med" type="triangle" w="med"/>
          </a:ln>
        </xdr:spPr>
      </xdr:cxnSp>
    </xdr:grpSp>
    <xdr:clientData/>
  </xdr:twoCellAnchor>
  <xdr:twoCellAnchor editAs="oneCell">
    <xdr:from>
      <xdr:col>10</xdr:col>
      <xdr:colOff>228600</xdr:colOff>
      <xdr:row>33</xdr:row>
      <xdr:rowOff>9360</xdr:rowOff>
    </xdr:from>
    <xdr:to>
      <xdr:col>10</xdr:col>
      <xdr:colOff>230400</xdr:colOff>
      <xdr:row>34</xdr:row>
      <xdr:rowOff>1800</xdr:rowOff>
    </xdr:to>
    <xdr:grpSp>
      <xdr:nvGrpSpPr>
        <xdr:cNvPr id="313" name="Shape 2"/>
        <xdr:cNvGrpSpPr/>
      </xdr:nvGrpSpPr>
      <xdr:grpSpPr>
        <a:xfrm>
          <a:off x="6955920" y="8753400"/>
          <a:ext cx="1800" cy="192240"/>
          <a:chOff x="6955920" y="8753400"/>
          <a:chExt cx="1800" cy="192240"/>
        </a:xfrm>
      </xdr:grpSpPr>
      <xdr:cxnSp>
        <xdr:nvCxnSpPr>
          <xdr:cNvPr id="314" name="Shape 188"/>
          <xdr:cNvCxnSpPr/>
        </xdr:nvCxnSpPr>
        <xdr:spPr>
          <a:xfrm>
            <a:off x="6955920" y="8753400"/>
            <a:ext cx="2160" cy="192600"/>
          </a:xfrm>
          <a:prstGeom prst="straightConnector1">
            <a:avLst/>
          </a:prstGeom>
          <a:ln w="19050">
            <a:solidFill>
              <a:srgbClr val="000000"/>
            </a:solidFill>
            <a:miter/>
            <a:tailEnd len="med" type="triangle" w="med"/>
          </a:ln>
        </xdr:spPr>
      </xdr:cxnSp>
    </xdr:grpSp>
    <xdr:clientData/>
  </xdr:twoCellAnchor>
  <xdr:twoCellAnchor editAs="oneCell">
    <xdr:from>
      <xdr:col>4</xdr:col>
      <xdr:colOff>342360</xdr:colOff>
      <xdr:row>22</xdr:row>
      <xdr:rowOff>47520</xdr:rowOff>
    </xdr:from>
    <xdr:to>
      <xdr:col>4</xdr:col>
      <xdr:colOff>592200</xdr:colOff>
      <xdr:row>22</xdr:row>
      <xdr:rowOff>49320</xdr:rowOff>
    </xdr:to>
    <xdr:grpSp>
      <xdr:nvGrpSpPr>
        <xdr:cNvPr id="315" name="Shape 2"/>
        <xdr:cNvGrpSpPr/>
      </xdr:nvGrpSpPr>
      <xdr:grpSpPr>
        <a:xfrm>
          <a:off x="2846880" y="4952880"/>
          <a:ext cx="249840" cy="1800"/>
          <a:chOff x="2846880" y="4952880"/>
          <a:chExt cx="249840" cy="1800"/>
        </a:xfrm>
      </xdr:grpSpPr>
      <xdr:cxnSp>
        <xdr:nvCxnSpPr>
          <xdr:cNvPr id="316" name="Shape 186"/>
          <xdr:cNvCxnSpPr/>
        </xdr:nvCxnSpPr>
        <xdr:spPr>
          <a:xfrm flipH="1">
            <a:off x="2846880" y="4952880"/>
            <a:ext cx="250200" cy="2160"/>
          </a:xfrm>
          <a:prstGeom prst="straightConnector1">
            <a:avLst/>
          </a:prstGeom>
          <a:ln w="9525">
            <a:solidFill>
              <a:srgbClr val="000000"/>
            </a:solidFill>
            <a:miter/>
          </a:ln>
        </xdr:spPr>
      </xdr:cxnSp>
    </xdr:grpSp>
    <xdr:clientData/>
  </xdr:twoCellAnchor>
  <xdr:twoCellAnchor editAs="oneCell">
    <xdr:from>
      <xdr:col>4</xdr:col>
      <xdr:colOff>323640</xdr:colOff>
      <xdr:row>22</xdr:row>
      <xdr:rowOff>66600</xdr:rowOff>
    </xdr:from>
    <xdr:to>
      <xdr:col>4</xdr:col>
      <xdr:colOff>325440</xdr:colOff>
      <xdr:row>22</xdr:row>
      <xdr:rowOff>154080</xdr:rowOff>
    </xdr:to>
    <xdr:grpSp>
      <xdr:nvGrpSpPr>
        <xdr:cNvPr id="317" name="Shape 2"/>
        <xdr:cNvGrpSpPr/>
      </xdr:nvGrpSpPr>
      <xdr:grpSpPr>
        <a:xfrm>
          <a:off x="2828160" y="4971960"/>
          <a:ext cx="1800" cy="87480"/>
          <a:chOff x="2828160" y="4971960"/>
          <a:chExt cx="1800" cy="87480"/>
        </a:xfrm>
      </xdr:grpSpPr>
      <xdr:cxnSp>
        <xdr:nvCxnSpPr>
          <xdr:cNvPr id="318" name="Shape 189"/>
          <xdr:cNvCxnSpPr/>
        </xdr:nvCxnSpPr>
        <xdr:spPr>
          <a:xfrm>
            <a:off x="2828160" y="4971960"/>
            <a:ext cx="2160" cy="87840"/>
          </a:xfrm>
          <a:prstGeom prst="straightConnector1">
            <a:avLst/>
          </a:prstGeom>
          <a:ln w="9525">
            <a:solidFill>
              <a:srgbClr val="000000"/>
            </a:solidFill>
            <a:miter/>
            <a:tailEnd len="med" type="triangle" w="med"/>
          </a:ln>
        </xdr:spPr>
      </xdr:cxnSp>
    </xdr:grpSp>
    <xdr:clientData/>
  </xdr:twoCellAnchor>
  <xdr:twoCellAnchor editAs="oneCell">
    <xdr:from>
      <xdr:col>4</xdr:col>
      <xdr:colOff>304560</xdr:colOff>
      <xdr:row>39</xdr:row>
      <xdr:rowOff>85680</xdr:rowOff>
    </xdr:from>
    <xdr:to>
      <xdr:col>4</xdr:col>
      <xdr:colOff>306360</xdr:colOff>
      <xdr:row>40</xdr:row>
      <xdr:rowOff>20520</xdr:rowOff>
    </xdr:to>
    <xdr:grpSp>
      <xdr:nvGrpSpPr>
        <xdr:cNvPr id="319" name="Shape 2"/>
        <xdr:cNvGrpSpPr/>
      </xdr:nvGrpSpPr>
      <xdr:grpSpPr>
        <a:xfrm>
          <a:off x="2809080" y="9848880"/>
          <a:ext cx="1800" cy="96840"/>
          <a:chOff x="2809080" y="9848880"/>
          <a:chExt cx="1800" cy="96840"/>
        </a:xfrm>
      </xdr:grpSpPr>
      <xdr:cxnSp>
        <xdr:nvCxnSpPr>
          <xdr:cNvPr id="320" name="Shape 190"/>
          <xdr:cNvCxnSpPr/>
        </xdr:nvCxnSpPr>
        <xdr:spPr>
          <a:xfrm>
            <a:off x="2809080" y="9848880"/>
            <a:ext cx="2160" cy="97200"/>
          </a:xfrm>
          <a:prstGeom prst="straightConnector1">
            <a:avLst/>
          </a:prstGeom>
          <a:ln w="9525">
            <a:solidFill>
              <a:srgbClr val="000000"/>
            </a:solidFill>
            <a:miter/>
            <a:tailEnd len="med" type="triangle" w="med"/>
          </a:ln>
        </xdr:spPr>
      </xdr:cxnSp>
    </xdr:grpSp>
    <xdr:clientData/>
  </xdr:twoCellAnchor>
  <xdr:twoCellAnchor editAs="oneCell">
    <xdr:from>
      <xdr:col>4</xdr:col>
      <xdr:colOff>342360</xdr:colOff>
      <xdr:row>39</xdr:row>
      <xdr:rowOff>66600</xdr:rowOff>
    </xdr:from>
    <xdr:to>
      <xdr:col>4</xdr:col>
      <xdr:colOff>592200</xdr:colOff>
      <xdr:row>39</xdr:row>
      <xdr:rowOff>68400</xdr:rowOff>
    </xdr:to>
    <xdr:grpSp>
      <xdr:nvGrpSpPr>
        <xdr:cNvPr id="321" name="Shape 2"/>
        <xdr:cNvGrpSpPr/>
      </xdr:nvGrpSpPr>
      <xdr:grpSpPr>
        <a:xfrm>
          <a:off x="2846880" y="9829800"/>
          <a:ext cx="249840" cy="1800"/>
          <a:chOff x="2846880" y="9829800"/>
          <a:chExt cx="249840" cy="1800"/>
        </a:xfrm>
      </xdr:grpSpPr>
      <xdr:cxnSp>
        <xdr:nvCxnSpPr>
          <xdr:cNvPr id="322" name="Shape 186"/>
          <xdr:cNvCxnSpPr/>
        </xdr:nvCxnSpPr>
        <xdr:spPr>
          <a:xfrm flipH="1">
            <a:off x="2846880" y="9829800"/>
            <a:ext cx="250200" cy="2160"/>
          </a:xfrm>
          <a:prstGeom prst="straightConnector1">
            <a:avLst/>
          </a:prstGeom>
          <a:ln w="9525">
            <a:solidFill>
              <a:srgbClr val="000000"/>
            </a:solidFill>
            <a:miter/>
          </a:ln>
        </xdr:spPr>
      </xdr:cxnSp>
    </xdr:grp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38</xdr:col>
      <xdr:colOff>447840</xdr:colOff>
      <xdr:row>1</xdr:row>
      <xdr:rowOff>9360</xdr:rowOff>
    </xdr:from>
    <xdr:to>
      <xdr:col>47</xdr:col>
      <xdr:colOff>744480</xdr:colOff>
      <xdr:row>38</xdr:row>
      <xdr:rowOff>140400</xdr:rowOff>
    </xdr:to>
    <xdr:graphicFrame>
      <xdr:nvGraphicFramePr>
        <xdr:cNvPr id="323" name="Chart 2"/>
        <xdr:cNvGraphicFramePr/>
      </xdr:nvGraphicFramePr>
      <xdr:xfrm>
        <a:off x="25252200" y="237960"/>
        <a:ext cx="7093800" cy="63223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85320</xdr:colOff>
      <xdr:row>4</xdr:row>
      <xdr:rowOff>28800</xdr:rowOff>
    </xdr:from>
    <xdr:to>
      <xdr:col>2</xdr:col>
      <xdr:colOff>426240</xdr:colOff>
      <xdr:row>6</xdr:row>
      <xdr:rowOff>45720</xdr:rowOff>
    </xdr:to>
    <xdr:sp>
      <xdr:nvSpPr>
        <xdr:cNvPr id="324" name="Shape 191"/>
        <xdr:cNvSpPr/>
      </xdr:nvSpPr>
      <xdr:spPr>
        <a:xfrm rot="19920000">
          <a:off x="1337040" y="723960"/>
          <a:ext cx="340920" cy="321840"/>
        </a:xfrm>
        <a:prstGeom prst="rect">
          <a:avLst/>
        </a:prstGeom>
        <a:solidFill>
          <a:srgbClr val="3366ff"/>
        </a:solidFill>
        <a:ln w="9525">
          <a:solidFill>
            <a:srgbClr val="000000"/>
          </a:solidFill>
          <a:miter/>
        </a:ln>
      </xdr:spPr>
      <xdr:style>
        <a:lnRef idx="0"/>
        <a:fillRef idx="0"/>
        <a:effectRef idx="0"/>
        <a:fontRef idx="minor"/>
      </xdr:style>
    </xdr:sp>
    <xdr:clientData/>
  </xdr:twoCellAnchor>
  <xdr:twoCellAnchor editAs="oneCell">
    <xdr:from>
      <xdr:col>2</xdr:col>
      <xdr:colOff>114120</xdr:colOff>
      <xdr:row>3</xdr:row>
      <xdr:rowOff>85680</xdr:rowOff>
    </xdr:from>
    <xdr:to>
      <xdr:col>2</xdr:col>
      <xdr:colOff>115920</xdr:colOff>
      <xdr:row>4</xdr:row>
      <xdr:rowOff>87480</xdr:rowOff>
    </xdr:to>
    <xdr:grpSp>
      <xdr:nvGrpSpPr>
        <xdr:cNvPr id="325" name="Shape 2"/>
        <xdr:cNvGrpSpPr/>
      </xdr:nvGrpSpPr>
      <xdr:grpSpPr>
        <a:xfrm>
          <a:off x="1366200" y="628560"/>
          <a:ext cx="1800" cy="154080"/>
          <a:chOff x="1366200" y="628560"/>
          <a:chExt cx="1800" cy="154080"/>
        </a:xfrm>
      </xdr:grpSpPr>
      <xdr:cxnSp>
        <xdr:nvCxnSpPr>
          <xdr:cNvPr id="326" name="Shape 192"/>
          <xdr:cNvCxnSpPr/>
        </xdr:nvCxnSpPr>
        <xdr:spPr>
          <a:xfrm>
            <a:off x="1366200" y="628560"/>
            <a:ext cx="2160" cy="154440"/>
          </a:xfrm>
          <a:prstGeom prst="straightConnector1">
            <a:avLst/>
          </a:prstGeom>
          <a:ln w="19050">
            <a:solidFill>
              <a:srgbClr val="000000"/>
            </a:solidFill>
            <a:miter/>
          </a:ln>
        </xdr:spPr>
      </xdr:cxnSp>
    </xdr:grpSp>
    <xdr:clientData/>
  </xdr:twoCellAnchor>
  <xdr:twoCellAnchor editAs="oneCell">
    <xdr:from>
      <xdr:col>2</xdr:col>
      <xdr:colOff>152280</xdr:colOff>
      <xdr:row>18</xdr:row>
      <xdr:rowOff>136080</xdr:rowOff>
    </xdr:from>
    <xdr:to>
      <xdr:col>2</xdr:col>
      <xdr:colOff>359640</xdr:colOff>
      <xdr:row>22</xdr:row>
      <xdr:rowOff>38880</xdr:rowOff>
    </xdr:to>
    <xdr:sp>
      <xdr:nvSpPr>
        <xdr:cNvPr id="327" name="Shape 193"/>
        <xdr:cNvSpPr/>
      </xdr:nvSpPr>
      <xdr:spPr>
        <a:xfrm rot="15300000">
          <a:off x="1251720" y="3117240"/>
          <a:ext cx="512280" cy="207360"/>
        </a:xfrm>
        <a:prstGeom prst="moon">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2</xdr:col>
      <xdr:colOff>218880</xdr:colOff>
      <xdr:row>5</xdr:row>
      <xdr:rowOff>37800</xdr:rowOff>
    </xdr:from>
    <xdr:to>
      <xdr:col>2</xdr:col>
      <xdr:colOff>258840</xdr:colOff>
      <xdr:row>20</xdr:row>
      <xdr:rowOff>77760</xdr:rowOff>
    </xdr:to>
    <xdr:grpSp>
      <xdr:nvGrpSpPr>
        <xdr:cNvPr id="328" name="Shape 2"/>
        <xdr:cNvGrpSpPr/>
      </xdr:nvGrpSpPr>
      <xdr:grpSpPr>
        <a:xfrm>
          <a:off x="1470960" y="885600"/>
          <a:ext cx="39960" cy="2325960"/>
          <a:chOff x="1470960" y="885600"/>
          <a:chExt cx="39960" cy="2325960"/>
        </a:xfrm>
      </xdr:grpSpPr>
      <xdr:cxnSp>
        <xdr:nvCxnSpPr>
          <xdr:cNvPr id="329" name="Shape 194"/>
          <xdr:cNvCxnSpPr/>
        </xdr:nvCxnSpPr>
        <xdr:spPr>
          <a:xfrm flipH="1">
            <a:off x="1470960" y="885600"/>
            <a:ext cx="40320" cy="2326320"/>
          </a:xfrm>
          <a:prstGeom prst="straightConnector1">
            <a:avLst/>
          </a:prstGeom>
          <a:ln w="28575">
            <a:solidFill>
              <a:srgbClr val="ff0000"/>
            </a:solidFill>
            <a:miter/>
            <a:headEnd len="med" type="triangle" w="med"/>
          </a:ln>
        </xdr:spPr>
      </xdr:cxnSp>
    </xdr:grpSp>
    <xdr:clientData/>
  </xdr:twoCellAnchor>
  <xdr:twoCellAnchor editAs="oneCell">
    <xdr:from>
      <xdr:col>2</xdr:col>
      <xdr:colOff>237960</xdr:colOff>
      <xdr:row>5</xdr:row>
      <xdr:rowOff>28440</xdr:rowOff>
    </xdr:from>
    <xdr:to>
      <xdr:col>3</xdr:col>
      <xdr:colOff>251640</xdr:colOff>
      <xdr:row>13</xdr:row>
      <xdr:rowOff>116280</xdr:rowOff>
    </xdr:to>
    <xdr:grpSp>
      <xdr:nvGrpSpPr>
        <xdr:cNvPr id="330" name="Shape 2"/>
        <xdr:cNvGrpSpPr/>
      </xdr:nvGrpSpPr>
      <xdr:grpSpPr>
        <a:xfrm>
          <a:off x="1490040" y="876240"/>
          <a:ext cx="640080" cy="1306800"/>
          <a:chOff x="1490040" y="876240"/>
          <a:chExt cx="640080" cy="1306800"/>
        </a:xfrm>
      </xdr:grpSpPr>
      <xdr:cxnSp>
        <xdr:nvCxnSpPr>
          <xdr:cNvPr id="331" name="Shape 195"/>
          <xdr:cNvCxnSpPr/>
        </xdr:nvCxnSpPr>
        <xdr:spPr>
          <a:xfrm>
            <a:off x="1490040" y="876240"/>
            <a:ext cx="640440" cy="1307160"/>
          </a:xfrm>
          <a:prstGeom prst="straightConnector1">
            <a:avLst/>
          </a:prstGeom>
          <a:ln w="9525">
            <a:solidFill>
              <a:srgbClr val="000000"/>
            </a:solidFill>
            <a:miter/>
          </a:ln>
        </xdr:spPr>
      </xdr:cxnSp>
    </xdr:grpSp>
    <xdr:clientData/>
  </xdr:twoCellAnchor>
  <xdr:twoCellAnchor editAs="oneCell">
    <xdr:from>
      <xdr:col>1</xdr:col>
      <xdr:colOff>533160</xdr:colOff>
      <xdr:row>11</xdr:row>
      <xdr:rowOff>47520</xdr:rowOff>
    </xdr:from>
    <xdr:to>
      <xdr:col>2</xdr:col>
      <xdr:colOff>204120</xdr:colOff>
      <xdr:row>20</xdr:row>
      <xdr:rowOff>58680</xdr:rowOff>
    </xdr:to>
    <xdr:grpSp>
      <xdr:nvGrpSpPr>
        <xdr:cNvPr id="332" name="Shape 2"/>
        <xdr:cNvGrpSpPr/>
      </xdr:nvGrpSpPr>
      <xdr:grpSpPr>
        <a:xfrm>
          <a:off x="1159200" y="1809720"/>
          <a:ext cx="297000" cy="1382760"/>
          <a:chOff x="1159200" y="1809720"/>
          <a:chExt cx="297000" cy="1382760"/>
        </a:xfrm>
      </xdr:grpSpPr>
      <xdr:cxnSp>
        <xdr:nvCxnSpPr>
          <xdr:cNvPr id="333" name="Shape 196"/>
          <xdr:cNvCxnSpPr/>
        </xdr:nvCxnSpPr>
        <xdr:spPr>
          <a:xfrm flipH="1" flipV="1">
            <a:off x="1159200" y="1809720"/>
            <a:ext cx="297360" cy="1383120"/>
          </a:xfrm>
          <a:prstGeom prst="straightConnector1">
            <a:avLst/>
          </a:prstGeom>
          <a:ln w="9525">
            <a:solidFill>
              <a:srgbClr val="000000"/>
            </a:solidFill>
            <a:miter/>
          </a:ln>
        </xdr:spPr>
      </xdr:cxnSp>
    </xdr:grpSp>
    <xdr:clientData/>
  </xdr:twoCellAnchor>
  <xdr:twoCellAnchor editAs="oneCell">
    <xdr:from>
      <xdr:col>2</xdr:col>
      <xdr:colOff>476280</xdr:colOff>
      <xdr:row>12</xdr:row>
      <xdr:rowOff>66600</xdr:rowOff>
    </xdr:from>
    <xdr:to>
      <xdr:col>2</xdr:col>
      <xdr:colOff>607320</xdr:colOff>
      <xdr:row>13</xdr:row>
      <xdr:rowOff>93240</xdr:rowOff>
    </xdr:to>
    <xdr:sp>
      <xdr:nvSpPr>
        <xdr:cNvPr id="334" name="Shape 197"/>
        <xdr:cNvSpPr/>
      </xdr:nvSpPr>
      <xdr:spPr>
        <a:xfrm>
          <a:off x="1728360" y="1981080"/>
          <a:ext cx="1310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a:t>
          </a:r>
          <a:endParaRPr b="0" lang="en-US" sz="800" strike="noStrike" u="none">
            <a:effectLst/>
            <a:uFillTx/>
            <a:latin typeface="Times New Roman"/>
          </a:endParaRPr>
        </a:p>
      </xdr:txBody>
    </xdr:sp>
    <xdr:clientData/>
  </xdr:twoCellAnchor>
  <xdr:twoCellAnchor editAs="oneCell">
    <xdr:from>
      <xdr:col>2</xdr:col>
      <xdr:colOff>266400</xdr:colOff>
      <xdr:row>13</xdr:row>
      <xdr:rowOff>37800</xdr:rowOff>
    </xdr:from>
    <xdr:to>
      <xdr:col>2</xdr:col>
      <xdr:colOff>459000</xdr:colOff>
      <xdr:row>13</xdr:row>
      <xdr:rowOff>96840</xdr:rowOff>
    </xdr:to>
    <xdr:grpSp>
      <xdr:nvGrpSpPr>
        <xdr:cNvPr id="335" name="Shape 2"/>
        <xdr:cNvGrpSpPr/>
      </xdr:nvGrpSpPr>
      <xdr:grpSpPr>
        <a:xfrm>
          <a:off x="1518480" y="2104560"/>
          <a:ext cx="192600" cy="59040"/>
          <a:chOff x="1518480" y="2104560"/>
          <a:chExt cx="192600" cy="59040"/>
        </a:xfrm>
      </xdr:grpSpPr>
      <xdr:cxnSp>
        <xdr:nvCxnSpPr>
          <xdr:cNvPr id="336" name="Shape 198"/>
          <xdr:cNvCxnSpPr/>
        </xdr:nvCxnSpPr>
        <xdr:spPr>
          <a:xfrm flipH="1">
            <a:off x="1518480" y="2104560"/>
            <a:ext cx="192960" cy="59400"/>
          </a:xfrm>
          <a:prstGeom prst="straightConnector1">
            <a:avLst/>
          </a:prstGeom>
          <a:ln w="9525">
            <a:solidFill>
              <a:srgbClr val="000000"/>
            </a:solidFill>
            <a:miter/>
            <a:tailEnd len="med" type="triangle" w="med"/>
          </a:ln>
        </xdr:spPr>
      </xdr:cxnSp>
    </xdr:grpSp>
    <xdr:clientData/>
  </xdr:twoCellAnchor>
  <xdr:twoCellAnchor editAs="oneCell">
    <xdr:from>
      <xdr:col>3</xdr:col>
      <xdr:colOff>18720</xdr:colOff>
      <xdr:row>12</xdr:row>
      <xdr:rowOff>37800</xdr:rowOff>
    </xdr:from>
    <xdr:to>
      <xdr:col>3</xdr:col>
      <xdr:colOff>163440</xdr:colOff>
      <xdr:row>12</xdr:row>
      <xdr:rowOff>125280</xdr:rowOff>
    </xdr:to>
    <xdr:grpSp>
      <xdr:nvGrpSpPr>
        <xdr:cNvPr id="337" name="Shape 2"/>
        <xdr:cNvGrpSpPr/>
      </xdr:nvGrpSpPr>
      <xdr:grpSpPr>
        <a:xfrm>
          <a:off x="1897200" y="1952280"/>
          <a:ext cx="144720" cy="87480"/>
          <a:chOff x="1897200" y="1952280"/>
          <a:chExt cx="144720" cy="87480"/>
        </a:xfrm>
      </xdr:grpSpPr>
      <xdr:cxnSp>
        <xdr:nvCxnSpPr>
          <xdr:cNvPr id="338" name="Shape 199"/>
          <xdr:cNvCxnSpPr/>
        </xdr:nvCxnSpPr>
        <xdr:spPr>
          <a:xfrm flipV="1">
            <a:off x="1897200" y="1952280"/>
            <a:ext cx="145080" cy="87840"/>
          </a:xfrm>
          <a:prstGeom prst="straightConnector1">
            <a:avLst/>
          </a:prstGeom>
          <a:ln w="9525">
            <a:solidFill>
              <a:srgbClr val="000000"/>
            </a:solidFill>
            <a:miter/>
            <a:tailEnd len="med" type="triangle" w="med"/>
          </a:ln>
        </xdr:spPr>
      </xdr:cxnSp>
    </xdr:grpSp>
    <xdr:clientData/>
  </xdr:twoCellAnchor>
  <xdr:twoCellAnchor editAs="oneCell">
    <xdr:from>
      <xdr:col>2</xdr:col>
      <xdr:colOff>9360</xdr:colOff>
      <xdr:row>11</xdr:row>
      <xdr:rowOff>66600</xdr:rowOff>
    </xdr:from>
    <xdr:to>
      <xdr:col>2</xdr:col>
      <xdr:colOff>140400</xdr:colOff>
      <xdr:row>12</xdr:row>
      <xdr:rowOff>93240</xdr:rowOff>
    </xdr:to>
    <xdr:sp>
      <xdr:nvSpPr>
        <xdr:cNvPr id="339" name="Shape 200"/>
        <xdr:cNvSpPr/>
      </xdr:nvSpPr>
      <xdr:spPr>
        <a:xfrm>
          <a:off x="1261440" y="1828800"/>
          <a:ext cx="1310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1</a:t>
          </a:r>
          <a:endParaRPr b="0" lang="en-US" sz="800" strike="noStrike" u="none">
            <a:effectLst/>
            <a:uFillTx/>
            <a:latin typeface="Times New Roman"/>
          </a:endParaRPr>
        </a:p>
      </xdr:txBody>
    </xdr:sp>
    <xdr:clientData/>
  </xdr:twoCellAnchor>
  <xdr:twoCellAnchor editAs="oneCell">
    <xdr:from>
      <xdr:col>2</xdr:col>
      <xdr:colOff>171360</xdr:colOff>
      <xdr:row>11</xdr:row>
      <xdr:rowOff>66600</xdr:rowOff>
    </xdr:from>
    <xdr:to>
      <xdr:col>2</xdr:col>
      <xdr:colOff>258840</xdr:colOff>
      <xdr:row>11</xdr:row>
      <xdr:rowOff>106560</xdr:rowOff>
    </xdr:to>
    <xdr:grpSp>
      <xdr:nvGrpSpPr>
        <xdr:cNvPr id="340" name="Shape 2"/>
        <xdr:cNvGrpSpPr/>
      </xdr:nvGrpSpPr>
      <xdr:grpSpPr>
        <a:xfrm>
          <a:off x="1423440" y="1828800"/>
          <a:ext cx="87480" cy="39960"/>
          <a:chOff x="1423440" y="1828800"/>
          <a:chExt cx="87480" cy="39960"/>
        </a:xfrm>
      </xdr:grpSpPr>
      <xdr:cxnSp>
        <xdr:nvCxnSpPr>
          <xdr:cNvPr id="341" name="Shape 201"/>
          <xdr:cNvCxnSpPr/>
        </xdr:nvCxnSpPr>
        <xdr:spPr>
          <a:xfrm flipV="1">
            <a:off x="1423440" y="1828800"/>
            <a:ext cx="87840" cy="40320"/>
          </a:xfrm>
          <a:prstGeom prst="straightConnector1">
            <a:avLst/>
          </a:prstGeom>
          <a:ln w="9525">
            <a:solidFill>
              <a:srgbClr val="000000"/>
            </a:solidFill>
            <a:miter/>
            <a:tailEnd len="med" type="triangle" w="med"/>
          </a:ln>
        </xdr:spPr>
      </xdr:cxnSp>
    </xdr:grpSp>
    <xdr:clientData/>
  </xdr:twoCellAnchor>
  <xdr:twoCellAnchor editAs="oneCell">
    <xdr:from>
      <xdr:col>1</xdr:col>
      <xdr:colOff>561600</xdr:colOff>
      <xdr:row>11</xdr:row>
      <xdr:rowOff>142560</xdr:rowOff>
    </xdr:from>
    <xdr:to>
      <xdr:col>1</xdr:col>
      <xdr:colOff>620640</xdr:colOff>
      <xdr:row>12</xdr:row>
      <xdr:rowOff>30240</xdr:rowOff>
    </xdr:to>
    <xdr:grpSp>
      <xdr:nvGrpSpPr>
        <xdr:cNvPr id="342" name="Shape 2"/>
        <xdr:cNvGrpSpPr/>
      </xdr:nvGrpSpPr>
      <xdr:grpSpPr>
        <a:xfrm>
          <a:off x="1187640" y="1904760"/>
          <a:ext cx="59040" cy="39960"/>
          <a:chOff x="1187640" y="1904760"/>
          <a:chExt cx="59040" cy="39960"/>
        </a:xfrm>
      </xdr:grpSpPr>
      <xdr:cxnSp>
        <xdr:nvCxnSpPr>
          <xdr:cNvPr id="343" name="Shape 202"/>
          <xdr:cNvCxnSpPr/>
        </xdr:nvCxnSpPr>
        <xdr:spPr>
          <a:xfrm flipH="1">
            <a:off x="1187640" y="1904760"/>
            <a:ext cx="59400" cy="40320"/>
          </a:xfrm>
          <a:prstGeom prst="straightConnector1">
            <a:avLst/>
          </a:prstGeom>
          <a:ln w="9525">
            <a:solidFill>
              <a:srgbClr val="000000"/>
            </a:solidFill>
            <a:miter/>
            <a:tailEnd len="med" type="triangle" w="med"/>
          </a:ln>
        </xdr:spPr>
      </xdr:cxnSp>
    </xdr:grpSp>
    <xdr:clientData/>
  </xdr:twoCellAnchor>
  <xdr:twoCellAnchor editAs="oneCell">
    <xdr:from>
      <xdr:col>2</xdr:col>
      <xdr:colOff>133200</xdr:colOff>
      <xdr:row>20</xdr:row>
      <xdr:rowOff>123840</xdr:rowOff>
    </xdr:from>
    <xdr:to>
      <xdr:col>2</xdr:col>
      <xdr:colOff>321480</xdr:colOff>
      <xdr:row>22</xdr:row>
      <xdr:rowOff>45720</xdr:rowOff>
    </xdr:to>
    <xdr:sp>
      <xdr:nvSpPr>
        <xdr:cNvPr id="344" name="Shape 203"/>
        <xdr:cNvSpPr/>
      </xdr:nvSpPr>
      <xdr:spPr>
        <a:xfrm>
          <a:off x="1385280" y="3257640"/>
          <a:ext cx="188280" cy="226440"/>
        </a:xfrm>
        <a:prstGeom prst="triangle">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1</xdr:col>
      <xdr:colOff>428400</xdr:colOff>
      <xdr:row>5</xdr:row>
      <xdr:rowOff>85680</xdr:rowOff>
    </xdr:from>
    <xdr:to>
      <xdr:col>2</xdr:col>
      <xdr:colOff>99360</xdr:colOff>
      <xdr:row>6</xdr:row>
      <xdr:rowOff>96840</xdr:rowOff>
    </xdr:to>
    <xdr:grpSp>
      <xdr:nvGrpSpPr>
        <xdr:cNvPr id="345" name="Shape 2"/>
        <xdr:cNvGrpSpPr/>
      </xdr:nvGrpSpPr>
      <xdr:grpSpPr>
        <a:xfrm>
          <a:off x="1054440" y="933480"/>
          <a:ext cx="297000" cy="163440"/>
          <a:chOff x="1054440" y="933480"/>
          <a:chExt cx="297000" cy="163440"/>
        </a:xfrm>
      </xdr:grpSpPr>
      <xdr:cxnSp>
        <xdr:nvCxnSpPr>
          <xdr:cNvPr id="346" name="Shape 204"/>
          <xdr:cNvCxnSpPr/>
        </xdr:nvCxnSpPr>
        <xdr:spPr>
          <a:xfrm flipH="1">
            <a:off x="1054440" y="933480"/>
            <a:ext cx="297360" cy="163800"/>
          </a:xfrm>
          <a:prstGeom prst="straightConnector1">
            <a:avLst/>
          </a:prstGeom>
          <a:ln w="9525">
            <a:solidFill>
              <a:srgbClr val="000000"/>
            </a:solidFill>
            <a:miter/>
          </a:ln>
        </xdr:spPr>
      </xdr:cxnSp>
    </xdr:grpSp>
    <xdr:clientData/>
  </xdr:twoCellAnchor>
  <xdr:twoCellAnchor editAs="oneCell">
    <xdr:from>
      <xdr:col>2</xdr:col>
      <xdr:colOff>371160</xdr:colOff>
      <xdr:row>3</xdr:row>
      <xdr:rowOff>123480</xdr:rowOff>
    </xdr:from>
    <xdr:to>
      <xdr:col>3</xdr:col>
      <xdr:colOff>42120</xdr:colOff>
      <xdr:row>4</xdr:row>
      <xdr:rowOff>125640</xdr:rowOff>
    </xdr:to>
    <xdr:grpSp>
      <xdr:nvGrpSpPr>
        <xdr:cNvPr id="347" name="Shape 2"/>
        <xdr:cNvGrpSpPr/>
      </xdr:nvGrpSpPr>
      <xdr:grpSpPr>
        <a:xfrm>
          <a:off x="1623240" y="666360"/>
          <a:ext cx="297360" cy="154440"/>
          <a:chOff x="1623240" y="666360"/>
          <a:chExt cx="297360" cy="154440"/>
        </a:xfrm>
      </xdr:grpSpPr>
      <xdr:cxnSp>
        <xdr:nvCxnSpPr>
          <xdr:cNvPr id="348" name="Shape 205"/>
          <xdr:cNvCxnSpPr/>
        </xdr:nvCxnSpPr>
        <xdr:spPr>
          <a:xfrm flipH="1">
            <a:off x="1623240" y="666360"/>
            <a:ext cx="297720" cy="154800"/>
          </a:xfrm>
          <a:prstGeom prst="straightConnector1">
            <a:avLst/>
          </a:prstGeom>
          <a:ln w="9525">
            <a:solidFill>
              <a:srgbClr val="000000"/>
            </a:solidFill>
            <a:miter/>
          </a:ln>
        </xdr:spPr>
      </xdr:cxnSp>
    </xdr:grpSp>
    <xdr:clientData/>
  </xdr:twoCellAnchor>
  <xdr:twoCellAnchor editAs="oneCell">
    <xdr:from>
      <xdr:col>2</xdr:col>
      <xdr:colOff>229680</xdr:colOff>
      <xdr:row>5</xdr:row>
      <xdr:rowOff>75600</xdr:rowOff>
    </xdr:from>
    <xdr:to>
      <xdr:col>2</xdr:col>
      <xdr:colOff>437040</xdr:colOff>
      <xdr:row>6</xdr:row>
      <xdr:rowOff>102240</xdr:rowOff>
    </xdr:to>
    <xdr:sp>
      <xdr:nvSpPr>
        <xdr:cNvPr id="349" name="Shape 206"/>
        <xdr:cNvSpPr/>
      </xdr:nvSpPr>
      <xdr:spPr>
        <a:xfrm rot="3420000">
          <a:off x="1495800" y="909000"/>
          <a:ext cx="178920" cy="207360"/>
        </a:xfrm>
        <a:prstGeom prst="moon">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6</xdr:col>
      <xdr:colOff>56880</xdr:colOff>
      <xdr:row>4</xdr:row>
      <xdr:rowOff>19440</xdr:rowOff>
    </xdr:from>
    <xdr:to>
      <xdr:col>6</xdr:col>
      <xdr:colOff>397800</xdr:colOff>
      <xdr:row>6</xdr:row>
      <xdr:rowOff>26640</xdr:rowOff>
    </xdr:to>
    <xdr:sp>
      <xdr:nvSpPr>
        <xdr:cNvPr id="350" name="Shape 207"/>
        <xdr:cNvSpPr/>
      </xdr:nvSpPr>
      <xdr:spPr>
        <a:xfrm rot="19920000">
          <a:off x="3884040" y="714240"/>
          <a:ext cx="340920" cy="312120"/>
        </a:xfrm>
        <a:prstGeom prst="rect">
          <a:avLst/>
        </a:prstGeom>
        <a:solidFill>
          <a:srgbClr val="3366ff"/>
        </a:solidFill>
        <a:ln w="9525">
          <a:solidFill>
            <a:srgbClr val="000000"/>
          </a:solidFill>
          <a:miter/>
        </a:ln>
      </xdr:spPr>
      <xdr:style>
        <a:lnRef idx="0"/>
        <a:fillRef idx="0"/>
        <a:effectRef idx="0"/>
        <a:fontRef idx="minor"/>
      </xdr:style>
    </xdr:sp>
    <xdr:clientData/>
  </xdr:twoCellAnchor>
  <xdr:twoCellAnchor editAs="oneCell">
    <xdr:from>
      <xdr:col>6</xdr:col>
      <xdr:colOff>95040</xdr:colOff>
      <xdr:row>3</xdr:row>
      <xdr:rowOff>75960</xdr:rowOff>
    </xdr:from>
    <xdr:to>
      <xdr:col>6</xdr:col>
      <xdr:colOff>96840</xdr:colOff>
      <xdr:row>4</xdr:row>
      <xdr:rowOff>87480</xdr:rowOff>
    </xdr:to>
    <xdr:grpSp>
      <xdr:nvGrpSpPr>
        <xdr:cNvPr id="351" name="Shape 2"/>
        <xdr:cNvGrpSpPr/>
      </xdr:nvGrpSpPr>
      <xdr:grpSpPr>
        <a:xfrm>
          <a:off x="3922200" y="618840"/>
          <a:ext cx="1800" cy="163800"/>
          <a:chOff x="3922200" y="618840"/>
          <a:chExt cx="1800" cy="163800"/>
        </a:xfrm>
      </xdr:grpSpPr>
      <xdr:cxnSp>
        <xdr:nvCxnSpPr>
          <xdr:cNvPr id="352" name="Shape 208"/>
          <xdr:cNvCxnSpPr/>
        </xdr:nvCxnSpPr>
        <xdr:spPr>
          <a:xfrm>
            <a:off x="3922200" y="618840"/>
            <a:ext cx="2160" cy="164160"/>
          </a:xfrm>
          <a:prstGeom prst="straightConnector1">
            <a:avLst/>
          </a:prstGeom>
          <a:ln w="19050">
            <a:solidFill>
              <a:srgbClr val="000000"/>
            </a:solidFill>
            <a:miter/>
          </a:ln>
        </xdr:spPr>
      </xdr:cxnSp>
    </xdr:grpSp>
    <xdr:clientData/>
  </xdr:twoCellAnchor>
  <xdr:twoCellAnchor editAs="oneCell">
    <xdr:from>
      <xdr:col>6</xdr:col>
      <xdr:colOff>93240</xdr:colOff>
      <xdr:row>18</xdr:row>
      <xdr:rowOff>121320</xdr:rowOff>
    </xdr:from>
    <xdr:to>
      <xdr:col>6</xdr:col>
      <xdr:colOff>300600</xdr:colOff>
      <xdr:row>22</xdr:row>
      <xdr:rowOff>33480</xdr:rowOff>
    </xdr:to>
    <xdr:sp>
      <xdr:nvSpPr>
        <xdr:cNvPr id="353" name="Shape 209"/>
        <xdr:cNvSpPr/>
      </xdr:nvSpPr>
      <xdr:spPr>
        <a:xfrm rot="15300000">
          <a:off x="3763440" y="3107160"/>
          <a:ext cx="521640" cy="207360"/>
        </a:xfrm>
        <a:prstGeom prst="moon">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6</xdr:col>
      <xdr:colOff>209520</xdr:colOff>
      <xdr:row>5</xdr:row>
      <xdr:rowOff>18720</xdr:rowOff>
    </xdr:from>
    <xdr:to>
      <xdr:col>6</xdr:col>
      <xdr:colOff>249120</xdr:colOff>
      <xdr:row>20</xdr:row>
      <xdr:rowOff>58680</xdr:rowOff>
    </xdr:to>
    <xdr:grpSp>
      <xdr:nvGrpSpPr>
        <xdr:cNvPr id="354" name="Shape 2"/>
        <xdr:cNvGrpSpPr/>
      </xdr:nvGrpSpPr>
      <xdr:grpSpPr>
        <a:xfrm>
          <a:off x="4036680" y="866520"/>
          <a:ext cx="39600" cy="2325960"/>
          <a:chOff x="4036680" y="866520"/>
          <a:chExt cx="39600" cy="2325960"/>
        </a:xfrm>
      </xdr:grpSpPr>
      <xdr:cxnSp>
        <xdr:nvCxnSpPr>
          <xdr:cNvPr id="355" name="Shape 210"/>
          <xdr:cNvCxnSpPr/>
        </xdr:nvCxnSpPr>
        <xdr:spPr>
          <a:xfrm flipH="1">
            <a:off x="4036680" y="866520"/>
            <a:ext cx="39960" cy="2326320"/>
          </a:xfrm>
          <a:prstGeom prst="straightConnector1">
            <a:avLst/>
          </a:prstGeom>
          <a:ln w="28575">
            <a:solidFill>
              <a:srgbClr val="ff0000"/>
            </a:solidFill>
            <a:miter/>
            <a:tailEnd len="med" type="triangle" w="med"/>
          </a:ln>
        </xdr:spPr>
      </xdr:cxnSp>
    </xdr:grpSp>
    <xdr:clientData/>
  </xdr:twoCellAnchor>
  <xdr:twoCellAnchor editAs="oneCell">
    <xdr:from>
      <xdr:col>6</xdr:col>
      <xdr:colOff>228600</xdr:colOff>
      <xdr:row>5</xdr:row>
      <xdr:rowOff>9360</xdr:rowOff>
    </xdr:from>
    <xdr:to>
      <xdr:col>7</xdr:col>
      <xdr:colOff>232920</xdr:colOff>
      <xdr:row>13</xdr:row>
      <xdr:rowOff>97200</xdr:rowOff>
    </xdr:to>
    <xdr:grpSp>
      <xdr:nvGrpSpPr>
        <xdr:cNvPr id="356" name="Shape 2"/>
        <xdr:cNvGrpSpPr/>
      </xdr:nvGrpSpPr>
      <xdr:grpSpPr>
        <a:xfrm>
          <a:off x="4055760" y="857160"/>
          <a:ext cx="630360" cy="1306800"/>
          <a:chOff x="4055760" y="857160"/>
          <a:chExt cx="630360" cy="1306800"/>
        </a:xfrm>
      </xdr:grpSpPr>
      <xdr:cxnSp>
        <xdr:nvCxnSpPr>
          <xdr:cNvPr id="357" name="Shape 211"/>
          <xdr:cNvCxnSpPr/>
        </xdr:nvCxnSpPr>
        <xdr:spPr>
          <a:xfrm>
            <a:off x="4055760" y="857160"/>
            <a:ext cx="630720" cy="1307160"/>
          </a:xfrm>
          <a:prstGeom prst="straightConnector1">
            <a:avLst/>
          </a:prstGeom>
          <a:ln w="9525">
            <a:solidFill>
              <a:srgbClr val="000000"/>
            </a:solidFill>
            <a:miter/>
          </a:ln>
        </xdr:spPr>
      </xdr:cxnSp>
    </xdr:grpSp>
    <xdr:clientData/>
  </xdr:twoCellAnchor>
  <xdr:twoCellAnchor editAs="oneCell">
    <xdr:from>
      <xdr:col>5</xdr:col>
      <xdr:colOff>504720</xdr:colOff>
      <xdr:row>11</xdr:row>
      <xdr:rowOff>37800</xdr:rowOff>
    </xdr:from>
    <xdr:to>
      <xdr:col>6</xdr:col>
      <xdr:colOff>175680</xdr:colOff>
      <xdr:row>20</xdr:row>
      <xdr:rowOff>49320</xdr:rowOff>
    </xdr:to>
    <xdr:grpSp>
      <xdr:nvGrpSpPr>
        <xdr:cNvPr id="358" name="Shape 2"/>
        <xdr:cNvGrpSpPr/>
      </xdr:nvGrpSpPr>
      <xdr:grpSpPr>
        <a:xfrm>
          <a:off x="3705840" y="1800000"/>
          <a:ext cx="297000" cy="1383120"/>
          <a:chOff x="3705840" y="1800000"/>
          <a:chExt cx="297000" cy="1383120"/>
        </a:xfrm>
      </xdr:grpSpPr>
      <xdr:cxnSp>
        <xdr:nvCxnSpPr>
          <xdr:cNvPr id="359" name="Shape 196"/>
          <xdr:cNvCxnSpPr/>
        </xdr:nvCxnSpPr>
        <xdr:spPr>
          <a:xfrm flipH="1" flipV="1">
            <a:off x="3705840" y="1800000"/>
            <a:ext cx="297360" cy="1383480"/>
          </a:xfrm>
          <a:prstGeom prst="straightConnector1">
            <a:avLst/>
          </a:prstGeom>
          <a:ln w="9525">
            <a:solidFill>
              <a:srgbClr val="000000"/>
            </a:solidFill>
            <a:miter/>
          </a:ln>
        </xdr:spPr>
      </xdr:cxnSp>
    </xdr:grpSp>
    <xdr:clientData/>
  </xdr:twoCellAnchor>
  <xdr:twoCellAnchor editAs="oneCell">
    <xdr:from>
      <xdr:col>6</xdr:col>
      <xdr:colOff>457200</xdr:colOff>
      <xdr:row>12</xdr:row>
      <xdr:rowOff>66600</xdr:rowOff>
    </xdr:from>
    <xdr:to>
      <xdr:col>6</xdr:col>
      <xdr:colOff>607320</xdr:colOff>
      <xdr:row>13</xdr:row>
      <xdr:rowOff>93240</xdr:rowOff>
    </xdr:to>
    <xdr:sp>
      <xdr:nvSpPr>
        <xdr:cNvPr id="360" name="Shape 212"/>
        <xdr:cNvSpPr/>
      </xdr:nvSpPr>
      <xdr:spPr>
        <a:xfrm>
          <a:off x="4284360" y="1981080"/>
          <a:ext cx="1501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3</a:t>
          </a:r>
          <a:endParaRPr b="0" lang="en-US" sz="800" strike="noStrike" u="none">
            <a:effectLst/>
            <a:uFillTx/>
            <a:latin typeface="Times New Roman"/>
          </a:endParaRPr>
        </a:p>
      </xdr:txBody>
    </xdr:sp>
    <xdr:clientData/>
  </xdr:twoCellAnchor>
  <xdr:twoCellAnchor editAs="oneCell">
    <xdr:from>
      <xdr:col>6</xdr:col>
      <xdr:colOff>237960</xdr:colOff>
      <xdr:row>13</xdr:row>
      <xdr:rowOff>37800</xdr:rowOff>
    </xdr:from>
    <xdr:to>
      <xdr:col>6</xdr:col>
      <xdr:colOff>430200</xdr:colOff>
      <xdr:row>13</xdr:row>
      <xdr:rowOff>96840</xdr:rowOff>
    </xdr:to>
    <xdr:grpSp>
      <xdr:nvGrpSpPr>
        <xdr:cNvPr id="361" name="Shape 2"/>
        <xdr:cNvGrpSpPr/>
      </xdr:nvGrpSpPr>
      <xdr:grpSpPr>
        <a:xfrm>
          <a:off x="4065120" y="2104560"/>
          <a:ext cx="192240" cy="59040"/>
          <a:chOff x="4065120" y="2104560"/>
          <a:chExt cx="192240" cy="59040"/>
        </a:xfrm>
      </xdr:grpSpPr>
      <xdr:cxnSp>
        <xdr:nvCxnSpPr>
          <xdr:cNvPr id="362" name="Shape 198"/>
          <xdr:cNvCxnSpPr/>
        </xdr:nvCxnSpPr>
        <xdr:spPr>
          <a:xfrm flipH="1">
            <a:off x="4065120" y="2104560"/>
            <a:ext cx="192600" cy="59400"/>
          </a:xfrm>
          <a:prstGeom prst="straightConnector1">
            <a:avLst/>
          </a:prstGeom>
          <a:ln w="9525">
            <a:solidFill>
              <a:srgbClr val="000000"/>
            </a:solidFill>
            <a:miter/>
            <a:tailEnd len="med" type="triangle" w="med"/>
          </a:ln>
        </xdr:spPr>
      </xdr:cxnSp>
    </xdr:grpSp>
    <xdr:clientData/>
  </xdr:twoCellAnchor>
  <xdr:twoCellAnchor editAs="oneCell">
    <xdr:from>
      <xdr:col>7</xdr:col>
      <xdr:colOff>9360</xdr:colOff>
      <xdr:row>12</xdr:row>
      <xdr:rowOff>37800</xdr:rowOff>
    </xdr:from>
    <xdr:to>
      <xdr:col>7</xdr:col>
      <xdr:colOff>154080</xdr:colOff>
      <xdr:row>12</xdr:row>
      <xdr:rowOff>125280</xdr:rowOff>
    </xdr:to>
    <xdr:grpSp>
      <xdr:nvGrpSpPr>
        <xdr:cNvPr id="363" name="Shape 2"/>
        <xdr:cNvGrpSpPr/>
      </xdr:nvGrpSpPr>
      <xdr:grpSpPr>
        <a:xfrm>
          <a:off x="4462560" y="1952280"/>
          <a:ext cx="144720" cy="87480"/>
          <a:chOff x="4462560" y="1952280"/>
          <a:chExt cx="144720" cy="87480"/>
        </a:xfrm>
      </xdr:grpSpPr>
      <xdr:cxnSp>
        <xdr:nvCxnSpPr>
          <xdr:cNvPr id="364" name="Shape 199"/>
          <xdr:cNvCxnSpPr/>
        </xdr:nvCxnSpPr>
        <xdr:spPr>
          <a:xfrm flipV="1">
            <a:off x="4462560" y="1952280"/>
            <a:ext cx="145080" cy="87840"/>
          </a:xfrm>
          <a:prstGeom prst="straightConnector1">
            <a:avLst/>
          </a:prstGeom>
          <a:ln w="9525">
            <a:solidFill>
              <a:srgbClr val="000000"/>
            </a:solidFill>
            <a:miter/>
            <a:tailEnd len="med" type="triangle" w="med"/>
          </a:ln>
        </xdr:spPr>
      </xdr:cxnSp>
    </xdr:grpSp>
    <xdr:clientData/>
  </xdr:twoCellAnchor>
  <xdr:twoCellAnchor editAs="oneCell">
    <xdr:from>
      <xdr:col>6</xdr:col>
      <xdr:colOff>0</xdr:colOff>
      <xdr:row>11</xdr:row>
      <xdr:rowOff>38160</xdr:rowOff>
    </xdr:from>
    <xdr:to>
      <xdr:col>6</xdr:col>
      <xdr:colOff>121680</xdr:colOff>
      <xdr:row>12</xdr:row>
      <xdr:rowOff>64800</xdr:rowOff>
    </xdr:to>
    <xdr:sp>
      <xdr:nvSpPr>
        <xdr:cNvPr id="365" name="Shape 213"/>
        <xdr:cNvSpPr/>
      </xdr:nvSpPr>
      <xdr:spPr>
        <a:xfrm>
          <a:off x="3827160" y="1800360"/>
          <a:ext cx="121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4</a:t>
          </a:r>
          <a:endParaRPr b="0" lang="en-US" sz="800" strike="noStrike" u="none">
            <a:effectLst/>
            <a:uFillTx/>
            <a:latin typeface="Times New Roman"/>
          </a:endParaRPr>
        </a:p>
      </xdr:txBody>
    </xdr:sp>
    <xdr:clientData/>
  </xdr:twoCellAnchor>
  <xdr:twoCellAnchor editAs="oneCell">
    <xdr:from>
      <xdr:col>6</xdr:col>
      <xdr:colOff>152280</xdr:colOff>
      <xdr:row>11</xdr:row>
      <xdr:rowOff>47520</xdr:rowOff>
    </xdr:from>
    <xdr:to>
      <xdr:col>6</xdr:col>
      <xdr:colOff>239760</xdr:colOff>
      <xdr:row>11</xdr:row>
      <xdr:rowOff>87480</xdr:rowOff>
    </xdr:to>
    <xdr:grpSp>
      <xdr:nvGrpSpPr>
        <xdr:cNvPr id="366" name="Shape 2"/>
        <xdr:cNvGrpSpPr/>
      </xdr:nvGrpSpPr>
      <xdr:grpSpPr>
        <a:xfrm>
          <a:off x="3979440" y="1809720"/>
          <a:ext cx="87480" cy="39960"/>
          <a:chOff x="3979440" y="1809720"/>
          <a:chExt cx="87480" cy="39960"/>
        </a:xfrm>
      </xdr:grpSpPr>
      <xdr:cxnSp>
        <xdr:nvCxnSpPr>
          <xdr:cNvPr id="367" name="Shape 201"/>
          <xdr:cNvCxnSpPr/>
        </xdr:nvCxnSpPr>
        <xdr:spPr>
          <a:xfrm flipV="1">
            <a:off x="3979440" y="1809720"/>
            <a:ext cx="87840" cy="40320"/>
          </a:xfrm>
          <a:prstGeom prst="straightConnector1">
            <a:avLst/>
          </a:prstGeom>
          <a:ln w="9525">
            <a:solidFill>
              <a:srgbClr val="000000"/>
            </a:solidFill>
            <a:miter/>
            <a:tailEnd len="med" type="triangle" w="med"/>
          </a:ln>
        </xdr:spPr>
      </xdr:cxnSp>
    </xdr:grpSp>
    <xdr:clientData/>
  </xdr:twoCellAnchor>
  <xdr:twoCellAnchor editAs="oneCell">
    <xdr:from>
      <xdr:col>5</xdr:col>
      <xdr:colOff>542880</xdr:colOff>
      <xdr:row>11</xdr:row>
      <xdr:rowOff>123480</xdr:rowOff>
    </xdr:from>
    <xdr:to>
      <xdr:col>5</xdr:col>
      <xdr:colOff>620640</xdr:colOff>
      <xdr:row>12</xdr:row>
      <xdr:rowOff>11160</xdr:rowOff>
    </xdr:to>
    <xdr:grpSp>
      <xdr:nvGrpSpPr>
        <xdr:cNvPr id="368" name="Shape 2"/>
        <xdr:cNvGrpSpPr/>
      </xdr:nvGrpSpPr>
      <xdr:grpSpPr>
        <a:xfrm>
          <a:off x="3744000" y="1885680"/>
          <a:ext cx="77760" cy="39960"/>
          <a:chOff x="3744000" y="1885680"/>
          <a:chExt cx="77760" cy="39960"/>
        </a:xfrm>
      </xdr:grpSpPr>
      <xdr:cxnSp>
        <xdr:nvCxnSpPr>
          <xdr:cNvPr id="369" name="Shape 214"/>
          <xdr:cNvCxnSpPr/>
        </xdr:nvCxnSpPr>
        <xdr:spPr>
          <a:xfrm flipH="1">
            <a:off x="3744000" y="1885680"/>
            <a:ext cx="78120" cy="40320"/>
          </a:xfrm>
          <a:prstGeom prst="straightConnector1">
            <a:avLst/>
          </a:prstGeom>
          <a:ln w="9525">
            <a:solidFill>
              <a:srgbClr val="000000"/>
            </a:solidFill>
            <a:miter/>
            <a:tailEnd len="med" type="triangle" w="med"/>
          </a:ln>
        </xdr:spPr>
      </xdr:cxnSp>
    </xdr:grpSp>
    <xdr:clientData/>
  </xdr:twoCellAnchor>
  <xdr:twoCellAnchor editAs="oneCell">
    <xdr:from>
      <xdr:col>6</xdr:col>
      <xdr:colOff>123840</xdr:colOff>
      <xdr:row>20</xdr:row>
      <xdr:rowOff>123840</xdr:rowOff>
    </xdr:from>
    <xdr:to>
      <xdr:col>6</xdr:col>
      <xdr:colOff>302760</xdr:colOff>
      <xdr:row>22</xdr:row>
      <xdr:rowOff>45720</xdr:rowOff>
    </xdr:to>
    <xdr:sp>
      <xdr:nvSpPr>
        <xdr:cNvPr id="370" name="Shape 215"/>
        <xdr:cNvSpPr/>
      </xdr:nvSpPr>
      <xdr:spPr>
        <a:xfrm>
          <a:off x="3951000" y="3257640"/>
          <a:ext cx="178920" cy="226440"/>
        </a:xfrm>
        <a:prstGeom prst="triangle">
          <a:avLst>
            <a:gd name="adj" fmla="val 50000"/>
          </a:avLst>
        </a:prstGeom>
        <a:solidFill>
          <a:srgbClr val="969696"/>
        </a:solidFill>
        <a:ln w="9525">
          <a:solidFill>
            <a:srgbClr val="000000"/>
          </a:solidFill>
          <a:miter/>
        </a:ln>
      </xdr:spPr>
      <xdr:style>
        <a:lnRef idx="0"/>
        <a:fillRef idx="0"/>
        <a:effectRef idx="0"/>
        <a:fontRef idx="minor"/>
      </xdr:style>
    </xdr:sp>
    <xdr:clientData/>
  </xdr:twoCellAnchor>
  <xdr:twoCellAnchor editAs="oneCell">
    <xdr:from>
      <xdr:col>5</xdr:col>
      <xdr:colOff>409320</xdr:colOff>
      <xdr:row>5</xdr:row>
      <xdr:rowOff>85680</xdr:rowOff>
    </xdr:from>
    <xdr:to>
      <xdr:col>6</xdr:col>
      <xdr:colOff>80280</xdr:colOff>
      <xdr:row>6</xdr:row>
      <xdr:rowOff>87480</xdr:rowOff>
    </xdr:to>
    <xdr:grpSp>
      <xdr:nvGrpSpPr>
        <xdr:cNvPr id="371" name="Shape 2"/>
        <xdr:cNvGrpSpPr/>
      </xdr:nvGrpSpPr>
      <xdr:grpSpPr>
        <a:xfrm>
          <a:off x="3610440" y="933480"/>
          <a:ext cx="297000" cy="154080"/>
          <a:chOff x="3610440" y="933480"/>
          <a:chExt cx="297000" cy="154080"/>
        </a:xfrm>
      </xdr:grpSpPr>
      <xdr:cxnSp>
        <xdr:nvCxnSpPr>
          <xdr:cNvPr id="372" name="Shape 205"/>
          <xdr:cNvCxnSpPr/>
        </xdr:nvCxnSpPr>
        <xdr:spPr>
          <a:xfrm flipH="1">
            <a:off x="3610440" y="933480"/>
            <a:ext cx="297360" cy="154440"/>
          </a:xfrm>
          <a:prstGeom prst="straightConnector1">
            <a:avLst/>
          </a:prstGeom>
          <a:ln w="9525">
            <a:solidFill>
              <a:srgbClr val="000000"/>
            </a:solidFill>
            <a:miter/>
          </a:ln>
        </xdr:spPr>
      </xdr:cxnSp>
    </xdr:grpSp>
    <xdr:clientData/>
  </xdr:twoCellAnchor>
  <xdr:twoCellAnchor editAs="oneCell">
    <xdr:from>
      <xdr:col>6</xdr:col>
      <xdr:colOff>352080</xdr:colOff>
      <xdr:row>3</xdr:row>
      <xdr:rowOff>114120</xdr:rowOff>
    </xdr:from>
    <xdr:to>
      <xdr:col>7</xdr:col>
      <xdr:colOff>23400</xdr:colOff>
      <xdr:row>4</xdr:row>
      <xdr:rowOff>115920</xdr:rowOff>
    </xdr:to>
    <xdr:grpSp>
      <xdr:nvGrpSpPr>
        <xdr:cNvPr id="373" name="Shape 2"/>
        <xdr:cNvGrpSpPr/>
      </xdr:nvGrpSpPr>
      <xdr:grpSpPr>
        <a:xfrm>
          <a:off x="4179240" y="657000"/>
          <a:ext cx="297360" cy="154080"/>
          <a:chOff x="4179240" y="657000"/>
          <a:chExt cx="297360" cy="154080"/>
        </a:xfrm>
      </xdr:grpSpPr>
      <xdr:cxnSp>
        <xdr:nvCxnSpPr>
          <xdr:cNvPr id="374" name="Shape 205"/>
          <xdr:cNvCxnSpPr/>
        </xdr:nvCxnSpPr>
        <xdr:spPr>
          <a:xfrm flipH="1">
            <a:off x="4179240" y="657000"/>
            <a:ext cx="297720" cy="154440"/>
          </a:xfrm>
          <a:prstGeom prst="straightConnector1">
            <a:avLst/>
          </a:prstGeom>
          <a:ln w="9525">
            <a:solidFill>
              <a:srgbClr val="000000"/>
            </a:solidFill>
            <a:miter/>
          </a:ln>
        </xdr:spPr>
      </xdr:cxnSp>
    </xdr:grpSp>
    <xdr:clientData/>
  </xdr:twoCellAnchor>
  <xdr:twoCellAnchor editAs="oneCell">
    <xdr:from>
      <xdr:col>6</xdr:col>
      <xdr:colOff>220680</xdr:colOff>
      <xdr:row>5</xdr:row>
      <xdr:rowOff>75600</xdr:rowOff>
    </xdr:from>
    <xdr:to>
      <xdr:col>6</xdr:col>
      <xdr:colOff>408960</xdr:colOff>
      <xdr:row>6</xdr:row>
      <xdr:rowOff>83160</xdr:rowOff>
    </xdr:to>
    <xdr:sp>
      <xdr:nvSpPr>
        <xdr:cNvPr id="375" name="Shape 216"/>
        <xdr:cNvSpPr/>
      </xdr:nvSpPr>
      <xdr:spPr>
        <a:xfrm rot="3420000">
          <a:off x="4061880" y="909360"/>
          <a:ext cx="159840" cy="188280"/>
        </a:xfrm>
        <a:prstGeom prst="moon">
          <a:avLst>
            <a:gd name="adj" fmla="val 50000"/>
          </a:avLst>
        </a:prstGeom>
        <a:solidFill>
          <a:srgbClr val="ffffff"/>
        </a:solidFill>
        <a:ln w="9525">
          <a:solidFill>
            <a:srgbClr val="000000"/>
          </a:solidFill>
          <a:miter/>
        </a:ln>
      </xdr:spPr>
      <xdr:style>
        <a:lnRef idx="0"/>
        <a:fillRef idx="0"/>
        <a:effectRef idx="0"/>
        <a:fontRef idx="minor"/>
      </xdr:style>
    </xdr:sp>
    <xdr:clientData/>
  </xdr:twoCellAnchor>
  <xdr:twoCellAnchor editAs="oneCell">
    <xdr:from>
      <xdr:col>1</xdr:col>
      <xdr:colOff>561960</xdr:colOff>
      <xdr:row>3</xdr:row>
      <xdr:rowOff>66600</xdr:rowOff>
    </xdr:from>
    <xdr:to>
      <xdr:col>2</xdr:col>
      <xdr:colOff>86040</xdr:colOff>
      <xdr:row>4</xdr:row>
      <xdr:rowOff>74160</xdr:rowOff>
    </xdr:to>
    <xdr:sp>
      <xdr:nvSpPr>
        <xdr:cNvPr id="376" name="Shape 217"/>
        <xdr:cNvSpPr/>
      </xdr:nvSpPr>
      <xdr:spPr>
        <a:xfrm>
          <a:off x="1188000" y="609480"/>
          <a:ext cx="15012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1</xdr:col>
      <xdr:colOff>324000</xdr:colOff>
      <xdr:row>6</xdr:row>
      <xdr:rowOff>28440</xdr:rowOff>
    </xdr:from>
    <xdr:to>
      <xdr:col>1</xdr:col>
      <xdr:colOff>474120</xdr:colOff>
      <xdr:row>7</xdr:row>
      <xdr:rowOff>36000</xdr:rowOff>
    </xdr:to>
    <xdr:sp>
      <xdr:nvSpPr>
        <xdr:cNvPr id="377" name="Shape 218"/>
        <xdr:cNvSpPr/>
      </xdr:nvSpPr>
      <xdr:spPr>
        <a:xfrm>
          <a:off x="950040" y="1028520"/>
          <a:ext cx="15012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+X</a:t>
          </a:r>
          <a:endParaRPr b="0" lang="en-US" sz="800" strike="noStrike" u="none">
            <a:effectLst/>
            <a:uFillTx/>
            <a:latin typeface="Times New Roman"/>
          </a:endParaRPr>
        </a:p>
      </xdr:txBody>
    </xdr:sp>
    <xdr:clientData/>
  </xdr:twoCellAnchor>
  <xdr:twoCellAnchor editAs="oneCell">
    <xdr:from>
      <xdr:col>2</xdr:col>
      <xdr:colOff>343080</xdr:colOff>
      <xdr:row>6</xdr:row>
      <xdr:rowOff>123840</xdr:rowOff>
    </xdr:from>
    <xdr:to>
      <xdr:col>2</xdr:col>
      <xdr:colOff>455400</xdr:colOff>
      <xdr:row>7</xdr:row>
      <xdr:rowOff>131400</xdr:rowOff>
    </xdr:to>
    <xdr:sp>
      <xdr:nvSpPr>
        <xdr:cNvPr id="378" name="Shape 219"/>
        <xdr:cNvSpPr/>
      </xdr:nvSpPr>
      <xdr:spPr>
        <a:xfrm>
          <a:off x="1595160" y="1123920"/>
          <a:ext cx="11232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5</xdr:col>
      <xdr:colOff>542880</xdr:colOff>
      <xdr:row>2</xdr:row>
      <xdr:rowOff>104760</xdr:rowOff>
    </xdr:from>
    <xdr:to>
      <xdr:col>6</xdr:col>
      <xdr:colOff>66960</xdr:colOff>
      <xdr:row>3</xdr:row>
      <xdr:rowOff>102600</xdr:rowOff>
    </xdr:to>
    <xdr:sp>
      <xdr:nvSpPr>
        <xdr:cNvPr id="379" name="Shape 220"/>
        <xdr:cNvSpPr/>
      </xdr:nvSpPr>
      <xdr:spPr>
        <a:xfrm>
          <a:off x="3744000" y="495360"/>
          <a:ext cx="150120" cy="150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5</xdr:col>
      <xdr:colOff>276120</xdr:colOff>
      <xdr:row>6</xdr:row>
      <xdr:rowOff>9360</xdr:rowOff>
    </xdr:from>
    <xdr:to>
      <xdr:col>5</xdr:col>
      <xdr:colOff>426240</xdr:colOff>
      <xdr:row>7</xdr:row>
      <xdr:rowOff>16920</xdr:rowOff>
    </xdr:to>
    <xdr:sp>
      <xdr:nvSpPr>
        <xdr:cNvPr id="380" name="Shape 221"/>
        <xdr:cNvSpPr/>
      </xdr:nvSpPr>
      <xdr:spPr>
        <a:xfrm>
          <a:off x="3477240" y="1009440"/>
          <a:ext cx="15012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+X</a:t>
          </a:r>
          <a:endParaRPr b="0" lang="en-US" sz="800" strike="noStrike" u="none">
            <a:effectLst/>
            <a:uFillTx/>
            <a:latin typeface="Times New Roman"/>
          </a:endParaRPr>
        </a:p>
      </xdr:txBody>
    </xdr:sp>
    <xdr:clientData/>
  </xdr:twoCellAnchor>
  <xdr:twoCellAnchor editAs="oneCell">
    <xdr:from>
      <xdr:col>6</xdr:col>
      <xdr:colOff>276120</xdr:colOff>
      <xdr:row>6</xdr:row>
      <xdr:rowOff>66600</xdr:rowOff>
    </xdr:from>
    <xdr:to>
      <xdr:col>6</xdr:col>
      <xdr:colOff>388440</xdr:colOff>
      <xdr:row>7</xdr:row>
      <xdr:rowOff>74160</xdr:rowOff>
    </xdr:to>
    <xdr:sp>
      <xdr:nvSpPr>
        <xdr:cNvPr id="381" name="Shape 222"/>
        <xdr:cNvSpPr/>
      </xdr:nvSpPr>
      <xdr:spPr>
        <a:xfrm>
          <a:off x="4103280" y="1066680"/>
          <a:ext cx="112320" cy="1598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800" strike="noStrike" u="none">
              <a:solidFill>
                <a:srgbClr val="000000"/>
              </a:solidFill>
              <a:effectLst/>
              <a:uFillTx/>
              <a:latin typeface="Arial"/>
              <a:ea typeface="Arial"/>
            </a:rPr>
            <a:t>-Z</a:t>
          </a:r>
          <a:endParaRPr b="0" lang="en-US" sz="800" strike="noStrike" u="none">
            <a:effectLst/>
            <a:uFillTx/>
            <a:latin typeface="Times New Roman"/>
          </a:endParaRPr>
        </a:p>
      </xdr:txBody>
    </xdr:sp>
    <xdr:clientData/>
  </xdr:twoCellAnchor>
  <xdr:twoCellAnchor editAs="oneCell">
    <xdr:from>
      <xdr:col>4</xdr:col>
      <xdr:colOff>342000</xdr:colOff>
      <xdr:row>34</xdr:row>
      <xdr:rowOff>66600</xdr:rowOff>
    </xdr:from>
    <xdr:to>
      <xdr:col>4</xdr:col>
      <xdr:colOff>639720</xdr:colOff>
      <xdr:row>34</xdr:row>
      <xdr:rowOff>68400</xdr:rowOff>
    </xdr:to>
    <xdr:grpSp>
      <xdr:nvGrpSpPr>
        <xdr:cNvPr id="382" name="Shape 2"/>
        <xdr:cNvGrpSpPr/>
      </xdr:nvGrpSpPr>
      <xdr:grpSpPr>
        <a:xfrm>
          <a:off x="2846520" y="5543640"/>
          <a:ext cx="297720" cy="1800"/>
          <a:chOff x="2846520" y="5543640"/>
          <a:chExt cx="297720" cy="1800"/>
        </a:xfrm>
      </xdr:grpSpPr>
      <xdr:cxnSp>
        <xdr:nvCxnSpPr>
          <xdr:cNvPr id="383" name="Shape 223"/>
          <xdr:cNvCxnSpPr/>
        </xdr:nvCxnSpPr>
        <xdr:spPr>
          <a:xfrm flipH="1">
            <a:off x="2846520" y="5543640"/>
            <a:ext cx="298080" cy="2160"/>
          </a:xfrm>
          <a:prstGeom prst="straightConnector1">
            <a:avLst/>
          </a:prstGeom>
          <a:ln w="9525">
            <a:solidFill>
              <a:srgbClr val="000000"/>
            </a:solidFill>
            <a:miter/>
          </a:ln>
        </xdr:spPr>
      </xdr:cxnSp>
    </xdr:grpSp>
    <xdr:clientData/>
  </xdr:twoCellAnchor>
  <xdr:twoCellAnchor editAs="oneCell">
    <xdr:from>
      <xdr:col>4</xdr:col>
      <xdr:colOff>323640</xdr:colOff>
      <xdr:row>34</xdr:row>
      <xdr:rowOff>85680</xdr:rowOff>
    </xdr:from>
    <xdr:to>
      <xdr:col>4</xdr:col>
      <xdr:colOff>325440</xdr:colOff>
      <xdr:row>35</xdr:row>
      <xdr:rowOff>1800</xdr:rowOff>
    </xdr:to>
    <xdr:grpSp>
      <xdr:nvGrpSpPr>
        <xdr:cNvPr id="384" name="Shape 2"/>
        <xdr:cNvGrpSpPr/>
      </xdr:nvGrpSpPr>
      <xdr:grpSpPr>
        <a:xfrm>
          <a:off x="2828160" y="5562720"/>
          <a:ext cx="1800" cy="77760"/>
          <a:chOff x="2828160" y="5562720"/>
          <a:chExt cx="1800" cy="77760"/>
        </a:xfrm>
      </xdr:grpSpPr>
      <xdr:cxnSp>
        <xdr:nvCxnSpPr>
          <xdr:cNvPr id="385" name="Shape 187"/>
          <xdr:cNvCxnSpPr/>
        </xdr:nvCxnSpPr>
        <xdr:spPr>
          <a:xfrm>
            <a:off x="2828160" y="5562720"/>
            <a:ext cx="2160" cy="78120"/>
          </a:xfrm>
          <a:prstGeom prst="straightConnector1">
            <a:avLst/>
          </a:prstGeom>
          <a:ln w="9525">
            <a:solidFill>
              <a:srgbClr val="000000"/>
            </a:solidFill>
            <a:miter/>
            <a:tailEnd len="med" type="triangle" w="med"/>
          </a:ln>
        </xdr:spPr>
      </xdr:cxnSp>
    </xdr:grpSp>
    <xdr:clientData/>
  </xdr:twoCellAnchor>
  <xdr:twoCellAnchor editAs="oneCell">
    <xdr:from>
      <xdr:col>4</xdr:col>
      <xdr:colOff>342000</xdr:colOff>
      <xdr:row>50</xdr:row>
      <xdr:rowOff>47520</xdr:rowOff>
    </xdr:from>
    <xdr:to>
      <xdr:col>4</xdr:col>
      <xdr:colOff>639720</xdr:colOff>
      <xdr:row>50</xdr:row>
      <xdr:rowOff>49320</xdr:rowOff>
    </xdr:to>
    <xdr:grpSp>
      <xdr:nvGrpSpPr>
        <xdr:cNvPr id="386" name="Shape 2"/>
        <xdr:cNvGrpSpPr/>
      </xdr:nvGrpSpPr>
      <xdr:grpSpPr>
        <a:xfrm>
          <a:off x="2846520" y="9229680"/>
          <a:ext cx="297720" cy="1800"/>
          <a:chOff x="2846520" y="9229680"/>
          <a:chExt cx="297720" cy="1800"/>
        </a:xfrm>
      </xdr:grpSpPr>
      <xdr:cxnSp>
        <xdr:nvCxnSpPr>
          <xdr:cNvPr id="387" name="Shape 223"/>
          <xdr:cNvCxnSpPr/>
        </xdr:nvCxnSpPr>
        <xdr:spPr>
          <a:xfrm flipH="1">
            <a:off x="2846520" y="9229680"/>
            <a:ext cx="298080" cy="2160"/>
          </a:xfrm>
          <a:prstGeom prst="straightConnector1">
            <a:avLst/>
          </a:prstGeom>
          <a:ln w="9525">
            <a:solidFill>
              <a:srgbClr val="000000"/>
            </a:solidFill>
            <a:miter/>
          </a:ln>
        </xdr:spPr>
      </xdr:cxnSp>
    </xdr:grpSp>
    <xdr:clientData/>
  </xdr:twoCellAnchor>
  <xdr:twoCellAnchor editAs="oneCell">
    <xdr:from>
      <xdr:col>4</xdr:col>
      <xdr:colOff>323640</xdr:colOff>
      <xdr:row>50</xdr:row>
      <xdr:rowOff>66600</xdr:rowOff>
    </xdr:from>
    <xdr:to>
      <xdr:col>4</xdr:col>
      <xdr:colOff>325440</xdr:colOff>
      <xdr:row>50</xdr:row>
      <xdr:rowOff>154080</xdr:rowOff>
    </xdr:to>
    <xdr:grpSp>
      <xdr:nvGrpSpPr>
        <xdr:cNvPr id="388" name="Shape 2"/>
        <xdr:cNvGrpSpPr/>
      </xdr:nvGrpSpPr>
      <xdr:grpSpPr>
        <a:xfrm>
          <a:off x="2828160" y="9248760"/>
          <a:ext cx="1800" cy="87480"/>
          <a:chOff x="2828160" y="9248760"/>
          <a:chExt cx="1800" cy="87480"/>
        </a:xfrm>
      </xdr:grpSpPr>
      <xdr:cxnSp>
        <xdr:nvCxnSpPr>
          <xdr:cNvPr id="389" name="Shape 189"/>
          <xdr:cNvCxnSpPr/>
        </xdr:nvCxnSpPr>
        <xdr:spPr>
          <a:xfrm>
            <a:off x="2828160" y="9248760"/>
            <a:ext cx="2160" cy="87840"/>
          </a:xfrm>
          <a:prstGeom prst="straightConnector1">
            <a:avLst/>
          </a:prstGeom>
          <a:ln w="9525">
            <a:solidFill>
              <a:srgbClr val="000000"/>
            </a:solidFill>
            <a:miter/>
            <a:tailEnd len="med" type="triangle" w="med"/>
          </a:ln>
        </xdr:spPr>
      </xdr:cxnSp>
    </xdr:grpSp>
    <xdr:clientData/>
  </xdr:twoCellAnchor>
  <xdr:twoCellAnchor editAs="oneCell">
    <xdr:from>
      <xdr:col>3</xdr:col>
      <xdr:colOff>399960</xdr:colOff>
      <xdr:row>8</xdr:row>
      <xdr:rowOff>104760</xdr:rowOff>
    </xdr:from>
    <xdr:to>
      <xdr:col>5</xdr:col>
      <xdr:colOff>160920</xdr:colOff>
      <xdr:row>9</xdr:row>
      <xdr:rowOff>102600</xdr:rowOff>
    </xdr:to>
    <xdr:sp>
      <xdr:nvSpPr>
        <xdr:cNvPr id="390" name="Shape 224"/>
        <xdr:cNvSpPr/>
      </xdr:nvSpPr>
      <xdr:spPr>
        <a:xfrm>
          <a:off x="2278440" y="1409760"/>
          <a:ext cx="1083600" cy="1501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800" strike="noStrike" u="none">
              <a:solidFill>
                <a:srgbClr val="000000"/>
              </a:solidFill>
              <a:effectLst/>
              <a:uFillTx/>
              <a:latin typeface="Arial"/>
              <a:ea typeface="Arial"/>
            </a:rPr>
            <a:t>Spacecraft Symmetry Axis  </a:t>
          </a:r>
          <a:endParaRPr b="0" lang="en-US" sz="800" strike="noStrike" u="none">
            <a:effectLst/>
            <a:uFillTx/>
            <a:latin typeface="Times New Roman"/>
          </a:endParaRPr>
        </a:p>
      </xdr:txBody>
    </xdr:sp>
    <xdr:clientData/>
  </xdr:twoCellAnchor>
  <xdr:twoCellAnchor editAs="oneCell">
    <xdr:from>
      <xdr:col>2</xdr:col>
      <xdr:colOff>561960</xdr:colOff>
      <xdr:row>9</xdr:row>
      <xdr:rowOff>9360</xdr:rowOff>
    </xdr:from>
    <xdr:to>
      <xdr:col>3</xdr:col>
      <xdr:colOff>356400</xdr:colOff>
      <xdr:row>9</xdr:row>
      <xdr:rowOff>68400</xdr:rowOff>
    </xdr:to>
    <xdr:grpSp>
      <xdr:nvGrpSpPr>
        <xdr:cNvPr id="391" name="Shape 2"/>
        <xdr:cNvGrpSpPr/>
      </xdr:nvGrpSpPr>
      <xdr:grpSpPr>
        <a:xfrm>
          <a:off x="1814040" y="1466640"/>
          <a:ext cx="420840" cy="59040"/>
          <a:chOff x="1814040" y="1466640"/>
          <a:chExt cx="420840" cy="59040"/>
        </a:xfrm>
      </xdr:grpSpPr>
      <xdr:cxnSp>
        <xdr:nvCxnSpPr>
          <xdr:cNvPr id="392" name="Shape 225"/>
          <xdr:cNvCxnSpPr/>
        </xdr:nvCxnSpPr>
        <xdr:spPr>
          <a:xfrm flipH="1">
            <a:off x="1814040" y="1466640"/>
            <a:ext cx="421200" cy="59400"/>
          </a:xfrm>
          <a:prstGeom prst="straightConnector1">
            <a:avLst/>
          </a:prstGeom>
          <a:ln w="9525">
            <a:solidFill>
              <a:srgbClr val="000000"/>
            </a:solidFill>
            <a:miter/>
            <a:tailEnd len="med" type="triangle" w="med"/>
          </a:ln>
        </xdr:spPr>
      </xdr:cxnSp>
    </xdr:grpSp>
    <xdr:clientData/>
  </xdr:twoCellAnchor>
  <xdr:twoCellAnchor editAs="oneCell">
    <xdr:from>
      <xdr:col>5</xdr:col>
      <xdr:colOff>457200</xdr:colOff>
      <xdr:row>7</xdr:row>
      <xdr:rowOff>113400</xdr:rowOff>
    </xdr:from>
    <xdr:to>
      <xdr:col>6</xdr:col>
      <xdr:colOff>385200</xdr:colOff>
      <xdr:row>9</xdr:row>
      <xdr:rowOff>48960</xdr:rowOff>
    </xdr:to>
    <xdr:grpSp>
      <xdr:nvGrpSpPr>
        <xdr:cNvPr id="393" name="Shape 2"/>
        <xdr:cNvGrpSpPr/>
      </xdr:nvGrpSpPr>
      <xdr:grpSpPr>
        <a:xfrm>
          <a:off x="3658320" y="1265760"/>
          <a:ext cx="554040" cy="240480"/>
          <a:chOff x="3658320" y="1265760"/>
          <a:chExt cx="554040" cy="240480"/>
        </a:xfrm>
      </xdr:grpSpPr>
      <xdr:cxnSp>
        <xdr:nvCxnSpPr>
          <xdr:cNvPr id="394" name="Shape 226"/>
          <xdr:cNvCxnSpPr/>
        </xdr:nvCxnSpPr>
        <xdr:spPr>
          <a:xfrm flipV="1">
            <a:off x="3658320" y="1265760"/>
            <a:ext cx="554400" cy="240840"/>
          </a:xfrm>
          <a:prstGeom prst="straightConnector1">
            <a:avLst/>
          </a:prstGeom>
          <a:ln w="9525">
            <a:solidFill>
              <a:srgbClr val="000000"/>
            </a:solidFill>
            <a:miter/>
            <a:tailEnd len="med" type="triangle" w="med"/>
          </a:ln>
        </xdr:spPr>
      </xdr:cxnSp>
    </xdr:grpSp>
    <xdr:clientData/>
  </xdr:twoCellAnchor>
  <xdr:twoCellAnchor editAs="oneCell">
    <xdr:from>
      <xdr:col>17</xdr:col>
      <xdr:colOff>285480</xdr:colOff>
      <xdr:row>32</xdr:row>
      <xdr:rowOff>0</xdr:rowOff>
    </xdr:from>
    <xdr:to>
      <xdr:col>17</xdr:col>
      <xdr:colOff>287280</xdr:colOff>
      <xdr:row>36</xdr:row>
      <xdr:rowOff>1800</xdr:rowOff>
    </xdr:to>
    <xdr:grpSp>
      <xdr:nvGrpSpPr>
        <xdr:cNvPr id="395" name="Shape 2"/>
        <xdr:cNvGrpSpPr/>
      </xdr:nvGrpSpPr>
      <xdr:grpSpPr>
        <a:xfrm>
          <a:off x="11906640" y="5172120"/>
          <a:ext cx="1800" cy="630360"/>
          <a:chOff x="11906640" y="5172120"/>
          <a:chExt cx="1800" cy="630360"/>
        </a:xfrm>
      </xdr:grpSpPr>
      <xdr:cxnSp>
        <xdr:nvCxnSpPr>
          <xdr:cNvPr id="396" name="Shape 227"/>
          <xdr:cNvCxnSpPr/>
        </xdr:nvCxnSpPr>
        <xdr:spPr>
          <a:xfrm>
            <a:off x="11906640" y="5172120"/>
            <a:ext cx="2160" cy="630720"/>
          </a:xfrm>
          <a:prstGeom prst="straightConnector1">
            <a:avLst/>
          </a:prstGeom>
          <a:ln w="9525">
            <a:solidFill>
              <a:srgbClr val="000000"/>
            </a:solidFill>
            <a:miter/>
            <a:tailEnd len="med" type="triangle" w="med"/>
          </a:ln>
        </xdr:spPr>
      </xdr:cxnSp>
    </xdr:grpSp>
    <xdr:clientData/>
  </xdr:twoCellAnchor>
  <xdr:twoCellAnchor editAs="oneCell">
    <xdr:from>
      <xdr:col>20</xdr:col>
      <xdr:colOff>9360</xdr:colOff>
      <xdr:row>59</xdr:row>
      <xdr:rowOff>57240</xdr:rowOff>
    </xdr:from>
    <xdr:to>
      <xdr:col>23</xdr:col>
      <xdr:colOff>53280</xdr:colOff>
      <xdr:row>61</xdr:row>
      <xdr:rowOff>83520</xdr:rowOff>
    </xdr:to>
    <xdr:sp>
      <xdr:nvSpPr>
        <xdr:cNvPr id="397" name="Shape 228"/>
        <xdr:cNvSpPr/>
      </xdr:nvSpPr>
      <xdr:spPr>
        <a:xfrm>
          <a:off x="13543920" y="11620440"/>
          <a:ext cx="1922040" cy="493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Link Model operator enter equation for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functional behavior of user defined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antenna  here.</a:t>
          </a:r>
          <a:endParaRPr b="0" lang="en-US" sz="1000" strike="noStrike" u="none">
            <a:effectLst/>
            <a:uFillTx/>
            <a:latin typeface="Times New Roman"/>
          </a:endParaRPr>
        </a:p>
      </xdr:txBody>
    </xdr:sp>
    <xdr:clientData/>
  </xdr:twoCellAnchor>
  <xdr:twoCellAnchor editAs="oneCell">
    <xdr:from>
      <xdr:col>19</xdr:col>
      <xdr:colOff>9000</xdr:colOff>
      <xdr:row>59</xdr:row>
      <xdr:rowOff>142560</xdr:rowOff>
    </xdr:from>
    <xdr:to>
      <xdr:col>19</xdr:col>
      <xdr:colOff>592200</xdr:colOff>
      <xdr:row>59</xdr:row>
      <xdr:rowOff>144360</xdr:rowOff>
    </xdr:to>
    <xdr:grpSp>
      <xdr:nvGrpSpPr>
        <xdr:cNvPr id="398" name="Shape 2"/>
        <xdr:cNvGrpSpPr/>
      </xdr:nvGrpSpPr>
      <xdr:grpSpPr>
        <a:xfrm>
          <a:off x="12917160" y="11705760"/>
          <a:ext cx="583200" cy="1800"/>
          <a:chOff x="12917160" y="11705760"/>
          <a:chExt cx="583200" cy="1800"/>
        </a:xfrm>
      </xdr:grpSpPr>
      <xdr:cxnSp>
        <xdr:nvCxnSpPr>
          <xdr:cNvPr id="399" name="Shape 229"/>
          <xdr:cNvCxnSpPr/>
        </xdr:nvCxnSpPr>
        <xdr:spPr>
          <a:xfrm flipH="1">
            <a:off x="12917160" y="11705760"/>
            <a:ext cx="583560" cy="216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51</xdr:row>
      <xdr:rowOff>142560</xdr:rowOff>
    </xdr:from>
    <xdr:to>
      <xdr:col>17</xdr:col>
      <xdr:colOff>563760</xdr:colOff>
      <xdr:row>53</xdr:row>
      <xdr:rowOff>11520</xdr:rowOff>
    </xdr:to>
    <xdr:grpSp>
      <xdr:nvGrpSpPr>
        <xdr:cNvPr id="400" name="Shape 2"/>
        <xdr:cNvGrpSpPr/>
      </xdr:nvGrpSpPr>
      <xdr:grpSpPr>
        <a:xfrm>
          <a:off x="12183120" y="9486720"/>
          <a:ext cx="1800" cy="192600"/>
          <a:chOff x="12183120" y="9486720"/>
          <a:chExt cx="1800" cy="192600"/>
        </a:xfrm>
      </xdr:grpSpPr>
      <xdr:cxnSp>
        <xdr:nvCxnSpPr>
          <xdr:cNvPr id="401" name="Shape 230"/>
          <xdr:cNvCxnSpPr/>
        </xdr:nvCxnSpPr>
        <xdr:spPr>
          <a:xfrm>
            <a:off x="12183120" y="9486720"/>
            <a:ext cx="2160" cy="19296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48</xdr:row>
      <xdr:rowOff>-360</xdr:rowOff>
    </xdr:from>
    <xdr:to>
      <xdr:col>17</xdr:col>
      <xdr:colOff>563760</xdr:colOff>
      <xdr:row>49</xdr:row>
      <xdr:rowOff>1440</xdr:rowOff>
    </xdr:to>
    <xdr:grpSp>
      <xdr:nvGrpSpPr>
        <xdr:cNvPr id="402" name="Shape 2"/>
        <xdr:cNvGrpSpPr/>
      </xdr:nvGrpSpPr>
      <xdr:grpSpPr>
        <a:xfrm>
          <a:off x="12183120" y="8867520"/>
          <a:ext cx="1800" cy="163800"/>
          <a:chOff x="12183120" y="8867520"/>
          <a:chExt cx="1800" cy="163800"/>
        </a:xfrm>
      </xdr:grpSpPr>
      <xdr:cxnSp>
        <xdr:nvCxnSpPr>
          <xdr:cNvPr id="403" name="Shape 231"/>
          <xdr:cNvCxnSpPr/>
        </xdr:nvCxnSpPr>
        <xdr:spPr>
          <a:xfrm flipV="1">
            <a:off x="12183120" y="8867520"/>
            <a:ext cx="2160" cy="164160"/>
          </a:xfrm>
          <a:prstGeom prst="straightConnector1">
            <a:avLst/>
          </a:prstGeom>
          <a:ln w="9525">
            <a:solidFill>
              <a:srgbClr val="000000"/>
            </a:solidFill>
            <a:miter/>
            <a:tailEnd len="med" type="triangle" w="med"/>
          </a:ln>
        </xdr:spPr>
      </xdr:cxnSp>
    </xdr:grpSp>
    <xdr:clientData/>
  </xdr:twoCellAnchor>
  <xdr:twoCellAnchor editAs="oneCell">
    <xdr:from>
      <xdr:col>3</xdr:col>
      <xdr:colOff>228600</xdr:colOff>
      <xdr:row>66</xdr:row>
      <xdr:rowOff>0</xdr:rowOff>
    </xdr:from>
    <xdr:to>
      <xdr:col>3</xdr:col>
      <xdr:colOff>230400</xdr:colOff>
      <xdr:row>67</xdr:row>
      <xdr:rowOff>1800</xdr:rowOff>
    </xdr:to>
    <xdr:grpSp>
      <xdr:nvGrpSpPr>
        <xdr:cNvPr id="404" name="Shape 2"/>
        <xdr:cNvGrpSpPr/>
      </xdr:nvGrpSpPr>
      <xdr:grpSpPr>
        <a:xfrm>
          <a:off x="2107080" y="12801600"/>
          <a:ext cx="1800" cy="192240"/>
          <a:chOff x="2107080" y="12801600"/>
          <a:chExt cx="1800" cy="192240"/>
        </a:xfrm>
      </xdr:grpSpPr>
      <xdr:cxnSp>
        <xdr:nvCxnSpPr>
          <xdr:cNvPr id="405" name="Shape 232"/>
          <xdr:cNvCxnSpPr/>
        </xdr:nvCxnSpPr>
        <xdr:spPr>
          <a:xfrm flipV="1">
            <a:off x="2107080" y="12801600"/>
            <a:ext cx="2160" cy="192600"/>
          </a:xfrm>
          <a:prstGeom prst="straightConnector1">
            <a:avLst/>
          </a:prstGeom>
          <a:ln w="38100">
            <a:solidFill>
              <a:srgbClr val="000000"/>
            </a:solidFill>
            <a:miter/>
            <a:tailEnd len="med" type="triangle" w="med"/>
          </a:ln>
        </xdr:spPr>
      </xdr:cxnSp>
    </xdr:grpSp>
    <xdr:clientData/>
  </xdr:twoCellAnchor>
  <xdr:twoCellAnchor editAs="oneCell">
    <xdr:from>
      <xdr:col>10</xdr:col>
      <xdr:colOff>295200</xdr:colOff>
      <xdr:row>66</xdr:row>
      <xdr:rowOff>9360</xdr:rowOff>
    </xdr:from>
    <xdr:to>
      <xdr:col>10</xdr:col>
      <xdr:colOff>335160</xdr:colOff>
      <xdr:row>67</xdr:row>
      <xdr:rowOff>1800</xdr:rowOff>
    </xdr:to>
    <xdr:grpSp>
      <xdr:nvGrpSpPr>
        <xdr:cNvPr id="406" name="Shape 2"/>
        <xdr:cNvGrpSpPr/>
      </xdr:nvGrpSpPr>
      <xdr:grpSpPr>
        <a:xfrm>
          <a:off x="6899040" y="12810960"/>
          <a:ext cx="39960" cy="182880"/>
          <a:chOff x="6899040" y="12810960"/>
          <a:chExt cx="39960" cy="182880"/>
        </a:xfrm>
      </xdr:grpSpPr>
      <xdr:cxnSp>
        <xdr:nvCxnSpPr>
          <xdr:cNvPr id="407" name="Shape 233"/>
          <xdr:cNvCxnSpPr/>
        </xdr:nvCxnSpPr>
        <xdr:spPr>
          <a:xfrm>
            <a:off x="6899040" y="12810960"/>
            <a:ext cx="40320" cy="183240"/>
          </a:xfrm>
          <a:prstGeom prst="straightConnector1">
            <a:avLst/>
          </a:prstGeom>
          <a:ln w="38100">
            <a:solidFill>
              <a:srgbClr val="000000"/>
            </a:solidFill>
            <a:miter/>
            <a:tailEnd len="med" type="triangle" w="med"/>
          </a:ln>
        </xdr:spPr>
      </xdr:cxnSp>
    </xdr:grpSp>
    <xdr:clientData/>
  </xdr:twoCellAnchor>
  <xdr:twoCellAnchor editAs="oneCell">
    <xdr:from>
      <xdr:col>4</xdr:col>
      <xdr:colOff>342000</xdr:colOff>
      <xdr:row>72</xdr:row>
      <xdr:rowOff>47520</xdr:rowOff>
    </xdr:from>
    <xdr:to>
      <xdr:col>4</xdr:col>
      <xdr:colOff>639720</xdr:colOff>
      <xdr:row>72</xdr:row>
      <xdr:rowOff>49320</xdr:rowOff>
    </xdr:to>
    <xdr:grpSp>
      <xdr:nvGrpSpPr>
        <xdr:cNvPr id="408" name="Shape 2"/>
        <xdr:cNvGrpSpPr/>
      </xdr:nvGrpSpPr>
      <xdr:grpSpPr>
        <a:xfrm>
          <a:off x="2846520" y="13858920"/>
          <a:ext cx="297720" cy="1800"/>
          <a:chOff x="2846520" y="13858920"/>
          <a:chExt cx="297720" cy="1800"/>
        </a:xfrm>
      </xdr:grpSpPr>
      <xdr:cxnSp>
        <xdr:nvCxnSpPr>
          <xdr:cNvPr id="409" name="Shape 223"/>
          <xdr:cNvCxnSpPr/>
        </xdr:nvCxnSpPr>
        <xdr:spPr>
          <a:xfrm flipH="1">
            <a:off x="2846520" y="13858920"/>
            <a:ext cx="298080" cy="2160"/>
          </a:xfrm>
          <a:prstGeom prst="straightConnector1">
            <a:avLst/>
          </a:prstGeom>
          <a:ln w="9525">
            <a:solidFill>
              <a:srgbClr val="000000"/>
            </a:solidFill>
            <a:miter/>
          </a:ln>
        </xdr:spPr>
      </xdr:cxnSp>
    </xdr:grpSp>
    <xdr:clientData/>
  </xdr:twoCellAnchor>
  <xdr:twoCellAnchor editAs="oneCell">
    <xdr:from>
      <xdr:col>4</xdr:col>
      <xdr:colOff>323640</xdr:colOff>
      <xdr:row>72</xdr:row>
      <xdr:rowOff>66600</xdr:rowOff>
    </xdr:from>
    <xdr:to>
      <xdr:col>4</xdr:col>
      <xdr:colOff>325440</xdr:colOff>
      <xdr:row>72</xdr:row>
      <xdr:rowOff>154080</xdr:rowOff>
    </xdr:to>
    <xdr:grpSp>
      <xdr:nvGrpSpPr>
        <xdr:cNvPr id="410" name="Shape 2"/>
        <xdr:cNvGrpSpPr/>
      </xdr:nvGrpSpPr>
      <xdr:grpSpPr>
        <a:xfrm>
          <a:off x="2828160" y="13878000"/>
          <a:ext cx="1800" cy="87480"/>
          <a:chOff x="2828160" y="13878000"/>
          <a:chExt cx="1800" cy="87480"/>
        </a:xfrm>
      </xdr:grpSpPr>
      <xdr:cxnSp>
        <xdr:nvCxnSpPr>
          <xdr:cNvPr id="411" name="Shape 189"/>
          <xdr:cNvCxnSpPr/>
        </xdr:nvCxnSpPr>
        <xdr:spPr>
          <a:xfrm>
            <a:off x="2828160" y="13878000"/>
            <a:ext cx="2160" cy="87840"/>
          </a:xfrm>
          <a:prstGeom prst="straightConnector1">
            <a:avLst/>
          </a:prstGeom>
          <a:ln w="9525">
            <a:solidFill>
              <a:srgbClr val="000000"/>
            </a:solidFill>
            <a:miter/>
            <a:tailEnd len="med" type="triangle" w="med"/>
          </a:ln>
        </xdr:spPr>
      </xdr:cxnSp>
    </xdr:grpSp>
    <xdr:clientData/>
  </xdr:twoCellAnchor>
  <xdr:twoCellAnchor editAs="oneCell">
    <xdr:from>
      <xdr:col>20</xdr:col>
      <xdr:colOff>9360</xdr:colOff>
      <xdr:row>81</xdr:row>
      <xdr:rowOff>85680</xdr:rowOff>
    </xdr:from>
    <xdr:to>
      <xdr:col>22</xdr:col>
      <xdr:colOff>259920</xdr:colOff>
      <xdr:row>82</xdr:row>
      <xdr:rowOff>112320</xdr:rowOff>
    </xdr:to>
    <xdr:sp>
      <xdr:nvSpPr>
        <xdr:cNvPr id="412" name="Shape 234"/>
        <xdr:cNvSpPr/>
      </xdr:nvSpPr>
      <xdr:spPr>
        <a:xfrm>
          <a:off x="13543920" y="16259040"/>
          <a:ext cx="1502640" cy="340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Enter functional behavior</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of user defined antenna  here.</a:t>
          </a:r>
          <a:endParaRPr b="0" lang="en-US" sz="1000" strike="noStrike" u="none">
            <a:effectLst/>
            <a:uFillTx/>
            <a:latin typeface="Times New Roman"/>
          </a:endParaRPr>
        </a:p>
      </xdr:txBody>
    </xdr:sp>
    <xdr:clientData/>
  </xdr:twoCellAnchor>
  <xdr:twoCellAnchor editAs="oneCell">
    <xdr:from>
      <xdr:col>17</xdr:col>
      <xdr:colOff>561960</xdr:colOff>
      <xdr:row>73</xdr:row>
      <xdr:rowOff>142560</xdr:rowOff>
    </xdr:from>
    <xdr:to>
      <xdr:col>17</xdr:col>
      <xdr:colOff>563760</xdr:colOff>
      <xdr:row>75</xdr:row>
      <xdr:rowOff>11160</xdr:rowOff>
    </xdr:to>
    <xdr:grpSp>
      <xdr:nvGrpSpPr>
        <xdr:cNvPr id="413" name="Shape 2"/>
        <xdr:cNvGrpSpPr/>
      </xdr:nvGrpSpPr>
      <xdr:grpSpPr>
        <a:xfrm>
          <a:off x="12183120" y="14115600"/>
          <a:ext cx="1800" cy="192600"/>
          <a:chOff x="12183120" y="14115600"/>
          <a:chExt cx="1800" cy="192600"/>
        </a:xfrm>
      </xdr:grpSpPr>
      <xdr:cxnSp>
        <xdr:nvCxnSpPr>
          <xdr:cNvPr id="414" name="Shape 230"/>
          <xdr:cNvCxnSpPr/>
        </xdr:nvCxnSpPr>
        <xdr:spPr>
          <a:xfrm>
            <a:off x="12183120" y="14115600"/>
            <a:ext cx="2160" cy="192960"/>
          </a:xfrm>
          <a:prstGeom prst="straightConnector1">
            <a:avLst/>
          </a:prstGeom>
          <a:ln w="9525">
            <a:solidFill>
              <a:srgbClr val="000000"/>
            </a:solidFill>
            <a:miter/>
            <a:tailEnd len="med" type="triangle" w="med"/>
          </a:ln>
        </xdr:spPr>
      </xdr:cxnSp>
    </xdr:grpSp>
    <xdr:clientData/>
  </xdr:twoCellAnchor>
  <xdr:twoCellAnchor editAs="oneCell">
    <xdr:from>
      <xdr:col>17</xdr:col>
      <xdr:colOff>561960</xdr:colOff>
      <xdr:row>70</xdr:row>
      <xdr:rowOff>0</xdr:rowOff>
    </xdr:from>
    <xdr:to>
      <xdr:col>17</xdr:col>
      <xdr:colOff>563760</xdr:colOff>
      <xdr:row>71</xdr:row>
      <xdr:rowOff>1440</xdr:rowOff>
    </xdr:to>
    <xdr:grpSp>
      <xdr:nvGrpSpPr>
        <xdr:cNvPr id="415" name="Shape 2"/>
        <xdr:cNvGrpSpPr/>
      </xdr:nvGrpSpPr>
      <xdr:grpSpPr>
        <a:xfrm>
          <a:off x="12183120" y="13496760"/>
          <a:ext cx="1800" cy="163440"/>
          <a:chOff x="12183120" y="13496760"/>
          <a:chExt cx="1800" cy="163440"/>
        </a:xfrm>
      </xdr:grpSpPr>
      <xdr:cxnSp>
        <xdr:nvCxnSpPr>
          <xdr:cNvPr id="416" name="Shape 231"/>
          <xdr:cNvCxnSpPr/>
        </xdr:nvCxnSpPr>
        <xdr:spPr>
          <a:xfrm flipV="1">
            <a:off x="12183120" y="13496760"/>
            <a:ext cx="2160" cy="163800"/>
          </a:xfrm>
          <a:prstGeom prst="straightConnector1">
            <a:avLst/>
          </a:prstGeom>
          <a:ln w="9525">
            <a:solidFill>
              <a:srgbClr val="000000"/>
            </a:solidFill>
            <a:miter/>
            <a:tailEnd len="med" type="triangle" w="med"/>
          </a:ln>
        </xdr:spPr>
      </xdr:cxnSp>
    </xdr:grpSp>
    <xdr:clientData/>
  </xdr:twoCellAnchor>
  <xdr:twoCellAnchor editAs="oneCell">
    <xdr:from>
      <xdr:col>4</xdr:col>
      <xdr:colOff>342000</xdr:colOff>
      <xdr:row>93</xdr:row>
      <xdr:rowOff>66600</xdr:rowOff>
    </xdr:from>
    <xdr:to>
      <xdr:col>4</xdr:col>
      <xdr:colOff>639720</xdr:colOff>
      <xdr:row>93</xdr:row>
      <xdr:rowOff>68400</xdr:rowOff>
    </xdr:to>
    <xdr:grpSp>
      <xdr:nvGrpSpPr>
        <xdr:cNvPr id="417" name="Shape 2"/>
        <xdr:cNvGrpSpPr/>
      </xdr:nvGrpSpPr>
      <xdr:grpSpPr>
        <a:xfrm>
          <a:off x="2846520" y="18259200"/>
          <a:ext cx="297720" cy="1800"/>
          <a:chOff x="2846520" y="18259200"/>
          <a:chExt cx="297720" cy="1800"/>
        </a:xfrm>
      </xdr:grpSpPr>
      <xdr:cxnSp>
        <xdr:nvCxnSpPr>
          <xdr:cNvPr id="418" name="Shape 223"/>
          <xdr:cNvCxnSpPr/>
        </xdr:nvCxnSpPr>
        <xdr:spPr>
          <a:xfrm flipH="1">
            <a:off x="2846520" y="18259200"/>
            <a:ext cx="298080" cy="2160"/>
          </a:xfrm>
          <a:prstGeom prst="straightConnector1">
            <a:avLst/>
          </a:prstGeom>
          <a:ln w="9525">
            <a:solidFill>
              <a:srgbClr val="000000"/>
            </a:solidFill>
            <a:miter/>
          </a:ln>
        </xdr:spPr>
      </xdr:cxnSp>
    </xdr:grpSp>
    <xdr:clientData/>
  </xdr:twoCellAnchor>
  <xdr:twoCellAnchor editAs="oneCell">
    <xdr:from>
      <xdr:col>4</xdr:col>
      <xdr:colOff>323640</xdr:colOff>
      <xdr:row>93</xdr:row>
      <xdr:rowOff>85680</xdr:rowOff>
    </xdr:from>
    <xdr:to>
      <xdr:col>4</xdr:col>
      <xdr:colOff>325440</xdr:colOff>
      <xdr:row>94</xdr:row>
      <xdr:rowOff>1440</xdr:rowOff>
    </xdr:to>
    <xdr:grpSp>
      <xdr:nvGrpSpPr>
        <xdr:cNvPr id="419" name="Shape 2"/>
        <xdr:cNvGrpSpPr/>
      </xdr:nvGrpSpPr>
      <xdr:grpSpPr>
        <a:xfrm>
          <a:off x="2828160" y="18278280"/>
          <a:ext cx="1800" cy="77760"/>
          <a:chOff x="2828160" y="18278280"/>
          <a:chExt cx="1800" cy="77760"/>
        </a:xfrm>
      </xdr:grpSpPr>
      <xdr:cxnSp>
        <xdr:nvCxnSpPr>
          <xdr:cNvPr id="420" name="Shape 187"/>
          <xdr:cNvCxnSpPr/>
        </xdr:nvCxnSpPr>
        <xdr:spPr>
          <a:xfrm>
            <a:off x="2828160" y="18278280"/>
            <a:ext cx="2160" cy="78120"/>
          </a:xfrm>
          <a:prstGeom prst="straightConnector1">
            <a:avLst/>
          </a:prstGeom>
          <a:ln w="9525">
            <a:solidFill>
              <a:srgbClr val="000000"/>
            </a:solidFill>
            <a:miter/>
            <a:tailEnd len="med" type="triangle" w="med"/>
          </a:ln>
        </xdr:spPr>
      </xdr:cxnSp>
    </xdr:grpSp>
    <xdr:clientData/>
  </xdr:twoCellAnchor>
  <xdr:twoCellAnchor editAs="oneCell">
    <xdr:from>
      <xdr:col>17</xdr:col>
      <xdr:colOff>523800</xdr:colOff>
      <xdr:row>32</xdr:row>
      <xdr:rowOff>78120</xdr:rowOff>
    </xdr:from>
    <xdr:to>
      <xdr:col>18</xdr:col>
      <xdr:colOff>12960</xdr:colOff>
      <xdr:row>38</xdr:row>
      <xdr:rowOff>28440</xdr:rowOff>
    </xdr:to>
    <xdr:sp>
      <xdr:nvSpPr>
        <xdr:cNvPr id="421" name="Shape 235"/>
        <xdr:cNvSpPr/>
      </xdr:nvSpPr>
      <xdr:spPr>
        <a:xfrm rot="16200000">
          <a:off x="11620800" y="5774040"/>
          <a:ext cx="1198080" cy="15012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11</xdr:col>
      <xdr:colOff>171360</xdr:colOff>
      <xdr:row>10</xdr:row>
      <xdr:rowOff>9360</xdr:rowOff>
    </xdr:from>
    <xdr:to>
      <xdr:col>12</xdr:col>
      <xdr:colOff>524160</xdr:colOff>
      <xdr:row>15</xdr:row>
      <xdr:rowOff>35640</xdr:rowOff>
    </xdr:to>
    <xdr:sp>
      <xdr:nvSpPr>
        <xdr:cNvPr id="422" name="Shape 236"/>
        <xdr:cNvSpPr/>
      </xdr:nvSpPr>
      <xdr:spPr>
        <a:xfrm>
          <a:off x="7401600" y="1618920"/>
          <a:ext cx="978840" cy="78840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11</xdr:col>
      <xdr:colOff>171360</xdr:colOff>
      <xdr:row>15</xdr:row>
      <xdr:rowOff>38160</xdr:rowOff>
    </xdr:from>
    <xdr:to>
      <xdr:col>12</xdr:col>
      <xdr:colOff>524160</xdr:colOff>
      <xdr:row>15</xdr:row>
      <xdr:rowOff>102600</xdr:rowOff>
    </xdr:to>
    <xdr:sp>
      <xdr:nvSpPr>
        <xdr:cNvPr id="423" name="Shape 237"/>
        <xdr:cNvSpPr/>
      </xdr:nvSpPr>
      <xdr:spPr>
        <a:xfrm>
          <a:off x="7401600" y="2409840"/>
          <a:ext cx="978840" cy="6444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11</xdr:col>
      <xdr:colOff>171360</xdr:colOff>
      <xdr:row>9</xdr:row>
      <xdr:rowOff>85680</xdr:rowOff>
    </xdr:from>
    <xdr:to>
      <xdr:col>12</xdr:col>
      <xdr:colOff>524160</xdr:colOff>
      <xdr:row>10</xdr:row>
      <xdr:rowOff>7560</xdr:rowOff>
    </xdr:to>
    <xdr:sp>
      <xdr:nvSpPr>
        <xdr:cNvPr id="424" name="Shape 238"/>
        <xdr:cNvSpPr/>
      </xdr:nvSpPr>
      <xdr:spPr>
        <a:xfrm>
          <a:off x="7401600" y="1542960"/>
          <a:ext cx="978840" cy="7416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12</xdr:col>
      <xdr:colOff>75960</xdr:colOff>
      <xdr:row>7</xdr:row>
      <xdr:rowOff>37440</xdr:rowOff>
    </xdr:from>
    <xdr:to>
      <xdr:col>12</xdr:col>
      <xdr:colOff>77760</xdr:colOff>
      <xdr:row>9</xdr:row>
      <xdr:rowOff>96840</xdr:rowOff>
    </xdr:to>
    <xdr:grpSp>
      <xdr:nvGrpSpPr>
        <xdr:cNvPr id="425" name="Shape 2"/>
        <xdr:cNvGrpSpPr/>
      </xdr:nvGrpSpPr>
      <xdr:grpSpPr>
        <a:xfrm>
          <a:off x="7932240" y="1189800"/>
          <a:ext cx="1800" cy="364320"/>
          <a:chOff x="7932240" y="1189800"/>
          <a:chExt cx="1800" cy="364320"/>
        </a:xfrm>
      </xdr:grpSpPr>
      <xdr:cxnSp>
        <xdr:nvCxnSpPr>
          <xdr:cNvPr id="426" name="Shape 239"/>
          <xdr:cNvCxnSpPr/>
        </xdr:nvCxnSpPr>
        <xdr:spPr>
          <a:xfrm flipV="1">
            <a:off x="7932240" y="1189800"/>
            <a:ext cx="2160" cy="364680"/>
          </a:xfrm>
          <a:prstGeom prst="straightConnector1">
            <a:avLst/>
          </a:prstGeom>
          <a:ln w="28575">
            <a:solidFill>
              <a:srgbClr val="000000"/>
            </a:solidFill>
            <a:miter/>
          </a:ln>
        </xdr:spPr>
      </xdr:cxnSp>
    </xdr:grpSp>
    <xdr:clientData/>
  </xdr:twoCellAnchor>
  <xdr:twoCellAnchor editAs="oneCell">
    <xdr:from>
      <xdr:col>12</xdr:col>
      <xdr:colOff>66600</xdr:colOff>
      <xdr:row>2</xdr:row>
      <xdr:rowOff>74880</xdr:rowOff>
    </xdr:from>
    <xdr:to>
      <xdr:col>12</xdr:col>
      <xdr:colOff>68400</xdr:colOff>
      <xdr:row>6</xdr:row>
      <xdr:rowOff>125640</xdr:rowOff>
    </xdr:to>
    <xdr:grpSp>
      <xdr:nvGrpSpPr>
        <xdr:cNvPr id="427" name="Shape 2"/>
        <xdr:cNvGrpSpPr/>
      </xdr:nvGrpSpPr>
      <xdr:grpSpPr>
        <a:xfrm>
          <a:off x="7922880" y="465480"/>
          <a:ext cx="1800" cy="660240"/>
          <a:chOff x="7922880" y="465480"/>
          <a:chExt cx="1800" cy="660240"/>
        </a:xfrm>
      </xdr:grpSpPr>
      <xdr:cxnSp>
        <xdr:nvCxnSpPr>
          <xdr:cNvPr id="428" name="Shape 240"/>
          <xdr:cNvCxnSpPr/>
        </xdr:nvCxnSpPr>
        <xdr:spPr>
          <a:xfrm flipV="1">
            <a:off x="7922880" y="465480"/>
            <a:ext cx="2160" cy="660600"/>
          </a:xfrm>
          <a:prstGeom prst="straightConnector1">
            <a:avLst/>
          </a:prstGeom>
          <a:ln w="9525">
            <a:solidFill>
              <a:srgbClr val="000000"/>
            </a:solidFill>
            <a:miter/>
          </a:ln>
        </xdr:spPr>
      </xdr:cxnSp>
    </xdr:grpSp>
    <xdr:clientData/>
  </xdr:twoCellAnchor>
  <xdr:twoCellAnchor editAs="oneCell">
    <xdr:from>
      <xdr:col>12</xdr:col>
      <xdr:colOff>56880</xdr:colOff>
      <xdr:row>15</xdr:row>
      <xdr:rowOff>95040</xdr:rowOff>
    </xdr:from>
    <xdr:to>
      <xdr:col>12</xdr:col>
      <xdr:colOff>58680</xdr:colOff>
      <xdr:row>22</xdr:row>
      <xdr:rowOff>78120</xdr:rowOff>
    </xdr:to>
    <xdr:grpSp>
      <xdr:nvGrpSpPr>
        <xdr:cNvPr id="429" name="Shape 2"/>
        <xdr:cNvGrpSpPr/>
      </xdr:nvGrpSpPr>
      <xdr:grpSpPr>
        <a:xfrm>
          <a:off x="7913160" y="2466720"/>
          <a:ext cx="1800" cy="1049760"/>
          <a:chOff x="7913160" y="2466720"/>
          <a:chExt cx="1800" cy="1049760"/>
        </a:xfrm>
      </xdr:grpSpPr>
      <xdr:cxnSp>
        <xdr:nvCxnSpPr>
          <xdr:cNvPr id="430" name="Shape 241"/>
          <xdr:cNvCxnSpPr/>
        </xdr:nvCxnSpPr>
        <xdr:spPr>
          <a:xfrm flipV="1">
            <a:off x="7913160" y="2466720"/>
            <a:ext cx="2160" cy="1050120"/>
          </a:xfrm>
          <a:prstGeom prst="straightConnector1">
            <a:avLst/>
          </a:prstGeom>
          <a:ln w="9525">
            <a:solidFill>
              <a:srgbClr val="000000"/>
            </a:solidFill>
            <a:miter/>
          </a:ln>
        </xdr:spPr>
      </xdr:cxnSp>
    </xdr:grpSp>
    <xdr:clientData/>
  </xdr:twoCellAnchor>
  <xdr:twoCellAnchor editAs="oneCell">
    <xdr:from>
      <xdr:col>13</xdr:col>
      <xdr:colOff>18720</xdr:colOff>
      <xdr:row>12</xdr:row>
      <xdr:rowOff>75960</xdr:rowOff>
    </xdr:from>
    <xdr:to>
      <xdr:col>14</xdr:col>
      <xdr:colOff>51840</xdr:colOff>
      <xdr:row>12</xdr:row>
      <xdr:rowOff>77760</xdr:rowOff>
    </xdr:to>
    <xdr:grpSp>
      <xdr:nvGrpSpPr>
        <xdr:cNvPr id="431" name="Shape 2"/>
        <xdr:cNvGrpSpPr/>
      </xdr:nvGrpSpPr>
      <xdr:grpSpPr>
        <a:xfrm>
          <a:off x="8501040" y="1990440"/>
          <a:ext cx="659160" cy="1800"/>
          <a:chOff x="8501040" y="1990440"/>
          <a:chExt cx="659160" cy="1800"/>
        </a:xfrm>
      </xdr:grpSpPr>
      <xdr:cxnSp>
        <xdr:nvCxnSpPr>
          <xdr:cNvPr id="432" name="Shape 242"/>
          <xdr:cNvCxnSpPr/>
        </xdr:nvCxnSpPr>
        <xdr:spPr>
          <a:xfrm>
            <a:off x="8501040" y="1990440"/>
            <a:ext cx="659520" cy="2160"/>
          </a:xfrm>
          <a:prstGeom prst="straightConnector1">
            <a:avLst/>
          </a:prstGeom>
          <a:ln w="9525">
            <a:solidFill>
              <a:srgbClr val="000000"/>
            </a:solidFill>
            <a:miter/>
          </a:ln>
        </xdr:spPr>
      </xdr:cxnSp>
    </xdr:grpSp>
    <xdr:clientData/>
  </xdr:twoCellAnchor>
  <xdr:twoCellAnchor editAs="oneCell">
    <xdr:from>
      <xdr:col>10</xdr:col>
      <xdr:colOff>104760</xdr:colOff>
      <xdr:row>12</xdr:row>
      <xdr:rowOff>75960</xdr:rowOff>
    </xdr:from>
    <xdr:to>
      <xdr:col>11</xdr:col>
      <xdr:colOff>118080</xdr:colOff>
      <xdr:row>12</xdr:row>
      <xdr:rowOff>77760</xdr:rowOff>
    </xdr:to>
    <xdr:grpSp>
      <xdr:nvGrpSpPr>
        <xdr:cNvPr id="433" name="Shape 2"/>
        <xdr:cNvGrpSpPr/>
      </xdr:nvGrpSpPr>
      <xdr:grpSpPr>
        <a:xfrm>
          <a:off x="6708600" y="1990440"/>
          <a:ext cx="639720" cy="1800"/>
          <a:chOff x="6708600" y="1990440"/>
          <a:chExt cx="639720" cy="1800"/>
        </a:xfrm>
      </xdr:grpSpPr>
      <xdr:cxnSp>
        <xdr:nvCxnSpPr>
          <xdr:cNvPr id="434" name="Shape 243"/>
          <xdr:cNvCxnSpPr/>
        </xdr:nvCxnSpPr>
        <xdr:spPr>
          <a:xfrm>
            <a:off x="6708600" y="1990440"/>
            <a:ext cx="640080" cy="2160"/>
          </a:xfrm>
          <a:prstGeom prst="straightConnector1">
            <a:avLst/>
          </a:prstGeom>
          <a:ln w="9525">
            <a:solidFill>
              <a:srgbClr val="000000"/>
            </a:solidFill>
            <a:miter/>
          </a:ln>
        </xdr:spPr>
      </xdr:cxnSp>
    </xdr:grpSp>
    <xdr:clientData/>
  </xdr:twoCellAnchor>
  <xdr:twoCellAnchor editAs="oneCell">
    <xdr:from>
      <xdr:col>12</xdr:col>
      <xdr:colOff>219240</xdr:colOff>
      <xdr:row>2</xdr:row>
      <xdr:rowOff>0</xdr:rowOff>
    </xdr:from>
    <xdr:to>
      <xdr:col>12</xdr:col>
      <xdr:colOff>293400</xdr:colOff>
      <xdr:row>3</xdr:row>
      <xdr:rowOff>45720</xdr:rowOff>
    </xdr:to>
    <xdr:sp>
      <xdr:nvSpPr>
        <xdr:cNvPr id="435" name="Shape 244"/>
        <xdr:cNvSpPr/>
      </xdr:nvSpPr>
      <xdr:spPr>
        <a:xfrm>
          <a:off x="8075520" y="390600"/>
          <a:ext cx="74160" cy="198000"/>
        </a:xfrm>
        <a:prstGeom prst="rect">
          <a:avLst/>
        </a:prstGeom>
        <a:noFill/>
        <a:ln w="0">
          <a:noFill/>
        </a:ln>
      </xdr:spPr>
      <xdr:style>
        <a:lnRef idx="0"/>
        <a:fillRef idx="0"/>
        <a:effectRef idx="0"/>
        <a:fontRef idx="minor"/>
      </xdr:style>
    </xdr:sp>
    <xdr:clientData/>
  </xdr:twoCellAnchor>
  <xdr:twoCellAnchor editAs="oneCell">
    <xdr:from>
      <xdr:col>11</xdr:col>
      <xdr:colOff>561960</xdr:colOff>
      <xdr:row>1</xdr:row>
      <xdr:rowOff>9360</xdr:rowOff>
    </xdr:from>
    <xdr:to>
      <xdr:col>12</xdr:col>
      <xdr:colOff>105120</xdr:colOff>
      <xdr:row>2</xdr:row>
      <xdr:rowOff>35640</xdr:rowOff>
    </xdr:to>
    <xdr:sp>
      <xdr:nvSpPr>
        <xdr:cNvPr id="436" name="Shape 245"/>
        <xdr:cNvSpPr/>
      </xdr:nvSpPr>
      <xdr:spPr>
        <a:xfrm>
          <a:off x="7792200" y="237960"/>
          <a:ext cx="16920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12</xdr:col>
      <xdr:colOff>0</xdr:colOff>
      <xdr:row>22</xdr:row>
      <xdr:rowOff>104760</xdr:rowOff>
    </xdr:from>
    <xdr:to>
      <xdr:col>12</xdr:col>
      <xdr:colOff>121680</xdr:colOff>
      <xdr:row>23</xdr:row>
      <xdr:rowOff>131040</xdr:rowOff>
    </xdr:to>
    <xdr:sp>
      <xdr:nvSpPr>
        <xdr:cNvPr id="437" name="Shape 246"/>
        <xdr:cNvSpPr/>
      </xdr:nvSpPr>
      <xdr:spPr>
        <a:xfrm>
          <a:off x="7856280" y="3543120"/>
          <a:ext cx="121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9</xdr:col>
      <xdr:colOff>561960</xdr:colOff>
      <xdr:row>12</xdr:row>
      <xdr:rowOff>9360</xdr:rowOff>
    </xdr:from>
    <xdr:to>
      <xdr:col>9</xdr:col>
      <xdr:colOff>731160</xdr:colOff>
      <xdr:row>13</xdr:row>
      <xdr:rowOff>36000</xdr:rowOff>
    </xdr:to>
    <xdr:sp>
      <xdr:nvSpPr>
        <xdr:cNvPr id="438" name="Shape 247"/>
        <xdr:cNvSpPr/>
      </xdr:nvSpPr>
      <xdr:spPr>
        <a:xfrm>
          <a:off x="6399000" y="1923840"/>
          <a:ext cx="1692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14</xdr:col>
      <xdr:colOff>85680</xdr:colOff>
      <xdr:row>12</xdr:row>
      <xdr:rowOff>0</xdr:rowOff>
    </xdr:from>
    <xdr:to>
      <xdr:col>14</xdr:col>
      <xdr:colOff>226440</xdr:colOff>
      <xdr:row>13</xdr:row>
      <xdr:rowOff>26640</xdr:rowOff>
    </xdr:to>
    <xdr:sp>
      <xdr:nvSpPr>
        <xdr:cNvPr id="439" name="Shape 248"/>
        <xdr:cNvSpPr/>
      </xdr:nvSpPr>
      <xdr:spPr>
        <a:xfrm>
          <a:off x="9194040" y="1914480"/>
          <a:ext cx="1407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11</xdr:col>
      <xdr:colOff>552600</xdr:colOff>
      <xdr:row>12</xdr:row>
      <xdr:rowOff>0</xdr:rowOff>
    </xdr:from>
    <xdr:to>
      <xdr:col>12</xdr:col>
      <xdr:colOff>95760</xdr:colOff>
      <xdr:row>13</xdr:row>
      <xdr:rowOff>26640</xdr:rowOff>
    </xdr:to>
    <xdr:sp>
      <xdr:nvSpPr>
        <xdr:cNvPr id="440" name="Shape 249"/>
        <xdr:cNvSpPr/>
      </xdr:nvSpPr>
      <xdr:spPr>
        <a:xfrm>
          <a:off x="7782840" y="1914480"/>
          <a:ext cx="1692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10</xdr:col>
      <xdr:colOff>190440</xdr:colOff>
      <xdr:row>1</xdr:row>
      <xdr:rowOff>104400</xdr:rowOff>
    </xdr:from>
    <xdr:to>
      <xdr:col>11</xdr:col>
      <xdr:colOff>604080</xdr:colOff>
      <xdr:row>9</xdr:row>
      <xdr:rowOff>68400</xdr:rowOff>
    </xdr:to>
    <xdr:grpSp>
      <xdr:nvGrpSpPr>
        <xdr:cNvPr id="441" name="Shape 2"/>
        <xdr:cNvGrpSpPr/>
      </xdr:nvGrpSpPr>
      <xdr:grpSpPr>
        <a:xfrm>
          <a:off x="6794280" y="333000"/>
          <a:ext cx="1040040" cy="1192680"/>
          <a:chOff x="6794280" y="333000"/>
          <a:chExt cx="1040040" cy="1192680"/>
        </a:xfrm>
      </xdr:grpSpPr>
      <xdr:cxnSp>
        <xdr:nvCxnSpPr>
          <xdr:cNvPr id="442" name="Shape 250"/>
          <xdr:cNvCxnSpPr/>
        </xdr:nvCxnSpPr>
        <xdr:spPr>
          <a:xfrm flipH="1" flipV="1">
            <a:off x="6794280" y="333000"/>
            <a:ext cx="1040400" cy="1193040"/>
          </a:xfrm>
          <a:prstGeom prst="straightConnector1">
            <a:avLst/>
          </a:prstGeom>
          <a:ln w="9525">
            <a:solidFill>
              <a:srgbClr val="ff0000"/>
            </a:solidFill>
            <a:miter/>
            <a:tailEnd len="med" type="triangle" w="med"/>
          </a:ln>
        </xdr:spPr>
      </xdr:cxnSp>
    </xdr:grpSp>
    <xdr:clientData/>
  </xdr:twoCellAnchor>
  <xdr:twoCellAnchor editAs="oneCell">
    <xdr:from>
      <xdr:col>11</xdr:col>
      <xdr:colOff>171360</xdr:colOff>
      <xdr:row>3</xdr:row>
      <xdr:rowOff>0</xdr:rowOff>
    </xdr:from>
    <xdr:to>
      <xdr:col>11</xdr:col>
      <xdr:colOff>378720</xdr:colOff>
      <xdr:row>4</xdr:row>
      <xdr:rowOff>26640</xdr:rowOff>
    </xdr:to>
    <xdr:sp>
      <xdr:nvSpPr>
        <xdr:cNvPr id="443" name="Shape 251"/>
        <xdr:cNvSpPr/>
      </xdr:nvSpPr>
      <xdr:spPr>
        <a:xfrm>
          <a:off x="7401600" y="542880"/>
          <a:ext cx="2073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11</xdr:col>
      <xdr:colOff>28440</xdr:colOff>
      <xdr:row>4</xdr:row>
      <xdr:rowOff>0</xdr:rowOff>
    </xdr:from>
    <xdr:to>
      <xdr:col>11</xdr:col>
      <xdr:colOff>144360</xdr:colOff>
      <xdr:row>4</xdr:row>
      <xdr:rowOff>87480</xdr:rowOff>
    </xdr:to>
    <xdr:grpSp>
      <xdr:nvGrpSpPr>
        <xdr:cNvPr id="444" name="Shape 2"/>
        <xdr:cNvGrpSpPr/>
      </xdr:nvGrpSpPr>
      <xdr:grpSpPr>
        <a:xfrm>
          <a:off x="7258680" y="695160"/>
          <a:ext cx="115920" cy="87480"/>
          <a:chOff x="7258680" y="695160"/>
          <a:chExt cx="115920" cy="87480"/>
        </a:xfrm>
      </xdr:grpSpPr>
      <xdr:cxnSp>
        <xdr:nvCxnSpPr>
          <xdr:cNvPr id="445" name="Shape 252"/>
          <xdr:cNvCxnSpPr/>
        </xdr:nvCxnSpPr>
        <xdr:spPr>
          <a:xfrm flipH="1">
            <a:off x="7258680" y="695160"/>
            <a:ext cx="116280" cy="87840"/>
          </a:xfrm>
          <a:prstGeom prst="straightConnector1">
            <a:avLst/>
          </a:prstGeom>
          <a:ln w="9525">
            <a:solidFill>
              <a:srgbClr val="000000"/>
            </a:solidFill>
            <a:miter/>
            <a:tailEnd len="med" type="triangle" w="med"/>
          </a:ln>
        </xdr:spPr>
      </xdr:cxnSp>
    </xdr:grpSp>
    <xdr:clientData/>
  </xdr:twoCellAnchor>
  <xdr:twoCellAnchor editAs="oneCell">
    <xdr:from>
      <xdr:col>11</xdr:col>
      <xdr:colOff>485640</xdr:colOff>
      <xdr:row>3</xdr:row>
      <xdr:rowOff>37440</xdr:rowOff>
    </xdr:from>
    <xdr:to>
      <xdr:col>12</xdr:col>
      <xdr:colOff>23400</xdr:colOff>
      <xdr:row>3</xdr:row>
      <xdr:rowOff>77760</xdr:rowOff>
    </xdr:to>
    <xdr:grpSp>
      <xdr:nvGrpSpPr>
        <xdr:cNvPr id="446" name="Shape 2"/>
        <xdr:cNvGrpSpPr/>
      </xdr:nvGrpSpPr>
      <xdr:grpSpPr>
        <a:xfrm>
          <a:off x="7715880" y="580320"/>
          <a:ext cx="163800" cy="40320"/>
          <a:chOff x="7715880" y="580320"/>
          <a:chExt cx="163800" cy="40320"/>
        </a:xfrm>
      </xdr:grpSpPr>
      <xdr:cxnSp>
        <xdr:nvCxnSpPr>
          <xdr:cNvPr id="447" name="Shape 253"/>
          <xdr:cNvCxnSpPr/>
        </xdr:nvCxnSpPr>
        <xdr:spPr>
          <a:xfrm flipV="1">
            <a:off x="7715880" y="580320"/>
            <a:ext cx="164160" cy="40680"/>
          </a:xfrm>
          <a:prstGeom prst="straightConnector1">
            <a:avLst/>
          </a:prstGeom>
          <a:ln w="9525">
            <a:solidFill>
              <a:srgbClr val="000000"/>
            </a:solidFill>
            <a:miter/>
            <a:tailEnd len="med" type="triangle" w="med"/>
          </a:ln>
        </xdr:spPr>
      </xdr:cxnSp>
    </xdr:grpSp>
    <xdr:clientData/>
  </xdr:twoCellAnchor>
  <xdr:twoCellAnchor editAs="oneCell">
    <xdr:from>
      <xdr:col>11</xdr:col>
      <xdr:colOff>390600</xdr:colOff>
      <xdr:row>23</xdr:row>
      <xdr:rowOff>85680</xdr:rowOff>
    </xdr:from>
    <xdr:to>
      <xdr:col>12</xdr:col>
      <xdr:colOff>248040</xdr:colOff>
      <xdr:row>24</xdr:row>
      <xdr:rowOff>112320</xdr:rowOff>
    </xdr:to>
    <xdr:sp>
      <xdr:nvSpPr>
        <xdr:cNvPr id="448" name="Shape 254"/>
        <xdr:cNvSpPr/>
      </xdr:nvSpPr>
      <xdr:spPr>
        <a:xfrm>
          <a:off x="7620840" y="3676680"/>
          <a:ext cx="4834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3</a:t>
          </a:r>
          <a:endParaRPr b="0" lang="en-US" sz="1000" strike="noStrike" u="none">
            <a:effectLst/>
            <a:uFillTx/>
            <a:latin typeface="Times New Roman"/>
          </a:endParaRPr>
        </a:p>
      </xdr:txBody>
    </xdr:sp>
    <xdr:clientData/>
  </xdr:twoCellAnchor>
  <xdr:twoCellAnchor editAs="oneCell">
    <xdr:from>
      <xdr:col>12</xdr:col>
      <xdr:colOff>162000</xdr:colOff>
      <xdr:row>6</xdr:row>
      <xdr:rowOff>104760</xdr:rowOff>
    </xdr:from>
    <xdr:to>
      <xdr:col>13</xdr:col>
      <xdr:colOff>57600</xdr:colOff>
      <xdr:row>7</xdr:row>
      <xdr:rowOff>131400</xdr:rowOff>
    </xdr:to>
    <xdr:sp>
      <xdr:nvSpPr>
        <xdr:cNvPr id="449" name="Shape 255"/>
        <xdr:cNvSpPr/>
      </xdr:nvSpPr>
      <xdr:spPr>
        <a:xfrm>
          <a:off x="8018280" y="1104840"/>
          <a:ext cx="5216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Monopole</a:t>
          </a:r>
          <a:endParaRPr b="0" lang="en-US" sz="1000" strike="noStrike" u="none">
            <a:effectLst/>
            <a:uFillTx/>
            <a:latin typeface="Times New Roman"/>
          </a:endParaRPr>
        </a:p>
      </xdr:txBody>
    </xdr:sp>
    <xdr:clientData/>
  </xdr:twoCellAnchor>
  <xdr:twoCellAnchor editAs="oneCell">
    <xdr:from>
      <xdr:col>16</xdr:col>
      <xdr:colOff>324000</xdr:colOff>
      <xdr:row>10</xdr:row>
      <xdr:rowOff>28440</xdr:rowOff>
    </xdr:from>
    <xdr:to>
      <xdr:col>18</xdr:col>
      <xdr:colOff>44640</xdr:colOff>
      <xdr:row>15</xdr:row>
      <xdr:rowOff>45360</xdr:rowOff>
    </xdr:to>
    <xdr:sp>
      <xdr:nvSpPr>
        <xdr:cNvPr id="450" name="Shape 256"/>
        <xdr:cNvSpPr/>
      </xdr:nvSpPr>
      <xdr:spPr>
        <a:xfrm>
          <a:off x="11319120" y="1638000"/>
          <a:ext cx="1007640" cy="77904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16</xdr:col>
      <xdr:colOff>324000</xdr:colOff>
      <xdr:row>15</xdr:row>
      <xdr:rowOff>38160</xdr:rowOff>
    </xdr:from>
    <xdr:to>
      <xdr:col>18</xdr:col>
      <xdr:colOff>44640</xdr:colOff>
      <xdr:row>15</xdr:row>
      <xdr:rowOff>121680</xdr:rowOff>
    </xdr:to>
    <xdr:sp>
      <xdr:nvSpPr>
        <xdr:cNvPr id="451" name="Shape 257"/>
        <xdr:cNvSpPr/>
      </xdr:nvSpPr>
      <xdr:spPr>
        <a:xfrm>
          <a:off x="11319120" y="2409840"/>
          <a:ext cx="1007640" cy="835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16</xdr:col>
      <xdr:colOff>324000</xdr:colOff>
      <xdr:row>9</xdr:row>
      <xdr:rowOff>85680</xdr:rowOff>
    </xdr:from>
    <xdr:to>
      <xdr:col>18</xdr:col>
      <xdr:colOff>44640</xdr:colOff>
      <xdr:row>10</xdr:row>
      <xdr:rowOff>16920</xdr:rowOff>
    </xdr:to>
    <xdr:sp>
      <xdr:nvSpPr>
        <xdr:cNvPr id="452" name="Shape 257"/>
        <xdr:cNvSpPr/>
      </xdr:nvSpPr>
      <xdr:spPr>
        <a:xfrm>
          <a:off x="11319120" y="1542960"/>
          <a:ext cx="1007640" cy="835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17</xdr:col>
      <xdr:colOff>218880</xdr:colOff>
      <xdr:row>2</xdr:row>
      <xdr:rowOff>75960</xdr:rowOff>
    </xdr:from>
    <xdr:to>
      <xdr:col>17</xdr:col>
      <xdr:colOff>220680</xdr:colOff>
      <xdr:row>9</xdr:row>
      <xdr:rowOff>96840</xdr:rowOff>
    </xdr:to>
    <xdr:grpSp>
      <xdr:nvGrpSpPr>
        <xdr:cNvPr id="453" name="Shape 2"/>
        <xdr:cNvGrpSpPr/>
      </xdr:nvGrpSpPr>
      <xdr:grpSpPr>
        <a:xfrm>
          <a:off x="11840040" y="466560"/>
          <a:ext cx="1800" cy="1087560"/>
          <a:chOff x="11840040" y="466560"/>
          <a:chExt cx="1800" cy="1087560"/>
        </a:xfrm>
      </xdr:grpSpPr>
      <xdr:cxnSp>
        <xdr:nvCxnSpPr>
          <xdr:cNvPr id="454" name="Shape 258"/>
          <xdr:cNvCxnSpPr/>
        </xdr:nvCxnSpPr>
        <xdr:spPr>
          <a:xfrm flipV="1">
            <a:off x="11840040" y="466560"/>
            <a:ext cx="2160" cy="1087920"/>
          </a:xfrm>
          <a:prstGeom prst="straightConnector1">
            <a:avLst/>
          </a:prstGeom>
          <a:ln w="9525">
            <a:solidFill>
              <a:srgbClr val="000000"/>
            </a:solidFill>
            <a:miter/>
          </a:ln>
        </xdr:spPr>
      </xdr:cxnSp>
    </xdr:grpSp>
    <xdr:clientData/>
  </xdr:twoCellAnchor>
  <xdr:twoCellAnchor editAs="oneCell">
    <xdr:from>
      <xdr:col>17</xdr:col>
      <xdr:colOff>209520</xdr:colOff>
      <xdr:row>15</xdr:row>
      <xdr:rowOff>114120</xdr:rowOff>
    </xdr:from>
    <xdr:to>
      <xdr:col>17</xdr:col>
      <xdr:colOff>211320</xdr:colOff>
      <xdr:row>22</xdr:row>
      <xdr:rowOff>78120</xdr:rowOff>
    </xdr:to>
    <xdr:grpSp>
      <xdr:nvGrpSpPr>
        <xdr:cNvPr id="455" name="Shape 2"/>
        <xdr:cNvGrpSpPr/>
      </xdr:nvGrpSpPr>
      <xdr:grpSpPr>
        <a:xfrm>
          <a:off x="11830680" y="2485800"/>
          <a:ext cx="1800" cy="1030680"/>
          <a:chOff x="11830680" y="2485800"/>
          <a:chExt cx="1800" cy="1030680"/>
        </a:xfrm>
      </xdr:grpSpPr>
      <xdr:cxnSp>
        <xdr:nvCxnSpPr>
          <xdr:cNvPr id="456" name="Shape 259"/>
          <xdr:cNvCxnSpPr/>
        </xdr:nvCxnSpPr>
        <xdr:spPr>
          <a:xfrm flipV="1">
            <a:off x="11830680" y="2485800"/>
            <a:ext cx="2160" cy="1031040"/>
          </a:xfrm>
          <a:prstGeom prst="straightConnector1">
            <a:avLst/>
          </a:prstGeom>
          <a:ln w="9525">
            <a:solidFill>
              <a:srgbClr val="000000"/>
            </a:solidFill>
            <a:miter/>
          </a:ln>
        </xdr:spPr>
      </xdr:cxnSp>
    </xdr:grpSp>
    <xdr:clientData/>
  </xdr:twoCellAnchor>
  <xdr:twoCellAnchor editAs="oneCell">
    <xdr:from>
      <xdr:col>18</xdr:col>
      <xdr:colOff>114120</xdr:colOff>
      <xdr:row>12</xdr:row>
      <xdr:rowOff>75960</xdr:rowOff>
    </xdr:from>
    <xdr:to>
      <xdr:col>19</xdr:col>
      <xdr:colOff>128160</xdr:colOff>
      <xdr:row>12</xdr:row>
      <xdr:rowOff>77760</xdr:rowOff>
    </xdr:to>
    <xdr:grpSp>
      <xdr:nvGrpSpPr>
        <xdr:cNvPr id="457" name="Shape 2"/>
        <xdr:cNvGrpSpPr/>
      </xdr:nvGrpSpPr>
      <xdr:grpSpPr>
        <a:xfrm>
          <a:off x="12396240" y="1990440"/>
          <a:ext cx="640080" cy="1800"/>
          <a:chOff x="12396240" y="1990440"/>
          <a:chExt cx="640080" cy="1800"/>
        </a:xfrm>
      </xdr:grpSpPr>
      <xdr:cxnSp>
        <xdr:nvCxnSpPr>
          <xdr:cNvPr id="458" name="Shape 260"/>
          <xdr:cNvCxnSpPr/>
        </xdr:nvCxnSpPr>
        <xdr:spPr>
          <a:xfrm>
            <a:off x="12396240" y="1990440"/>
            <a:ext cx="640440" cy="2160"/>
          </a:xfrm>
          <a:prstGeom prst="straightConnector1">
            <a:avLst/>
          </a:prstGeom>
          <a:ln w="38100">
            <a:solidFill>
              <a:srgbClr val="000000"/>
            </a:solidFill>
            <a:miter/>
          </a:ln>
        </xdr:spPr>
      </xdr:cxnSp>
    </xdr:grpSp>
    <xdr:clientData/>
  </xdr:twoCellAnchor>
  <xdr:twoCellAnchor editAs="oneCell">
    <xdr:from>
      <xdr:col>15</xdr:col>
      <xdr:colOff>285480</xdr:colOff>
      <xdr:row>12</xdr:row>
      <xdr:rowOff>75960</xdr:rowOff>
    </xdr:from>
    <xdr:to>
      <xdr:col>16</xdr:col>
      <xdr:colOff>299520</xdr:colOff>
      <xdr:row>12</xdr:row>
      <xdr:rowOff>77760</xdr:rowOff>
    </xdr:to>
    <xdr:grpSp>
      <xdr:nvGrpSpPr>
        <xdr:cNvPr id="459" name="Shape 2"/>
        <xdr:cNvGrpSpPr/>
      </xdr:nvGrpSpPr>
      <xdr:grpSpPr>
        <a:xfrm>
          <a:off x="10654560" y="1990440"/>
          <a:ext cx="640080" cy="1800"/>
          <a:chOff x="10654560" y="1990440"/>
          <a:chExt cx="640080" cy="1800"/>
        </a:xfrm>
      </xdr:grpSpPr>
      <xdr:cxnSp>
        <xdr:nvCxnSpPr>
          <xdr:cNvPr id="460" name="Shape 260"/>
          <xdr:cNvCxnSpPr/>
        </xdr:nvCxnSpPr>
        <xdr:spPr>
          <a:xfrm>
            <a:off x="10654560" y="1990440"/>
            <a:ext cx="640440" cy="2160"/>
          </a:xfrm>
          <a:prstGeom prst="straightConnector1">
            <a:avLst/>
          </a:prstGeom>
          <a:ln w="38100">
            <a:solidFill>
              <a:srgbClr val="000000"/>
            </a:solidFill>
            <a:miter/>
          </a:ln>
        </xdr:spPr>
      </xdr:cxnSp>
    </xdr:grpSp>
    <xdr:clientData/>
  </xdr:twoCellAnchor>
  <xdr:twoCellAnchor editAs="oneCell">
    <xdr:from>
      <xdr:col>17</xdr:col>
      <xdr:colOff>371520</xdr:colOff>
      <xdr:row>2</xdr:row>
      <xdr:rowOff>9360</xdr:rowOff>
    </xdr:from>
    <xdr:to>
      <xdr:col>17</xdr:col>
      <xdr:colOff>455040</xdr:colOff>
      <xdr:row>3</xdr:row>
      <xdr:rowOff>55080</xdr:rowOff>
    </xdr:to>
    <xdr:sp>
      <xdr:nvSpPr>
        <xdr:cNvPr id="461" name="Shape 261"/>
        <xdr:cNvSpPr/>
      </xdr:nvSpPr>
      <xdr:spPr>
        <a:xfrm>
          <a:off x="11992680" y="399960"/>
          <a:ext cx="83520" cy="198000"/>
        </a:xfrm>
        <a:prstGeom prst="rect">
          <a:avLst/>
        </a:prstGeom>
        <a:noFill/>
        <a:ln w="0">
          <a:noFill/>
        </a:ln>
      </xdr:spPr>
      <xdr:style>
        <a:lnRef idx="0"/>
        <a:fillRef idx="0"/>
        <a:effectRef idx="0"/>
        <a:fontRef idx="minor"/>
      </xdr:style>
    </xdr:sp>
    <xdr:clientData/>
  </xdr:twoCellAnchor>
  <xdr:twoCellAnchor editAs="oneCell">
    <xdr:from>
      <xdr:col>17</xdr:col>
      <xdr:colOff>142920</xdr:colOff>
      <xdr:row>22</xdr:row>
      <xdr:rowOff>104760</xdr:rowOff>
    </xdr:from>
    <xdr:to>
      <xdr:col>17</xdr:col>
      <xdr:colOff>264600</xdr:colOff>
      <xdr:row>23</xdr:row>
      <xdr:rowOff>131040</xdr:rowOff>
    </xdr:to>
    <xdr:sp>
      <xdr:nvSpPr>
        <xdr:cNvPr id="462" name="Shape 262"/>
        <xdr:cNvSpPr/>
      </xdr:nvSpPr>
      <xdr:spPr>
        <a:xfrm>
          <a:off x="11764080" y="3543120"/>
          <a:ext cx="121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15</xdr:col>
      <xdr:colOff>0</xdr:colOff>
      <xdr:row>12</xdr:row>
      <xdr:rowOff>9360</xdr:rowOff>
    </xdr:from>
    <xdr:to>
      <xdr:col>15</xdr:col>
      <xdr:colOff>159840</xdr:colOff>
      <xdr:row>13</xdr:row>
      <xdr:rowOff>36000</xdr:rowOff>
    </xdr:to>
    <xdr:sp>
      <xdr:nvSpPr>
        <xdr:cNvPr id="463" name="Shape 263"/>
        <xdr:cNvSpPr/>
      </xdr:nvSpPr>
      <xdr:spPr>
        <a:xfrm>
          <a:off x="10369080" y="1923840"/>
          <a:ext cx="1598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19</xdr:col>
      <xdr:colOff>200160</xdr:colOff>
      <xdr:row>12</xdr:row>
      <xdr:rowOff>9360</xdr:rowOff>
    </xdr:from>
    <xdr:to>
      <xdr:col>19</xdr:col>
      <xdr:colOff>340920</xdr:colOff>
      <xdr:row>13</xdr:row>
      <xdr:rowOff>36000</xdr:rowOff>
    </xdr:to>
    <xdr:sp>
      <xdr:nvSpPr>
        <xdr:cNvPr id="464" name="Shape 264"/>
        <xdr:cNvSpPr/>
      </xdr:nvSpPr>
      <xdr:spPr>
        <a:xfrm>
          <a:off x="13108320" y="1923840"/>
          <a:ext cx="1407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17</xdr:col>
      <xdr:colOff>104760</xdr:colOff>
      <xdr:row>12</xdr:row>
      <xdr:rowOff>0</xdr:rowOff>
    </xdr:from>
    <xdr:to>
      <xdr:col>17</xdr:col>
      <xdr:colOff>264600</xdr:colOff>
      <xdr:row>13</xdr:row>
      <xdr:rowOff>26640</xdr:rowOff>
    </xdr:to>
    <xdr:sp>
      <xdr:nvSpPr>
        <xdr:cNvPr id="465" name="Shape 265"/>
        <xdr:cNvSpPr/>
      </xdr:nvSpPr>
      <xdr:spPr>
        <a:xfrm>
          <a:off x="11725920" y="1914480"/>
          <a:ext cx="1598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15</xdr:col>
      <xdr:colOff>332640</xdr:colOff>
      <xdr:row>1</xdr:row>
      <xdr:rowOff>114120</xdr:rowOff>
    </xdr:from>
    <xdr:to>
      <xdr:col>17</xdr:col>
      <xdr:colOff>130680</xdr:colOff>
      <xdr:row>12</xdr:row>
      <xdr:rowOff>49320</xdr:rowOff>
    </xdr:to>
    <xdr:grpSp>
      <xdr:nvGrpSpPr>
        <xdr:cNvPr id="466" name="Shape 2"/>
        <xdr:cNvGrpSpPr/>
      </xdr:nvGrpSpPr>
      <xdr:grpSpPr>
        <a:xfrm>
          <a:off x="10701720" y="342720"/>
          <a:ext cx="1050120" cy="1621080"/>
          <a:chOff x="10701720" y="342720"/>
          <a:chExt cx="1050120" cy="1621080"/>
        </a:xfrm>
      </xdr:grpSpPr>
      <xdr:cxnSp>
        <xdr:nvCxnSpPr>
          <xdr:cNvPr id="467" name="Shape 266"/>
          <xdr:cNvCxnSpPr/>
        </xdr:nvCxnSpPr>
        <xdr:spPr>
          <a:xfrm flipH="1" flipV="1">
            <a:off x="10701720" y="342720"/>
            <a:ext cx="1050480" cy="1621440"/>
          </a:xfrm>
          <a:prstGeom prst="straightConnector1">
            <a:avLst/>
          </a:prstGeom>
          <a:ln w="9525">
            <a:solidFill>
              <a:srgbClr val="ff0000"/>
            </a:solidFill>
            <a:miter/>
            <a:tailEnd len="med" type="triangle" w="med"/>
          </a:ln>
        </xdr:spPr>
      </xdr:cxnSp>
    </xdr:grpSp>
    <xdr:clientData/>
  </xdr:twoCellAnchor>
  <xdr:twoCellAnchor editAs="oneCell">
    <xdr:from>
      <xdr:col>16</xdr:col>
      <xdr:colOff>304920</xdr:colOff>
      <xdr:row>3</xdr:row>
      <xdr:rowOff>66600</xdr:rowOff>
    </xdr:from>
    <xdr:to>
      <xdr:col>16</xdr:col>
      <xdr:colOff>512280</xdr:colOff>
      <xdr:row>4</xdr:row>
      <xdr:rowOff>93240</xdr:rowOff>
    </xdr:to>
    <xdr:sp>
      <xdr:nvSpPr>
        <xdr:cNvPr id="468" name="Shape 267"/>
        <xdr:cNvSpPr/>
      </xdr:nvSpPr>
      <xdr:spPr>
        <a:xfrm>
          <a:off x="11300040" y="609480"/>
          <a:ext cx="2073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16</xdr:col>
      <xdr:colOff>104760</xdr:colOff>
      <xdr:row>4</xdr:row>
      <xdr:rowOff>37800</xdr:rowOff>
    </xdr:from>
    <xdr:to>
      <xdr:col>16</xdr:col>
      <xdr:colOff>287280</xdr:colOff>
      <xdr:row>5</xdr:row>
      <xdr:rowOff>10800</xdr:rowOff>
    </xdr:to>
    <xdr:grpSp>
      <xdr:nvGrpSpPr>
        <xdr:cNvPr id="469" name="Shape 2"/>
        <xdr:cNvGrpSpPr/>
      </xdr:nvGrpSpPr>
      <xdr:grpSpPr>
        <a:xfrm>
          <a:off x="11099880" y="732960"/>
          <a:ext cx="182520" cy="125640"/>
          <a:chOff x="11099880" y="732960"/>
          <a:chExt cx="182520" cy="125640"/>
        </a:xfrm>
      </xdr:grpSpPr>
      <xdr:cxnSp>
        <xdr:nvCxnSpPr>
          <xdr:cNvPr id="470" name="Shape 268"/>
          <xdr:cNvCxnSpPr/>
        </xdr:nvCxnSpPr>
        <xdr:spPr>
          <a:xfrm flipH="1">
            <a:off x="11099880" y="732960"/>
            <a:ext cx="182880" cy="126000"/>
          </a:xfrm>
          <a:prstGeom prst="straightConnector1">
            <a:avLst/>
          </a:prstGeom>
          <a:ln w="9525">
            <a:solidFill>
              <a:srgbClr val="000000"/>
            </a:solidFill>
            <a:miter/>
            <a:tailEnd len="med" type="triangle" w="med"/>
          </a:ln>
        </xdr:spPr>
      </xdr:cxnSp>
    </xdr:grpSp>
    <xdr:clientData/>
  </xdr:twoCellAnchor>
  <xdr:twoCellAnchor editAs="oneCell">
    <xdr:from>
      <xdr:col>16</xdr:col>
      <xdr:colOff>561960</xdr:colOff>
      <xdr:row>3</xdr:row>
      <xdr:rowOff>66240</xdr:rowOff>
    </xdr:from>
    <xdr:to>
      <xdr:col>17</xdr:col>
      <xdr:colOff>175680</xdr:colOff>
      <xdr:row>3</xdr:row>
      <xdr:rowOff>106560</xdr:rowOff>
    </xdr:to>
    <xdr:grpSp>
      <xdr:nvGrpSpPr>
        <xdr:cNvPr id="471" name="Shape 2"/>
        <xdr:cNvGrpSpPr/>
      </xdr:nvGrpSpPr>
      <xdr:grpSpPr>
        <a:xfrm>
          <a:off x="11557080" y="609120"/>
          <a:ext cx="239760" cy="40320"/>
          <a:chOff x="11557080" y="609120"/>
          <a:chExt cx="239760" cy="40320"/>
        </a:xfrm>
      </xdr:grpSpPr>
      <xdr:cxnSp>
        <xdr:nvCxnSpPr>
          <xdr:cNvPr id="472" name="Shape 269"/>
          <xdr:cNvCxnSpPr/>
        </xdr:nvCxnSpPr>
        <xdr:spPr>
          <a:xfrm flipV="1">
            <a:off x="11557080" y="609120"/>
            <a:ext cx="240120" cy="40680"/>
          </a:xfrm>
          <a:prstGeom prst="straightConnector1">
            <a:avLst/>
          </a:prstGeom>
          <a:ln w="9525">
            <a:solidFill>
              <a:srgbClr val="000000"/>
            </a:solidFill>
            <a:miter/>
            <a:tailEnd len="med" type="triangle" w="med"/>
          </a:ln>
        </xdr:spPr>
      </xdr:cxnSp>
    </xdr:grpSp>
    <xdr:clientData/>
  </xdr:twoCellAnchor>
  <xdr:twoCellAnchor editAs="oneCell">
    <xdr:from>
      <xdr:col>16</xdr:col>
      <xdr:colOff>542880</xdr:colOff>
      <xdr:row>23</xdr:row>
      <xdr:rowOff>85680</xdr:rowOff>
    </xdr:from>
    <xdr:to>
      <xdr:col>17</xdr:col>
      <xdr:colOff>390960</xdr:colOff>
      <xdr:row>24</xdr:row>
      <xdr:rowOff>112320</xdr:rowOff>
    </xdr:to>
    <xdr:sp>
      <xdr:nvSpPr>
        <xdr:cNvPr id="473" name="Shape 270"/>
        <xdr:cNvSpPr/>
      </xdr:nvSpPr>
      <xdr:spPr>
        <a:xfrm>
          <a:off x="11538000" y="3676680"/>
          <a:ext cx="4741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4</a:t>
          </a:r>
          <a:endParaRPr b="0" lang="en-US" sz="1000" strike="noStrike" u="none">
            <a:effectLst/>
            <a:uFillTx/>
            <a:latin typeface="Times New Roman"/>
          </a:endParaRPr>
        </a:p>
      </xdr:txBody>
    </xdr:sp>
    <xdr:clientData/>
  </xdr:twoCellAnchor>
  <xdr:twoCellAnchor editAs="oneCell">
    <xdr:from>
      <xdr:col>18</xdr:col>
      <xdr:colOff>200160</xdr:colOff>
      <xdr:row>13</xdr:row>
      <xdr:rowOff>38160</xdr:rowOff>
    </xdr:from>
    <xdr:to>
      <xdr:col>18</xdr:col>
      <xdr:colOff>541080</xdr:colOff>
      <xdr:row>14</xdr:row>
      <xdr:rowOff>64440</xdr:rowOff>
    </xdr:to>
    <xdr:sp>
      <xdr:nvSpPr>
        <xdr:cNvPr id="474" name="Shape 271"/>
        <xdr:cNvSpPr/>
      </xdr:nvSpPr>
      <xdr:spPr>
        <a:xfrm>
          <a:off x="12482280" y="2104920"/>
          <a:ext cx="3409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Dipole</a:t>
          </a:r>
          <a:endParaRPr b="0" lang="en-US" sz="1000" strike="noStrike" u="none">
            <a:effectLst/>
            <a:uFillTx/>
            <a:latin typeface="Times New Roman"/>
          </a:endParaRPr>
        </a:p>
      </xdr:txBody>
    </xdr:sp>
    <xdr:clientData/>
  </xdr:twoCellAnchor>
  <xdr:twoCellAnchor editAs="oneCell">
    <xdr:from>
      <xdr:col>22</xdr:col>
      <xdr:colOff>361800</xdr:colOff>
      <xdr:row>10</xdr:row>
      <xdr:rowOff>9360</xdr:rowOff>
    </xdr:from>
    <xdr:to>
      <xdr:col>24</xdr:col>
      <xdr:colOff>117360</xdr:colOff>
      <xdr:row>15</xdr:row>
      <xdr:rowOff>35640</xdr:rowOff>
    </xdr:to>
    <xdr:sp>
      <xdr:nvSpPr>
        <xdr:cNvPr id="475" name="Shape 272"/>
        <xdr:cNvSpPr/>
      </xdr:nvSpPr>
      <xdr:spPr>
        <a:xfrm>
          <a:off x="15148440" y="1618920"/>
          <a:ext cx="1007640" cy="78840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22</xdr:col>
      <xdr:colOff>361800</xdr:colOff>
      <xdr:row>15</xdr:row>
      <xdr:rowOff>38160</xdr:rowOff>
    </xdr:from>
    <xdr:to>
      <xdr:col>24</xdr:col>
      <xdr:colOff>117360</xdr:colOff>
      <xdr:row>15</xdr:row>
      <xdr:rowOff>102600</xdr:rowOff>
    </xdr:to>
    <xdr:sp>
      <xdr:nvSpPr>
        <xdr:cNvPr id="476" name="Shape 273"/>
        <xdr:cNvSpPr/>
      </xdr:nvSpPr>
      <xdr:spPr>
        <a:xfrm>
          <a:off x="15148440" y="2409840"/>
          <a:ext cx="1007640" cy="6444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22</xdr:col>
      <xdr:colOff>361800</xdr:colOff>
      <xdr:row>9</xdr:row>
      <xdr:rowOff>85680</xdr:rowOff>
    </xdr:from>
    <xdr:to>
      <xdr:col>24</xdr:col>
      <xdr:colOff>117360</xdr:colOff>
      <xdr:row>10</xdr:row>
      <xdr:rowOff>7560</xdr:rowOff>
    </xdr:to>
    <xdr:sp>
      <xdr:nvSpPr>
        <xdr:cNvPr id="477" name="Shape 274"/>
        <xdr:cNvSpPr/>
      </xdr:nvSpPr>
      <xdr:spPr>
        <a:xfrm>
          <a:off x="15148440" y="1542960"/>
          <a:ext cx="1007640" cy="7416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22</xdr:col>
      <xdr:colOff>66600</xdr:colOff>
      <xdr:row>15</xdr:row>
      <xdr:rowOff>94680</xdr:rowOff>
    </xdr:from>
    <xdr:to>
      <xdr:col>22</xdr:col>
      <xdr:colOff>534960</xdr:colOff>
      <xdr:row>19</xdr:row>
      <xdr:rowOff>87480</xdr:rowOff>
    </xdr:to>
    <xdr:grpSp>
      <xdr:nvGrpSpPr>
        <xdr:cNvPr id="478" name="Shape 2"/>
        <xdr:cNvGrpSpPr/>
      </xdr:nvGrpSpPr>
      <xdr:grpSpPr>
        <a:xfrm>
          <a:off x="14853240" y="2466360"/>
          <a:ext cx="468360" cy="602280"/>
          <a:chOff x="14853240" y="2466360"/>
          <a:chExt cx="468360" cy="602280"/>
        </a:xfrm>
      </xdr:grpSpPr>
      <xdr:cxnSp>
        <xdr:nvCxnSpPr>
          <xdr:cNvPr id="479" name="Shape 275"/>
          <xdr:cNvCxnSpPr/>
        </xdr:nvCxnSpPr>
        <xdr:spPr>
          <a:xfrm flipV="1">
            <a:off x="14853240" y="2466360"/>
            <a:ext cx="468720" cy="602640"/>
          </a:xfrm>
          <a:prstGeom prst="straightConnector1">
            <a:avLst/>
          </a:prstGeom>
          <a:ln w="28575">
            <a:solidFill>
              <a:srgbClr val="000000"/>
            </a:solidFill>
            <a:miter/>
          </a:ln>
        </xdr:spPr>
      </xdr:cxnSp>
    </xdr:grpSp>
    <xdr:clientData/>
  </xdr:twoCellAnchor>
  <xdr:twoCellAnchor editAs="oneCell">
    <xdr:from>
      <xdr:col>23</xdr:col>
      <xdr:colOff>266400</xdr:colOff>
      <xdr:row>2</xdr:row>
      <xdr:rowOff>75960</xdr:rowOff>
    </xdr:from>
    <xdr:to>
      <xdr:col>23</xdr:col>
      <xdr:colOff>268200</xdr:colOff>
      <xdr:row>9</xdr:row>
      <xdr:rowOff>96840</xdr:rowOff>
    </xdr:to>
    <xdr:grpSp>
      <xdr:nvGrpSpPr>
        <xdr:cNvPr id="480" name="Shape 2"/>
        <xdr:cNvGrpSpPr/>
      </xdr:nvGrpSpPr>
      <xdr:grpSpPr>
        <a:xfrm>
          <a:off x="15679080" y="466560"/>
          <a:ext cx="1800" cy="1087560"/>
          <a:chOff x="15679080" y="466560"/>
          <a:chExt cx="1800" cy="1087560"/>
        </a:xfrm>
      </xdr:grpSpPr>
      <xdr:cxnSp>
        <xdr:nvCxnSpPr>
          <xdr:cNvPr id="481" name="Shape 258"/>
          <xdr:cNvCxnSpPr/>
        </xdr:nvCxnSpPr>
        <xdr:spPr>
          <a:xfrm flipV="1">
            <a:off x="15679080" y="466560"/>
            <a:ext cx="2160" cy="1087920"/>
          </a:xfrm>
          <a:prstGeom prst="straightConnector1">
            <a:avLst/>
          </a:prstGeom>
          <a:ln w="9525">
            <a:solidFill>
              <a:srgbClr val="000000"/>
            </a:solidFill>
            <a:miter/>
          </a:ln>
        </xdr:spPr>
      </xdr:cxnSp>
    </xdr:grpSp>
    <xdr:clientData/>
  </xdr:twoCellAnchor>
  <xdr:twoCellAnchor editAs="oneCell">
    <xdr:from>
      <xdr:col>23</xdr:col>
      <xdr:colOff>257040</xdr:colOff>
      <xdr:row>15</xdr:row>
      <xdr:rowOff>95040</xdr:rowOff>
    </xdr:from>
    <xdr:to>
      <xdr:col>23</xdr:col>
      <xdr:colOff>258840</xdr:colOff>
      <xdr:row>22</xdr:row>
      <xdr:rowOff>78120</xdr:rowOff>
    </xdr:to>
    <xdr:grpSp>
      <xdr:nvGrpSpPr>
        <xdr:cNvPr id="482" name="Shape 2"/>
        <xdr:cNvGrpSpPr/>
      </xdr:nvGrpSpPr>
      <xdr:grpSpPr>
        <a:xfrm>
          <a:off x="15669720" y="2466720"/>
          <a:ext cx="1800" cy="1049760"/>
          <a:chOff x="15669720" y="2466720"/>
          <a:chExt cx="1800" cy="1049760"/>
        </a:xfrm>
      </xdr:grpSpPr>
      <xdr:cxnSp>
        <xdr:nvCxnSpPr>
          <xdr:cNvPr id="483" name="Shape 241"/>
          <xdr:cNvCxnSpPr/>
        </xdr:nvCxnSpPr>
        <xdr:spPr>
          <a:xfrm flipV="1">
            <a:off x="15669720" y="2466720"/>
            <a:ext cx="2160" cy="1050120"/>
          </a:xfrm>
          <a:prstGeom prst="straightConnector1">
            <a:avLst/>
          </a:prstGeom>
          <a:ln w="9525">
            <a:solidFill>
              <a:srgbClr val="000000"/>
            </a:solidFill>
            <a:miter/>
          </a:ln>
        </xdr:spPr>
      </xdr:cxnSp>
    </xdr:grpSp>
    <xdr:clientData/>
  </xdr:twoCellAnchor>
  <xdr:twoCellAnchor editAs="oneCell">
    <xdr:from>
      <xdr:col>24</xdr:col>
      <xdr:colOff>218880</xdr:colOff>
      <xdr:row>12</xdr:row>
      <xdr:rowOff>75960</xdr:rowOff>
    </xdr:from>
    <xdr:to>
      <xdr:col>25</xdr:col>
      <xdr:colOff>232560</xdr:colOff>
      <xdr:row>12</xdr:row>
      <xdr:rowOff>77760</xdr:rowOff>
    </xdr:to>
    <xdr:grpSp>
      <xdr:nvGrpSpPr>
        <xdr:cNvPr id="484" name="Shape 2"/>
        <xdr:cNvGrpSpPr/>
      </xdr:nvGrpSpPr>
      <xdr:grpSpPr>
        <a:xfrm>
          <a:off x="16257600" y="1990440"/>
          <a:ext cx="640080" cy="1800"/>
          <a:chOff x="16257600" y="1990440"/>
          <a:chExt cx="640080" cy="1800"/>
        </a:xfrm>
      </xdr:grpSpPr>
      <xdr:cxnSp>
        <xdr:nvCxnSpPr>
          <xdr:cNvPr id="485" name="Shape 243"/>
          <xdr:cNvCxnSpPr/>
        </xdr:nvCxnSpPr>
        <xdr:spPr>
          <a:xfrm>
            <a:off x="16257600" y="1990440"/>
            <a:ext cx="640440" cy="2160"/>
          </a:xfrm>
          <a:prstGeom prst="straightConnector1">
            <a:avLst/>
          </a:prstGeom>
          <a:ln w="9525">
            <a:solidFill>
              <a:srgbClr val="000000"/>
            </a:solidFill>
            <a:miter/>
          </a:ln>
        </xdr:spPr>
      </xdr:cxnSp>
    </xdr:grpSp>
    <xdr:clientData/>
  </xdr:twoCellAnchor>
  <xdr:twoCellAnchor editAs="oneCell">
    <xdr:from>
      <xdr:col>21</xdr:col>
      <xdr:colOff>295200</xdr:colOff>
      <xdr:row>12</xdr:row>
      <xdr:rowOff>75960</xdr:rowOff>
    </xdr:from>
    <xdr:to>
      <xdr:col>22</xdr:col>
      <xdr:colOff>308880</xdr:colOff>
      <xdr:row>12</xdr:row>
      <xdr:rowOff>77760</xdr:rowOff>
    </xdr:to>
    <xdr:grpSp>
      <xdr:nvGrpSpPr>
        <xdr:cNvPr id="486" name="Shape 2"/>
        <xdr:cNvGrpSpPr/>
      </xdr:nvGrpSpPr>
      <xdr:grpSpPr>
        <a:xfrm>
          <a:off x="14455800" y="1990440"/>
          <a:ext cx="639720" cy="1800"/>
          <a:chOff x="14455800" y="1990440"/>
          <a:chExt cx="639720" cy="1800"/>
        </a:xfrm>
      </xdr:grpSpPr>
      <xdr:cxnSp>
        <xdr:nvCxnSpPr>
          <xdr:cNvPr id="487" name="Shape 243"/>
          <xdr:cNvCxnSpPr/>
        </xdr:nvCxnSpPr>
        <xdr:spPr>
          <a:xfrm>
            <a:off x="14455800" y="1990440"/>
            <a:ext cx="640080" cy="2160"/>
          </a:xfrm>
          <a:prstGeom prst="straightConnector1">
            <a:avLst/>
          </a:prstGeom>
          <a:ln w="9525">
            <a:solidFill>
              <a:srgbClr val="000000"/>
            </a:solidFill>
            <a:miter/>
          </a:ln>
        </xdr:spPr>
      </xdr:cxnSp>
    </xdr:grpSp>
    <xdr:clientData/>
  </xdr:twoCellAnchor>
  <xdr:twoCellAnchor editAs="oneCell">
    <xdr:from>
      <xdr:col>23</xdr:col>
      <xdr:colOff>419040</xdr:colOff>
      <xdr:row>2</xdr:row>
      <xdr:rowOff>0</xdr:rowOff>
    </xdr:from>
    <xdr:to>
      <xdr:col>23</xdr:col>
      <xdr:colOff>502560</xdr:colOff>
      <xdr:row>3</xdr:row>
      <xdr:rowOff>45720</xdr:rowOff>
    </xdr:to>
    <xdr:sp>
      <xdr:nvSpPr>
        <xdr:cNvPr id="488" name="Shape 261"/>
        <xdr:cNvSpPr/>
      </xdr:nvSpPr>
      <xdr:spPr>
        <a:xfrm>
          <a:off x="15831720" y="390600"/>
          <a:ext cx="83520" cy="198000"/>
        </a:xfrm>
        <a:prstGeom prst="rect">
          <a:avLst/>
        </a:prstGeom>
        <a:noFill/>
        <a:ln w="0">
          <a:noFill/>
        </a:ln>
      </xdr:spPr>
      <xdr:style>
        <a:lnRef idx="0"/>
        <a:fillRef idx="0"/>
        <a:effectRef idx="0"/>
        <a:fontRef idx="minor"/>
      </xdr:style>
    </xdr:sp>
    <xdr:clientData/>
  </xdr:twoCellAnchor>
  <xdr:twoCellAnchor editAs="oneCell">
    <xdr:from>
      <xdr:col>23</xdr:col>
      <xdr:colOff>171360</xdr:colOff>
      <xdr:row>22</xdr:row>
      <xdr:rowOff>104760</xdr:rowOff>
    </xdr:from>
    <xdr:to>
      <xdr:col>23</xdr:col>
      <xdr:colOff>293040</xdr:colOff>
      <xdr:row>23</xdr:row>
      <xdr:rowOff>131040</xdr:rowOff>
    </xdr:to>
    <xdr:sp>
      <xdr:nvSpPr>
        <xdr:cNvPr id="489" name="Shape 276"/>
        <xdr:cNvSpPr/>
      </xdr:nvSpPr>
      <xdr:spPr>
        <a:xfrm>
          <a:off x="15584040" y="3543120"/>
          <a:ext cx="121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21</xdr:col>
      <xdr:colOff>57240</xdr:colOff>
      <xdr:row>12</xdr:row>
      <xdr:rowOff>9360</xdr:rowOff>
    </xdr:from>
    <xdr:to>
      <xdr:col>21</xdr:col>
      <xdr:colOff>226440</xdr:colOff>
      <xdr:row>13</xdr:row>
      <xdr:rowOff>36000</xdr:rowOff>
    </xdr:to>
    <xdr:sp>
      <xdr:nvSpPr>
        <xdr:cNvPr id="490" name="Shape 277"/>
        <xdr:cNvSpPr/>
      </xdr:nvSpPr>
      <xdr:spPr>
        <a:xfrm>
          <a:off x="14217840" y="1923840"/>
          <a:ext cx="1692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25</xdr:col>
      <xdr:colOff>276120</xdr:colOff>
      <xdr:row>12</xdr:row>
      <xdr:rowOff>0</xdr:rowOff>
    </xdr:from>
    <xdr:to>
      <xdr:col>25</xdr:col>
      <xdr:colOff>416880</xdr:colOff>
      <xdr:row>13</xdr:row>
      <xdr:rowOff>26640</xdr:rowOff>
    </xdr:to>
    <xdr:sp>
      <xdr:nvSpPr>
        <xdr:cNvPr id="491" name="Shape 278"/>
        <xdr:cNvSpPr/>
      </xdr:nvSpPr>
      <xdr:spPr>
        <a:xfrm>
          <a:off x="16941240" y="1914480"/>
          <a:ext cx="1407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23</xdr:col>
      <xdr:colOff>162000</xdr:colOff>
      <xdr:row>12</xdr:row>
      <xdr:rowOff>0</xdr:rowOff>
    </xdr:from>
    <xdr:to>
      <xdr:col>23</xdr:col>
      <xdr:colOff>331200</xdr:colOff>
      <xdr:row>13</xdr:row>
      <xdr:rowOff>26640</xdr:rowOff>
    </xdr:to>
    <xdr:sp>
      <xdr:nvSpPr>
        <xdr:cNvPr id="492" name="Shape 279"/>
        <xdr:cNvSpPr/>
      </xdr:nvSpPr>
      <xdr:spPr>
        <a:xfrm>
          <a:off x="15574680" y="1914480"/>
          <a:ext cx="1692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22</xdr:col>
      <xdr:colOff>123480</xdr:colOff>
      <xdr:row>12</xdr:row>
      <xdr:rowOff>114120</xdr:rowOff>
    </xdr:from>
    <xdr:to>
      <xdr:col>23</xdr:col>
      <xdr:colOff>213840</xdr:colOff>
      <xdr:row>22</xdr:row>
      <xdr:rowOff>106560</xdr:rowOff>
    </xdr:to>
    <xdr:grpSp>
      <xdr:nvGrpSpPr>
        <xdr:cNvPr id="493" name="Shape 2"/>
        <xdr:cNvGrpSpPr/>
      </xdr:nvGrpSpPr>
      <xdr:grpSpPr>
        <a:xfrm>
          <a:off x="14910120" y="2028600"/>
          <a:ext cx="716400" cy="1516320"/>
          <a:chOff x="14910120" y="2028600"/>
          <a:chExt cx="716400" cy="1516320"/>
        </a:xfrm>
      </xdr:grpSpPr>
      <xdr:cxnSp>
        <xdr:nvCxnSpPr>
          <xdr:cNvPr id="494" name="Shape 280"/>
          <xdr:cNvCxnSpPr/>
        </xdr:nvCxnSpPr>
        <xdr:spPr>
          <a:xfrm flipH="1">
            <a:off x="14910120" y="2028600"/>
            <a:ext cx="716760" cy="1516680"/>
          </a:xfrm>
          <a:prstGeom prst="straightConnector1">
            <a:avLst/>
          </a:prstGeom>
          <a:ln w="9525">
            <a:solidFill>
              <a:srgbClr val="ff0000"/>
            </a:solidFill>
            <a:miter/>
            <a:tailEnd len="med" type="triangle" w="med"/>
          </a:ln>
        </xdr:spPr>
      </xdr:cxnSp>
    </xdr:grpSp>
    <xdr:clientData/>
  </xdr:twoCellAnchor>
  <xdr:twoCellAnchor editAs="oneCell">
    <xdr:from>
      <xdr:col>22</xdr:col>
      <xdr:colOff>428760</xdr:colOff>
      <xdr:row>20</xdr:row>
      <xdr:rowOff>104760</xdr:rowOff>
    </xdr:from>
    <xdr:to>
      <xdr:col>23</xdr:col>
      <xdr:colOff>19800</xdr:colOff>
      <xdr:row>21</xdr:row>
      <xdr:rowOff>131400</xdr:rowOff>
    </xdr:to>
    <xdr:sp>
      <xdr:nvSpPr>
        <xdr:cNvPr id="495" name="Shape 281"/>
        <xdr:cNvSpPr/>
      </xdr:nvSpPr>
      <xdr:spPr>
        <a:xfrm>
          <a:off x="15215400" y="3238560"/>
          <a:ext cx="2170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22</xdr:col>
      <xdr:colOff>237960</xdr:colOff>
      <xdr:row>21</xdr:row>
      <xdr:rowOff>0</xdr:rowOff>
    </xdr:from>
    <xdr:to>
      <xdr:col>22</xdr:col>
      <xdr:colOff>392040</xdr:colOff>
      <xdr:row>21</xdr:row>
      <xdr:rowOff>58680</xdr:rowOff>
    </xdr:to>
    <xdr:grpSp>
      <xdr:nvGrpSpPr>
        <xdr:cNvPr id="496" name="Shape 2"/>
        <xdr:cNvGrpSpPr/>
      </xdr:nvGrpSpPr>
      <xdr:grpSpPr>
        <a:xfrm>
          <a:off x="15024600" y="3286080"/>
          <a:ext cx="154080" cy="58680"/>
          <a:chOff x="15024600" y="3286080"/>
          <a:chExt cx="154080" cy="58680"/>
        </a:xfrm>
      </xdr:grpSpPr>
      <xdr:cxnSp>
        <xdr:nvCxnSpPr>
          <xdr:cNvPr id="497" name="Shape 282"/>
          <xdr:cNvCxnSpPr/>
        </xdr:nvCxnSpPr>
        <xdr:spPr>
          <a:xfrm flipH="1" flipV="1">
            <a:off x="15024600" y="3286080"/>
            <a:ext cx="154440" cy="59040"/>
          </a:xfrm>
          <a:prstGeom prst="straightConnector1">
            <a:avLst/>
          </a:prstGeom>
          <a:ln w="9525">
            <a:solidFill>
              <a:srgbClr val="000000"/>
            </a:solidFill>
            <a:miter/>
            <a:tailEnd len="med" type="triangle" w="med"/>
          </a:ln>
        </xdr:spPr>
      </xdr:cxnSp>
    </xdr:grpSp>
    <xdr:clientData/>
  </xdr:twoCellAnchor>
  <xdr:twoCellAnchor editAs="oneCell">
    <xdr:from>
      <xdr:col>23</xdr:col>
      <xdr:colOff>133200</xdr:colOff>
      <xdr:row>21</xdr:row>
      <xdr:rowOff>37800</xdr:rowOff>
    </xdr:from>
    <xdr:to>
      <xdr:col>23</xdr:col>
      <xdr:colOff>287280</xdr:colOff>
      <xdr:row>21</xdr:row>
      <xdr:rowOff>77760</xdr:rowOff>
    </xdr:to>
    <xdr:grpSp>
      <xdr:nvGrpSpPr>
        <xdr:cNvPr id="498" name="Shape 2"/>
        <xdr:cNvGrpSpPr/>
      </xdr:nvGrpSpPr>
      <xdr:grpSpPr>
        <a:xfrm>
          <a:off x="15545880" y="3323880"/>
          <a:ext cx="154080" cy="39960"/>
          <a:chOff x="15545880" y="3323880"/>
          <a:chExt cx="154080" cy="39960"/>
        </a:xfrm>
      </xdr:grpSpPr>
      <xdr:cxnSp>
        <xdr:nvCxnSpPr>
          <xdr:cNvPr id="499" name="Shape 283"/>
          <xdr:cNvCxnSpPr/>
        </xdr:nvCxnSpPr>
        <xdr:spPr>
          <a:xfrm flipV="1">
            <a:off x="15545880" y="3323880"/>
            <a:ext cx="154440" cy="40320"/>
          </a:xfrm>
          <a:prstGeom prst="straightConnector1">
            <a:avLst/>
          </a:prstGeom>
          <a:ln w="9525">
            <a:solidFill>
              <a:srgbClr val="000000"/>
            </a:solidFill>
            <a:miter/>
            <a:tailEnd len="med" type="triangle" w="med"/>
          </a:ln>
        </xdr:spPr>
      </xdr:cxnSp>
    </xdr:grpSp>
    <xdr:clientData/>
  </xdr:twoCellAnchor>
  <xdr:twoCellAnchor editAs="oneCell">
    <xdr:from>
      <xdr:col>23</xdr:col>
      <xdr:colOff>0</xdr:colOff>
      <xdr:row>23</xdr:row>
      <xdr:rowOff>85680</xdr:rowOff>
    </xdr:from>
    <xdr:to>
      <xdr:col>23</xdr:col>
      <xdr:colOff>445680</xdr:colOff>
      <xdr:row>24</xdr:row>
      <xdr:rowOff>112320</xdr:rowOff>
    </xdr:to>
    <xdr:sp>
      <xdr:nvSpPr>
        <xdr:cNvPr id="500" name="Shape 284"/>
        <xdr:cNvSpPr/>
      </xdr:nvSpPr>
      <xdr:spPr>
        <a:xfrm>
          <a:off x="15412680" y="3676680"/>
          <a:ext cx="445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5</a:t>
          </a:r>
          <a:endParaRPr b="0" lang="en-US" sz="1000" strike="noStrike" u="none">
            <a:effectLst/>
            <a:uFillTx/>
            <a:latin typeface="Times New Roman"/>
          </a:endParaRPr>
        </a:p>
      </xdr:txBody>
    </xdr:sp>
    <xdr:clientData/>
  </xdr:twoCellAnchor>
  <xdr:twoCellAnchor editAs="oneCell">
    <xdr:from>
      <xdr:col>23</xdr:col>
      <xdr:colOff>533520</xdr:colOff>
      <xdr:row>20</xdr:row>
      <xdr:rowOff>28440</xdr:rowOff>
    </xdr:from>
    <xdr:to>
      <xdr:col>25</xdr:col>
      <xdr:colOff>174240</xdr:colOff>
      <xdr:row>21</xdr:row>
      <xdr:rowOff>55080</xdr:rowOff>
    </xdr:to>
    <xdr:sp>
      <xdr:nvSpPr>
        <xdr:cNvPr id="501" name="Shape 285"/>
        <xdr:cNvSpPr/>
      </xdr:nvSpPr>
      <xdr:spPr>
        <a:xfrm>
          <a:off x="15946200" y="3162240"/>
          <a:ext cx="89316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Canted Turnstyle</a:t>
          </a:r>
          <a:endParaRPr b="0" lang="en-US" sz="1000" strike="noStrike" u="none">
            <a:effectLst/>
            <a:uFillTx/>
            <a:latin typeface="Times New Roman"/>
          </a:endParaRPr>
        </a:p>
      </xdr:txBody>
    </xdr:sp>
    <xdr:clientData/>
  </xdr:twoCellAnchor>
  <xdr:twoCellAnchor editAs="oneCell">
    <xdr:from>
      <xdr:col>17</xdr:col>
      <xdr:colOff>133200</xdr:colOff>
      <xdr:row>1</xdr:row>
      <xdr:rowOff>57240</xdr:rowOff>
    </xdr:from>
    <xdr:to>
      <xdr:col>17</xdr:col>
      <xdr:colOff>293040</xdr:colOff>
      <xdr:row>2</xdr:row>
      <xdr:rowOff>83520</xdr:rowOff>
    </xdr:to>
    <xdr:sp>
      <xdr:nvSpPr>
        <xdr:cNvPr id="502" name="Shape 286"/>
        <xdr:cNvSpPr/>
      </xdr:nvSpPr>
      <xdr:spPr>
        <a:xfrm>
          <a:off x="11754360" y="285840"/>
          <a:ext cx="15984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23</xdr:col>
      <xdr:colOff>171360</xdr:colOff>
      <xdr:row>1</xdr:row>
      <xdr:rowOff>57240</xdr:rowOff>
    </xdr:from>
    <xdr:to>
      <xdr:col>23</xdr:col>
      <xdr:colOff>331200</xdr:colOff>
      <xdr:row>2</xdr:row>
      <xdr:rowOff>83520</xdr:rowOff>
    </xdr:to>
    <xdr:sp>
      <xdr:nvSpPr>
        <xdr:cNvPr id="503" name="Shape 287"/>
        <xdr:cNvSpPr/>
      </xdr:nvSpPr>
      <xdr:spPr>
        <a:xfrm>
          <a:off x="15584040" y="285840"/>
          <a:ext cx="15984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24</xdr:col>
      <xdr:colOff>18720</xdr:colOff>
      <xdr:row>15</xdr:row>
      <xdr:rowOff>94680</xdr:rowOff>
    </xdr:from>
    <xdr:to>
      <xdr:col>24</xdr:col>
      <xdr:colOff>487440</xdr:colOff>
      <xdr:row>19</xdr:row>
      <xdr:rowOff>87480</xdr:rowOff>
    </xdr:to>
    <xdr:grpSp>
      <xdr:nvGrpSpPr>
        <xdr:cNvPr id="504" name="Shape 2"/>
        <xdr:cNvGrpSpPr/>
      </xdr:nvGrpSpPr>
      <xdr:grpSpPr>
        <a:xfrm>
          <a:off x="16057440" y="2466360"/>
          <a:ext cx="468720" cy="602280"/>
          <a:chOff x="16057440" y="2466360"/>
          <a:chExt cx="468720" cy="602280"/>
        </a:xfrm>
      </xdr:grpSpPr>
      <xdr:cxnSp>
        <xdr:nvCxnSpPr>
          <xdr:cNvPr id="505" name="Shape 288"/>
          <xdr:cNvCxnSpPr/>
        </xdr:nvCxnSpPr>
        <xdr:spPr>
          <a:xfrm flipH="1" flipV="1">
            <a:off x="16057440" y="2466360"/>
            <a:ext cx="469080" cy="602640"/>
          </a:xfrm>
          <a:prstGeom prst="straightConnector1">
            <a:avLst/>
          </a:prstGeom>
          <a:ln w="28575">
            <a:solidFill>
              <a:srgbClr val="000000"/>
            </a:solidFill>
            <a:miter/>
          </a:ln>
        </xdr:spPr>
      </xdr:cxnSp>
    </xdr:grpSp>
    <xdr:clientData/>
  </xdr:twoCellAnchor>
  <xdr:twoCellAnchor editAs="oneCell">
    <xdr:from>
      <xdr:col>28</xdr:col>
      <xdr:colOff>295200</xdr:colOff>
      <xdr:row>10</xdr:row>
      <xdr:rowOff>0</xdr:rowOff>
    </xdr:from>
    <xdr:to>
      <xdr:col>30</xdr:col>
      <xdr:colOff>50760</xdr:colOff>
      <xdr:row>15</xdr:row>
      <xdr:rowOff>16920</xdr:rowOff>
    </xdr:to>
    <xdr:sp>
      <xdr:nvSpPr>
        <xdr:cNvPr id="506" name="Shape 256"/>
        <xdr:cNvSpPr/>
      </xdr:nvSpPr>
      <xdr:spPr>
        <a:xfrm>
          <a:off x="18838440" y="1609560"/>
          <a:ext cx="1007640" cy="77904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28</xdr:col>
      <xdr:colOff>295200</xdr:colOff>
      <xdr:row>15</xdr:row>
      <xdr:rowOff>9360</xdr:rowOff>
    </xdr:from>
    <xdr:to>
      <xdr:col>30</xdr:col>
      <xdr:colOff>50760</xdr:colOff>
      <xdr:row>15</xdr:row>
      <xdr:rowOff>92880</xdr:rowOff>
    </xdr:to>
    <xdr:sp>
      <xdr:nvSpPr>
        <xdr:cNvPr id="507" name="Shape 257"/>
        <xdr:cNvSpPr/>
      </xdr:nvSpPr>
      <xdr:spPr>
        <a:xfrm>
          <a:off x="18838440" y="2381040"/>
          <a:ext cx="1007640" cy="835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28</xdr:col>
      <xdr:colOff>295200</xdr:colOff>
      <xdr:row>9</xdr:row>
      <xdr:rowOff>66600</xdr:rowOff>
    </xdr:from>
    <xdr:to>
      <xdr:col>30</xdr:col>
      <xdr:colOff>50760</xdr:colOff>
      <xdr:row>9</xdr:row>
      <xdr:rowOff>150120</xdr:rowOff>
    </xdr:to>
    <xdr:sp>
      <xdr:nvSpPr>
        <xdr:cNvPr id="508" name="Shape 257"/>
        <xdr:cNvSpPr/>
      </xdr:nvSpPr>
      <xdr:spPr>
        <a:xfrm>
          <a:off x="18838440" y="1523880"/>
          <a:ext cx="1007640" cy="835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29</xdr:col>
      <xdr:colOff>209520</xdr:colOff>
      <xdr:row>7</xdr:row>
      <xdr:rowOff>18360</xdr:rowOff>
    </xdr:from>
    <xdr:to>
      <xdr:col>29</xdr:col>
      <xdr:colOff>211320</xdr:colOff>
      <xdr:row>9</xdr:row>
      <xdr:rowOff>68040</xdr:rowOff>
    </xdr:to>
    <xdr:grpSp>
      <xdr:nvGrpSpPr>
        <xdr:cNvPr id="509" name="Shape 2"/>
        <xdr:cNvGrpSpPr/>
      </xdr:nvGrpSpPr>
      <xdr:grpSpPr>
        <a:xfrm>
          <a:off x="19378800" y="1170720"/>
          <a:ext cx="1800" cy="354600"/>
          <a:chOff x="19378800" y="1170720"/>
          <a:chExt cx="1800" cy="354600"/>
        </a:xfrm>
      </xdr:grpSpPr>
      <xdr:cxnSp>
        <xdr:nvCxnSpPr>
          <xdr:cNvPr id="510" name="Shape 289"/>
          <xdr:cNvCxnSpPr/>
        </xdr:nvCxnSpPr>
        <xdr:spPr>
          <a:xfrm flipV="1">
            <a:off x="19378800" y="1170720"/>
            <a:ext cx="2160" cy="354960"/>
          </a:xfrm>
          <a:prstGeom prst="straightConnector1">
            <a:avLst/>
          </a:prstGeom>
          <a:ln w="28575">
            <a:solidFill>
              <a:srgbClr val="000000"/>
            </a:solidFill>
            <a:miter/>
          </a:ln>
        </xdr:spPr>
      </xdr:cxnSp>
    </xdr:grpSp>
    <xdr:clientData/>
  </xdr:twoCellAnchor>
  <xdr:twoCellAnchor editAs="oneCell">
    <xdr:from>
      <xdr:col>29</xdr:col>
      <xdr:colOff>199800</xdr:colOff>
      <xdr:row>2</xdr:row>
      <xdr:rowOff>47160</xdr:rowOff>
    </xdr:from>
    <xdr:to>
      <xdr:col>29</xdr:col>
      <xdr:colOff>201600</xdr:colOff>
      <xdr:row>5</xdr:row>
      <xdr:rowOff>1800</xdr:rowOff>
    </xdr:to>
    <xdr:grpSp>
      <xdr:nvGrpSpPr>
        <xdr:cNvPr id="511" name="Shape 2"/>
        <xdr:cNvGrpSpPr/>
      </xdr:nvGrpSpPr>
      <xdr:grpSpPr>
        <a:xfrm>
          <a:off x="19369080" y="437760"/>
          <a:ext cx="1800" cy="411840"/>
          <a:chOff x="19369080" y="437760"/>
          <a:chExt cx="1800" cy="411840"/>
        </a:xfrm>
      </xdr:grpSpPr>
      <xdr:cxnSp>
        <xdr:nvCxnSpPr>
          <xdr:cNvPr id="512" name="Shape 290"/>
          <xdr:cNvCxnSpPr/>
        </xdr:nvCxnSpPr>
        <xdr:spPr>
          <a:xfrm flipV="1">
            <a:off x="19369080" y="437760"/>
            <a:ext cx="2160" cy="412200"/>
          </a:xfrm>
          <a:prstGeom prst="straightConnector1">
            <a:avLst/>
          </a:prstGeom>
          <a:ln w="9525">
            <a:solidFill>
              <a:srgbClr val="000000"/>
            </a:solidFill>
            <a:miter/>
          </a:ln>
        </xdr:spPr>
      </xdr:cxnSp>
    </xdr:grpSp>
    <xdr:clientData/>
  </xdr:twoCellAnchor>
  <xdr:twoCellAnchor editAs="oneCell">
    <xdr:from>
      <xdr:col>29</xdr:col>
      <xdr:colOff>190440</xdr:colOff>
      <xdr:row>15</xdr:row>
      <xdr:rowOff>85680</xdr:rowOff>
    </xdr:from>
    <xdr:to>
      <xdr:col>29</xdr:col>
      <xdr:colOff>192240</xdr:colOff>
      <xdr:row>22</xdr:row>
      <xdr:rowOff>49320</xdr:rowOff>
    </xdr:to>
    <xdr:grpSp>
      <xdr:nvGrpSpPr>
        <xdr:cNvPr id="513" name="Shape 2"/>
        <xdr:cNvGrpSpPr/>
      </xdr:nvGrpSpPr>
      <xdr:grpSpPr>
        <a:xfrm>
          <a:off x="19359720" y="2457360"/>
          <a:ext cx="1800" cy="1030320"/>
          <a:chOff x="19359720" y="2457360"/>
          <a:chExt cx="1800" cy="1030320"/>
        </a:xfrm>
      </xdr:grpSpPr>
      <xdr:cxnSp>
        <xdr:nvCxnSpPr>
          <xdr:cNvPr id="514" name="Shape 259"/>
          <xdr:cNvCxnSpPr/>
        </xdr:nvCxnSpPr>
        <xdr:spPr>
          <a:xfrm flipV="1">
            <a:off x="19359720" y="2457360"/>
            <a:ext cx="2160" cy="1030680"/>
          </a:xfrm>
          <a:prstGeom prst="straightConnector1">
            <a:avLst/>
          </a:prstGeom>
          <a:ln w="9525">
            <a:solidFill>
              <a:srgbClr val="000000"/>
            </a:solidFill>
            <a:miter/>
          </a:ln>
        </xdr:spPr>
      </xdr:cxnSp>
    </xdr:grpSp>
    <xdr:clientData/>
  </xdr:twoCellAnchor>
  <xdr:twoCellAnchor editAs="oneCell">
    <xdr:from>
      <xdr:col>30</xdr:col>
      <xdr:colOff>152280</xdr:colOff>
      <xdr:row>12</xdr:row>
      <xdr:rowOff>56880</xdr:rowOff>
    </xdr:from>
    <xdr:to>
      <xdr:col>31</xdr:col>
      <xdr:colOff>165960</xdr:colOff>
      <xdr:row>12</xdr:row>
      <xdr:rowOff>58680</xdr:rowOff>
    </xdr:to>
    <xdr:grpSp>
      <xdr:nvGrpSpPr>
        <xdr:cNvPr id="515" name="Shape 2"/>
        <xdr:cNvGrpSpPr/>
      </xdr:nvGrpSpPr>
      <xdr:grpSpPr>
        <a:xfrm>
          <a:off x="19947600" y="1971360"/>
          <a:ext cx="640080" cy="1800"/>
          <a:chOff x="19947600" y="1971360"/>
          <a:chExt cx="640080" cy="1800"/>
        </a:xfrm>
      </xdr:grpSpPr>
      <xdr:cxnSp>
        <xdr:nvCxnSpPr>
          <xdr:cNvPr id="516" name="Shape 243"/>
          <xdr:cNvCxnSpPr/>
        </xdr:nvCxnSpPr>
        <xdr:spPr>
          <a:xfrm>
            <a:off x="19947600" y="1971360"/>
            <a:ext cx="640440" cy="2160"/>
          </a:xfrm>
          <a:prstGeom prst="straightConnector1">
            <a:avLst/>
          </a:prstGeom>
          <a:ln w="9525">
            <a:solidFill>
              <a:srgbClr val="000000"/>
            </a:solidFill>
            <a:miter/>
          </a:ln>
        </xdr:spPr>
      </xdr:cxnSp>
    </xdr:grpSp>
    <xdr:clientData/>
  </xdr:twoCellAnchor>
  <xdr:twoCellAnchor editAs="oneCell">
    <xdr:from>
      <xdr:col>27</xdr:col>
      <xdr:colOff>237960</xdr:colOff>
      <xdr:row>12</xdr:row>
      <xdr:rowOff>56880</xdr:rowOff>
    </xdr:from>
    <xdr:to>
      <xdr:col>28</xdr:col>
      <xdr:colOff>252000</xdr:colOff>
      <xdr:row>12</xdr:row>
      <xdr:rowOff>58680</xdr:rowOff>
    </xdr:to>
    <xdr:grpSp>
      <xdr:nvGrpSpPr>
        <xdr:cNvPr id="517" name="Shape 2"/>
        <xdr:cNvGrpSpPr/>
      </xdr:nvGrpSpPr>
      <xdr:grpSpPr>
        <a:xfrm>
          <a:off x="18155160" y="1971360"/>
          <a:ext cx="640080" cy="1800"/>
          <a:chOff x="18155160" y="1971360"/>
          <a:chExt cx="640080" cy="1800"/>
        </a:xfrm>
      </xdr:grpSpPr>
      <xdr:cxnSp>
        <xdr:nvCxnSpPr>
          <xdr:cNvPr id="518" name="Shape 243"/>
          <xdr:cNvCxnSpPr/>
        </xdr:nvCxnSpPr>
        <xdr:spPr>
          <a:xfrm>
            <a:off x="18155160" y="1971360"/>
            <a:ext cx="640440" cy="2160"/>
          </a:xfrm>
          <a:prstGeom prst="straightConnector1">
            <a:avLst/>
          </a:prstGeom>
          <a:ln w="9525">
            <a:solidFill>
              <a:srgbClr val="000000"/>
            </a:solidFill>
            <a:miter/>
          </a:ln>
        </xdr:spPr>
      </xdr:cxnSp>
    </xdr:grpSp>
    <xdr:clientData/>
  </xdr:twoCellAnchor>
  <xdr:twoCellAnchor editAs="oneCell">
    <xdr:from>
      <xdr:col>29</xdr:col>
      <xdr:colOff>343080</xdr:colOff>
      <xdr:row>1</xdr:row>
      <xdr:rowOff>142920</xdr:rowOff>
    </xdr:from>
    <xdr:to>
      <xdr:col>29</xdr:col>
      <xdr:colOff>426600</xdr:colOff>
      <xdr:row>3</xdr:row>
      <xdr:rowOff>26640</xdr:rowOff>
    </xdr:to>
    <xdr:sp>
      <xdr:nvSpPr>
        <xdr:cNvPr id="519" name="Shape 261"/>
        <xdr:cNvSpPr/>
      </xdr:nvSpPr>
      <xdr:spPr>
        <a:xfrm>
          <a:off x="19512360" y="371520"/>
          <a:ext cx="83520" cy="198000"/>
        </a:xfrm>
        <a:prstGeom prst="rect">
          <a:avLst/>
        </a:prstGeom>
        <a:noFill/>
        <a:ln w="0">
          <a:noFill/>
        </a:ln>
      </xdr:spPr>
      <xdr:style>
        <a:lnRef idx="0"/>
        <a:fillRef idx="0"/>
        <a:effectRef idx="0"/>
        <a:fontRef idx="minor"/>
      </xdr:style>
    </xdr:sp>
    <xdr:clientData/>
  </xdr:twoCellAnchor>
  <xdr:twoCellAnchor editAs="oneCell">
    <xdr:from>
      <xdr:col>29</xdr:col>
      <xdr:colOff>104760</xdr:colOff>
      <xdr:row>1</xdr:row>
      <xdr:rowOff>0</xdr:rowOff>
    </xdr:from>
    <xdr:to>
      <xdr:col>29</xdr:col>
      <xdr:colOff>254880</xdr:colOff>
      <xdr:row>2</xdr:row>
      <xdr:rowOff>26280</xdr:rowOff>
    </xdr:to>
    <xdr:sp>
      <xdr:nvSpPr>
        <xdr:cNvPr id="520" name="Shape 291"/>
        <xdr:cNvSpPr/>
      </xdr:nvSpPr>
      <xdr:spPr>
        <a:xfrm>
          <a:off x="19274040" y="228600"/>
          <a:ext cx="15012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29</xdr:col>
      <xdr:colOff>123840</xdr:colOff>
      <xdr:row>22</xdr:row>
      <xdr:rowOff>85680</xdr:rowOff>
    </xdr:from>
    <xdr:to>
      <xdr:col>29</xdr:col>
      <xdr:colOff>245520</xdr:colOff>
      <xdr:row>23</xdr:row>
      <xdr:rowOff>111960</xdr:rowOff>
    </xdr:to>
    <xdr:sp>
      <xdr:nvSpPr>
        <xdr:cNvPr id="521" name="Shape 292"/>
        <xdr:cNvSpPr/>
      </xdr:nvSpPr>
      <xdr:spPr>
        <a:xfrm>
          <a:off x="19293120" y="3524040"/>
          <a:ext cx="121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26</xdr:col>
      <xdr:colOff>561960</xdr:colOff>
      <xdr:row>12</xdr:row>
      <xdr:rowOff>0</xdr:rowOff>
    </xdr:from>
    <xdr:to>
      <xdr:col>27</xdr:col>
      <xdr:colOff>114840</xdr:colOff>
      <xdr:row>13</xdr:row>
      <xdr:rowOff>26640</xdr:rowOff>
    </xdr:to>
    <xdr:sp>
      <xdr:nvSpPr>
        <xdr:cNvPr id="522" name="Shape 293"/>
        <xdr:cNvSpPr/>
      </xdr:nvSpPr>
      <xdr:spPr>
        <a:xfrm>
          <a:off x="17853120" y="1914480"/>
          <a:ext cx="1789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31</xdr:col>
      <xdr:colOff>209520</xdr:colOff>
      <xdr:row>11</xdr:row>
      <xdr:rowOff>123840</xdr:rowOff>
    </xdr:from>
    <xdr:to>
      <xdr:col>31</xdr:col>
      <xdr:colOff>350280</xdr:colOff>
      <xdr:row>13</xdr:row>
      <xdr:rowOff>7560</xdr:rowOff>
    </xdr:to>
    <xdr:sp>
      <xdr:nvSpPr>
        <xdr:cNvPr id="523" name="Shape 294"/>
        <xdr:cNvSpPr/>
      </xdr:nvSpPr>
      <xdr:spPr>
        <a:xfrm>
          <a:off x="20631240" y="1886040"/>
          <a:ext cx="14076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29</xdr:col>
      <xdr:colOff>85680</xdr:colOff>
      <xdr:row>11</xdr:row>
      <xdr:rowOff>123840</xdr:rowOff>
    </xdr:from>
    <xdr:to>
      <xdr:col>29</xdr:col>
      <xdr:colOff>254880</xdr:colOff>
      <xdr:row>13</xdr:row>
      <xdr:rowOff>7560</xdr:rowOff>
    </xdr:to>
    <xdr:sp>
      <xdr:nvSpPr>
        <xdr:cNvPr id="524" name="Shape 295"/>
        <xdr:cNvSpPr/>
      </xdr:nvSpPr>
      <xdr:spPr>
        <a:xfrm>
          <a:off x="19254960" y="1886040"/>
          <a:ext cx="16920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27</xdr:col>
      <xdr:colOff>323280</xdr:colOff>
      <xdr:row>1</xdr:row>
      <xdr:rowOff>85680</xdr:rowOff>
    </xdr:from>
    <xdr:to>
      <xdr:col>29</xdr:col>
      <xdr:colOff>121320</xdr:colOff>
      <xdr:row>9</xdr:row>
      <xdr:rowOff>77760</xdr:rowOff>
    </xdr:to>
    <xdr:grpSp>
      <xdr:nvGrpSpPr>
        <xdr:cNvPr id="525" name="Shape 2"/>
        <xdr:cNvGrpSpPr/>
      </xdr:nvGrpSpPr>
      <xdr:grpSpPr>
        <a:xfrm>
          <a:off x="18240480" y="314280"/>
          <a:ext cx="1050120" cy="1220760"/>
          <a:chOff x="18240480" y="314280"/>
          <a:chExt cx="1050120" cy="1220760"/>
        </a:xfrm>
      </xdr:grpSpPr>
      <xdr:cxnSp>
        <xdr:nvCxnSpPr>
          <xdr:cNvPr id="526" name="Shape 296"/>
          <xdr:cNvCxnSpPr/>
        </xdr:nvCxnSpPr>
        <xdr:spPr>
          <a:xfrm flipH="1" flipV="1">
            <a:off x="18240480" y="314280"/>
            <a:ext cx="1050480" cy="1221120"/>
          </a:xfrm>
          <a:prstGeom prst="straightConnector1">
            <a:avLst/>
          </a:prstGeom>
          <a:ln w="9525">
            <a:solidFill>
              <a:srgbClr val="ff0000"/>
            </a:solidFill>
            <a:miter/>
            <a:tailEnd len="med" type="triangle" w="med"/>
          </a:ln>
        </xdr:spPr>
      </xdr:cxnSp>
    </xdr:grpSp>
    <xdr:clientData/>
  </xdr:twoCellAnchor>
  <xdr:twoCellAnchor editAs="oneCell">
    <xdr:from>
      <xdr:col>28</xdr:col>
      <xdr:colOff>304920</xdr:colOff>
      <xdr:row>2</xdr:row>
      <xdr:rowOff>123840</xdr:rowOff>
    </xdr:from>
    <xdr:to>
      <xdr:col>28</xdr:col>
      <xdr:colOff>512280</xdr:colOff>
      <xdr:row>4</xdr:row>
      <xdr:rowOff>7560</xdr:rowOff>
    </xdr:to>
    <xdr:sp>
      <xdr:nvSpPr>
        <xdr:cNvPr id="527" name="Shape 297"/>
        <xdr:cNvSpPr/>
      </xdr:nvSpPr>
      <xdr:spPr>
        <a:xfrm>
          <a:off x="18848160" y="514440"/>
          <a:ext cx="20736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28</xdr:col>
      <xdr:colOff>142560</xdr:colOff>
      <xdr:row>4</xdr:row>
      <xdr:rowOff>0</xdr:rowOff>
    </xdr:from>
    <xdr:to>
      <xdr:col>28</xdr:col>
      <xdr:colOff>287280</xdr:colOff>
      <xdr:row>4</xdr:row>
      <xdr:rowOff>96840</xdr:rowOff>
    </xdr:to>
    <xdr:grpSp>
      <xdr:nvGrpSpPr>
        <xdr:cNvPr id="528" name="Shape 2"/>
        <xdr:cNvGrpSpPr/>
      </xdr:nvGrpSpPr>
      <xdr:grpSpPr>
        <a:xfrm>
          <a:off x="18685800" y="695160"/>
          <a:ext cx="144720" cy="96840"/>
          <a:chOff x="18685800" y="695160"/>
          <a:chExt cx="144720" cy="96840"/>
        </a:xfrm>
      </xdr:grpSpPr>
      <xdr:cxnSp>
        <xdr:nvCxnSpPr>
          <xdr:cNvPr id="529" name="Shape 298"/>
          <xdr:cNvCxnSpPr/>
        </xdr:nvCxnSpPr>
        <xdr:spPr>
          <a:xfrm flipH="1">
            <a:off x="18685800" y="695160"/>
            <a:ext cx="145080" cy="97200"/>
          </a:xfrm>
          <a:prstGeom prst="straightConnector1">
            <a:avLst/>
          </a:prstGeom>
          <a:ln w="9525">
            <a:solidFill>
              <a:srgbClr val="000000"/>
            </a:solidFill>
            <a:miter/>
            <a:tailEnd len="med" type="triangle" w="med"/>
          </a:ln>
        </xdr:spPr>
      </xdr:cxnSp>
    </xdr:grpSp>
    <xdr:clientData/>
  </xdr:twoCellAnchor>
  <xdr:twoCellAnchor editAs="oneCell">
    <xdr:from>
      <xdr:col>29</xdr:col>
      <xdr:colOff>28440</xdr:colOff>
      <xdr:row>3</xdr:row>
      <xdr:rowOff>28080</xdr:rowOff>
    </xdr:from>
    <xdr:to>
      <xdr:col>29</xdr:col>
      <xdr:colOff>192240</xdr:colOff>
      <xdr:row>3</xdr:row>
      <xdr:rowOff>68400</xdr:rowOff>
    </xdr:to>
    <xdr:grpSp>
      <xdr:nvGrpSpPr>
        <xdr:cNvPr id="530" name="Shape 2"/>
        <xdr:cNvGrpSpPr/>
      </xdr:nvGrpSpPr>
      <xdr:grpSpPr>
        <a:xfrm>
          <a:off x="19197720" y="570960"/>
          <a:ext cx="163800" cy="40320"/>
          <a:chOff x="19197720" y="570960"/>
          <a:chExt cx="163800" cy="40320"/>
        </a:xfrm>
      </xdr:grpSpPr>
      <xdr:cxnSp>
        <xdr:nvCxnSpPr>
          <xdr:cNvPr id="531" name="Shape 253"/>
          <xdr:cNvCxnSpPr/>
        </xdr:nvCxnSpPr>
        <xdr:spPr>
          <a:xfrm flipV="1">
            <a:off x="19197720" y="570960"/>
            <a:ext cx="164160" cy="40680"/>
          </a:xfrm>
          <a:prstGeom prst="straightConnector1">
            <a:avLst/>
          </a:prstGeom>
          <a:ln w="9525">
            <a:solidFill>
              <a:srgbClr val="000000"/>
            </a:solidFill>
            <a:miter/>
            <a:tailEnd len="med" type="triangle" w="med"/>
          </a:ln>
        </xdr:spPr>
      </xdr:cxnSp>
    </xdr:grpSp>
    <xdr:clientData/>
  </xdr:twoCellAnchor>
  <xdr:twoCellAnchor editAs="oneCell">
    <xdr:from>
      <xdr:col>28</xdr:col>
      <xdr:colOff>533520</xdr:colOff>
      <xdr:row>23</xdr:row>
      <xdr:rowOff>66600</xdr:rowOff>
    </xdr:from>
    <xdr:to>
      <xdr:col>29</xdr:col>
      <xdr:colOff>390960</xdr:colOff>
      <xdr:row>24</xdr:row>
      <xdr:rowOff>93240</xdr:rowOff>
    </xdr:to>
    <xdr:sp>
      <xdr:nvSpPr>
        <xdr:cNvPr id="532" name="Shape 299"/>
        <xdr:cNvSpPr/>
      </xdr:nvSpPr>
      <xdr:spPr>
        <a:xfrm>
          <a:off x="19076760" y="3657600"/>
          <a:ext cx="4834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6</a:t>
          </a:r>
          <a:endParaRPr b="0" lang="en-US" sz="1000" strike="noStrike" u="none">
            <a:effectLst/>
            <a:uFillTx/>
            <a:latin typeface="Times New Roman"/>
          </a:endParaRPr>
        </a:p>
      </xdr:txBody>
    </xdr:sp>
    <xdr:clientData/>
  </xdr:twoCellAnchor>
  <xdr:twoCellAnchor editAs="oneCell">
    <xdr:from>
      <xdr:col>29</xdr:col>
      <xdr:colOff>476280</xdr:colOff>
      <xdr:row>5</xdr:row>
      <xdr:rowOff>85680</xdr:rowOff>
    </xdr:from>
    <xdr:to>
      <xdr:col>31</xdr:col>
      <xdr:colOff>50400</xdr:colOff>
      <xdr:row>7</xdr:row>
      <xdr:rowOff>112320</xdr:rowOff>
    </xdr:to>
    <xdr:sp>
      <xdr:nvSpPr>
        <xdr:cNvPr id="533" name="Shape 300"/>
        <xdr:cNvSpPr/>
      </xdr:nvSpPr>
      <xdr:spPr>
        <a:xfrm>
          <a:off x="19645560" y="933480"/>
          <a:ext cx="82656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Quadrifilar Helix</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(Wound RHCP)</a:t>
          </a:r>
          <a:endParaRPr b="0" lang="en-US" sz="1000" strike="noStrike" u="none">
            <a:effectLst/>
            <a:uFillTx/>
            <a:latin typeface="Times New Roman"/>
          </a:endParaRPr>
        </a:p>
      </xdr:txBody>
    </xdr:sp>
    <xdr:clientData/>
  </xdr:twoCellAnchor>
  <xdr:twoCellAnchor editAs="oneCell">
    <xdr:from>
      <xdr:col>29</xdr:col>
      <xdr:colOff>104760</xdr:colOff>
      <xdr:row>6</xdr:row>
      <xdr:rowOff>142560</xdr:rowOff>
    </xdr:from>
    <xdr:to>
      <xdr:col>29</xdr:col>
      <xdr:colOff>335160</xdr:colOff>
      <xdr:row>6</xdr:row>
      <xdr:rowOff>144360</xdr:rowOff>
    </xdr:to>
    <xdr:grpSp>
      <xdr:nvGrpSpPr>
        <xdr:cNvPr id="534" name="Shape 2"/>
        <xdr:cNvGrpSpPr/>
      </xdr:nvGrpSpPr>
      <xdr:grpSpPr>
        <a:xfrm>
          <a:off x="19274040" y="1142640"/>
          <a:ext cx="230400" cy="1800"/>
          <a:chOff x="19274040" y="1142640"/>
          <a:chExt cx="230400" cy="1800"/>
        </a:xfrm>
      </xdr:grpSpPr>
      <xdr:cxnSp>
        <xdr:nvCxnSpPr>
          <xdr:cNvPr id="535" name="Shape 301"/>
          <xdr:cNvCxnSpPr/>
        </xdr:nvCxnSpPr>
        <xdr:spPr>
          <a:xfrm>
            <a:off x="19274040" y="1142640"/>
            <a:ext cx="230760" cy="2160"/>
          </a:xfrm>
          <a:prstGeom prst="straightConnector1">
            <a:avLst/>
          </a:prstGeom>
          <a:ln w="12700">
            <a:solidFill>
              <a:srgbClr val="000000"/>
            </a:solidFill>
            <a:miter/>
          </a:ln>
        </xdr:spPr>
      </xdr:cxnSp>
    </xdr:grpSp>
    <xdr:clientData/>
  </xdr:twoCellAnchor>
  <xdr:twoCellAnchor editAs="oneCell">
    <xdr:from>
      <xdr:col>29</xdr:col>
      <xdr:colOff>95040</xdr:colOff>
      <xdr:row>8</xdr:row>
      <xdr:rowOff>95040</xdr:rowOff>
    </xdr:from>
    <xdr:to>
      <xdr:col>29</xdr:col>
      <xdr:colOff>335160</xdr:colOff>
      <xdr:row>8</xdr:row>
      <xdr:rowOff>96840</xdr:rowOff>
    </xdr:to>
    <xdr:grpSp>
      <xdr:nvGrpSpPr>
        <xdr:cNvPr id="536" name="Shape 2"/>
        <xdr:cNvGrpSpPr/>
      </xdr:nvGrpSpPr>
      <xdr:grpSpPr>
        <a:xfrm>
          <a:off x="19264320" y="1400040"/>
          <a:ext cx="240120" cy="1800"/>
          <a:chOff x="19264320" y="1400040"/>
          <a:chExt cx="240120" cy="1800"/>
        </a:xfrm>
      </xdr:grpSpPr>
      <xdr:cxnSp>
        <xdr:nvCxnSpPr>
          <xdr:cNvPr id="537" name="Shape 302"/>
          <xdr:cNvCxnSpPr/>
        </xdr:nvCxnSpPr>
        <xdr:spPr>
          <a:xfrm>
            <a:off x="19264320" y="1400040"/>
            <a:ext cx="240480" cy="2160"/>
          </a:xfrm>
          <a:prstGeom prst="straightConnector1">
            <a:avLst/>
          </a:prstGeom>
          <a:ln w="12700">
            <a:solidFill>
              <a:srgbClr val="000000"/>
            </a:solidFill>
            <a:miter/>
          </a:ln>
        </xdr:spPr>
      </xdr:cxnSp>
    </xdr:grpSp>
    <xdr:clientData/>
  </xdr:twoCellAnchor>
  <xdr:twoCellAnchor editAs="oneCell">
    <xdr:from>
      <xdr:col>29</xdr:col>
      <xdr:colOff>85680</xdr:colOff>
      <xdr:row>7</xdr:row>
      <xdr:rowOff>0</xdr:rowOff>
    </xdr:from>
    <xdr:to>
      <xdr:col>29</xdr:col>
      <xdr:colOff>340560</xdr:colOff>
      <xdr:row>8</xdr:row>
      <xdr:rowOff>102240</xdr:rowOff>
    </xdr:to>
    <xdr:sp>
      <xdr:nvSpPr>
        <xdr:cNvPr id="538" name="Shape 303"/>
        <xdr:cNvSpPr/>
      </xdr:nvSpPr>
      <xdr:spPr>
        <a:xfrm>
          <a:off x="19254960" y="1152360"/>
          <a:ext cx="254880" cy="254880"/>
        </a:xfrm>
        <a:custGeom>
          <a:avLst/>
          <a:gdLst>
            <a:gd name="textAreaLeft" fmla="*/ 0 w 254880"/>
            <a:gd name="textAreaRight" fmla="*/ 257040 w 254880"/>
            <a:gd name="textAreaTop" fmla="*/ 0 h 254880"/>
            <a:gd name="textAreaBottom" fmla="*/ 257040 h 254880"/>
          </a:gdLst>
          <a:ahLst/>
          <a:cxnLst/>
          <a:rect l="textAreaLeft" t="textAreaTop" r="textAreaRight" b="textAreaBottom"/>
          <a:pathLst>
            <a:path w="28" h="28">
              <a:moveTo>
                <a:pt x="26" y="0"/>
              </a:moveTo>
              <a:cubicBezTo>
                <a:pt x="27" y="2"/>
                <a:pt x="28" y="5"/>
                <a:pt x="27" y="7"/>
              </a:cubicBezTo>
              <a:cubicBezTo>
                <a:pt x="26" y="9"/>
                <a:pt x="24" y="11"/>
                <a:pt x="22" y="12"/>
              </a:cubicBezTo>
              <a:cubicBezTo>
                <a:pt x="20" y="13"/>
                <a:pt x="17" y="14"/>
                <a:pt x="14" y="15"/>
              </a:cubicBezTo>
              <a:cubicBezTo>
                <a:pt x="11" y="16"/>
                <a:pt x="4" y="18"/>
                <a:pt x="2" y="20"/>
              </a:cubicBezTo>
              <a:cubicBezTo>
                <a:pt x="0" y="22"/>
                <a:pt x="0" y="25"/>
                <a:pt x="0" y="28"/>
              </a:cubicBezTo>
            </a:path>
          </a:pathLst>
        </a:custGeom>
        <a:noFill/>
        <a:ln w="9525">
          <a:solidFill>
            <a:srgbClr val="000000"/>
          </a:solidFill>
          <a:round/>
        </a:ln>
      </xdr:spPr>
      <xdr:style>
        <a:lnRef idx="0"/>
        <a:fillRef idx="0"/>
        <a:effectRef idx="0"/>
        <a:fontRef idx="minor"/>
      </xdr:style>
    </xdr:sp>
    <xdr:clientData/>
  </xdr:twoCellAnchor>
  <xdr:twoCellAnchor editAs="oneCell">
    <xdr:from>
      <xdr:col>29</xdr:col>
      <xdr:colOff>83520</xdr:colOff>
      <xdr:row>7</xdr:row>
      <xdr:rowOff>0</xdr:rowOff>
    </xdr:from>
    <xdr:to>
      <xdr:col>29</xdr:col>
      <xdr:colOff>338400</xdr:colOff>
      <xdr:row>8</xdr:row>
      <xdr:rowOff>102240</xdr:rowOff>
    </xdr:to>
    <xdr:sp>
      <xdr:nvSpPr>
        <xdr:cNvPr id="539" name="Shape 304"/>
        <xdr:cNvSpPr/>
      </xdr:nvSpPr>
      <xdr:spPr>
        <a:xfrm flipH="1">
          <a:off x="19252800" y="1152360"/>
          <a:ext cx="254880" cy="254880"/>
        </a:xfrm>
        <a:custGeom>
          <a:avLst/>
          <a:gdLst>
            <a:gd name="textAreaLeft" fmla="*/ -1080 w 254880"/>
            <a:gd name="textAreaRight" fmla="*/ 255960 w 254880"/>
            <a:gd name="textAreaTop" fmla="*/ 0 h 254880"/>
            <a:gd name="textAreaBottom" fmla="*/ 257040 h 254880"/>
          </a:gdLst>
          <a:ahLst/>
          <a:cxnLst/>
          <a:rect l="textAreaLeft" t="textAreaTop" r="textAreaRight" b="textAreaBottom"/>
          <a:pathLst>
            <a:path w="28" h="28">
              <a:moveTo>
                <a:pt x="26" y="0"/>
              </a:moveTo>
              <a:cubicBezTo>
                <a:pt x="27" y="2"/>
                <a:pt x="28" y="5"/>
                <a:pt x="27" y="7"/>
              </a:cubicBezTo>
              <a:cubicBezTo>
                <a:pt x="26" y="9"/>
                <a:pt x="24" y="11"/>
                <a:pt x="22" y="12"/>
              </a:cubicBezTo>
              <a:cubicBezTo>
                <a:pt x="20" y="13"/>
                <a:pt x="17" y="14"/>
                <a:pt x="14" y="15"/>
              </a:cubicBezTo>
              <a:cubicBezTo>
                <a:pt x="11" y="16"/>
                <a:pt x="4" y="18"/>
                <a:pt x="2" y="20"/>
              </a:cubicBezTo>
              <a:cubicBezTo>
                <a:pt x="0" y="22"/>
                <a:pt x="0" y="25"/>
                <a:pt x="0" y="28"/>
              </a:cubicBezTo>
            </a:path>
          </a:pathLst>
        </a:custGeom>
        <a:noFill/>
        <a:ln w="9525">
          <a:solidFill>
            <a:srgbClr val="000000"/>
          </a:solidFill>
          <a:round/>
        </a:ln>
      </xdr:spPr>
      <xdr:style>
        <a:lnRef idx="0"/>
        <a:fillRef idx="0"/>
        <a:effectRef idx="0"/>
        <a:fontRef idx="minor"/>
      </xdr:style>
    </xdr:sp>
    <xdr:clientData/>
  </xdr:twoCellAnchor>
  <xdr:twoCellAnchor editAs="oneCell">
    <xdr:from>
      <xdr:col>34</xdr:col>
      <xdr:colOff>495360</xdr:colOff>
      <xdr:row>10</xdr:row>
      <xdr:rowOff>28440</xdr:rowOff>
    </xdr:from>
    <xdr:to>
      <xdr:col>36</xdr:col>
      <xdr:colOff>231480</xdr:colOff>
      <xdr:row>15</xdr:row>
      <xdr:rowOff>45360</xdr:rowOff>
    </xdr:to>
    <xdr:sp>
      <xdr:nvSpPr>
        <xdr:cNvPr id="540" name="Shape 305"/>
        <xdr:cNvSpPr/>
      </xdr:nvSpPr>
      <xdr:spPr>
        <a:xfrm>
          <a:off x="22795200" y="1638000"/>
          <a:ext cx="988560" cy="779040"/>
        </a:xfrm>
        <a:prstGeom prst="rect">
          <a:avLst/>
        </a:prstGeom>
        <a:noFill/>
        <a:ln w="9525">
          <a:solidFill>
            <a:srgbClr val="000000"/>
          </a:solidFill>
          <a:miter/>
        </a:ln>
      </xdr:spPr>
      <xdr:style>
        <a:lnRef idx="0"/>
        <a:fillRef idx="0"/>
        <a:effectRef idx="0"/>
        <a:fontRef idx="minor"/>
      </xdr:style>
    </xdr:sp>
    <xdr:clientData/>
  </xdr:twoCellAnchor>
  <xdr:twoCellAnchor editAs="oneCell">
    <xdr:from>
      <xdr:col>34</xdr:col>
      <xdr:colOff>495360</xdr:colOff>
      <xdr:row>15</xdr:row>
      <xdr:rowOff>38160</xdr:rowOff>
    </xdr:from>
    <xdr:to>
      <xdr:col>36</xdr:col>
      <xdr:colOff>231480</xdr:colOff>
      <xdr:row>15</xdr:row>
      <xdr:rowOff>121680</xdr:rowOff>
    </xdr:to>
    <xdr:sp>
      <xdr:nvSpPr>
        <xdr:cNvPr id="541" name="Shape 306"/>
        <xdr:cNvSpPr/>
      </xdr:nvSpPr>
      <xdr:spPr>
        <a:xfrm>
          <a:off x="22795200" y="2409840"/>
          <a:ext cx="988560" cy="835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34</xdr:col>
      <xdr:colOff>495360</xdr:colOff>
      <xdr:row>9</xdr:row>
      <xdr:rowOff>85680</xdr:rowOff>
    </xdr:from>
    <xdr:to>
      <xdr:col>36</xdr:col>
      <xdr:colOff>231480</xdr:colOff>
      <xdr:row>10</xdr:row>
      <xdr:rowOff>16920</xdr:rowOff>
    </xdr:to>
    <xdr:sp>
      <xdr:nvSpPr>
        <xdr:cNvPr id="542" name="Shape 306"/>
        <xdr:cNvSpPr/>
      </xdr:nvSpPr>
      <xdr:spPr>
        <a:xfrm>
          <a:off x="22795200" y="1542960"/>
          <a:ext cx="988560" cy="83520"/>
        </a:xfrm>
        <a:prstGeom prst="rect">
          <a:avLst/>
        </a:prstGeom>
        <a:gradFill rotWithShape="0">
          <a:gsLst>
            <a:gs pos="0">
              <a:srgbClr val="969696"/>
            </a:gs>
            <a:gs pos="100000">
              <a:srgbClr val="454545"/>
            </a:gs>
          </a:gsLst>
          <a:lin ang="5400000"/>
        </a:gradFill>
        <a:ln w="9525">
          <a:solidFill>
            <a:srgbClr val="000000"/>
          </a:solidFill>
          <a:miter/>
        </a:ln>
      </xdr:spPr>
      <xdr:style>
        <a:lnRef idx="0"/>
        <a:fillRef idx="0"/>
        <a:effectRef idx="0"/>
        <a:fontRef idx="minor"/>
      </xdr:style>
    </xdr:sp>
    <xdr:clientData/>
  </xdr:twoCellAnchor>
  <xdr:twoCellAnchor editAs="oneCell">
    <xdr:from>
      <xdr:col>35</xdr:col>
      <xdr:colOff>390240</xdr:colOff>
      <xdr:row>2</xdr:row>
      <xdr:rowOff>75240</xdr:rowOff>
    </xdr:from>
    <xdr:to>
      <xdr:col>35</xdr:col>
      <xdr:colOff>392040</xdr:colOff>
      <xdr:row>9</xdr:row>
      <xdr:rowOff>59040</xdr:rowOff>
    </xdr:to>
    <xdr:grpSp>
      <xdr:nvGrpSpPr>
        <xdr:cNvPr id="543" name="Shape 2"/>
        <xdr:cNvGrpSpPr/>
      </xdr:nvGrpSpPr>
      <xdr:grpSpPr>
        <a:xfrm>
          <a:off x="23316120" y="465840"/>
          <a:ext cx="1800" cy="1050480"/>
          <a:chOff x="23316120" y="465840"/>
          <a:chExt cx="1800" cy="1050480"/>
        </a:xfrm>
      </xdr:grpSpPr>
      <xdr:cxnSp>
        <xdr:nvCxnSpPr>
          <xdr:cNvPr id="544" name="Shape 241"/>
          <xdr:cNvCxnSpPr/>
        </xdr:nvCxnSpPr>
        <xdr:spPr>
          <a:xfrm flipV="1">
            <a:off x="23316120" y="465840"/>
            <a:ext cx="2160" cy="1050840"/>
          </a:xfrm>
          <a:prstGeom prst="straightConnector1">
            <a:avLst/>
          </a:prstGeom>
          <a:ln w="9525">
            <a:solidFill>
              <a:srgbClr val="000000"/>
            </a:solidFill>
            <a:miter/>
          </a:ln>
        </xdr:spPr>
      </xdr:cxnSp>
    </xdr:grpSp>
    <xdr:clientData/>
  </xdr:twoCellAnchor>
  <xdr:twoCellAnchor editAs="oneCell">
    <xdr:from>
      <xdr:col>35</xdr:col>
      <xdr:colOff>380880</xdr:colOff>
      <xdr:row>15</xdr:row>
      <xdr:rowOff>114120</xdr:rowOff>
    </xdr:from>
    <xdr:to>
      <xdr:col>35</xdr:col>
      <xdr:colOff>382680</xdr:colOff>
      <xdr:row>22</xdr:row>
      <xdr:rowOff>78120</xdr:rowOff>
    </xdr:to>
    <xdr:grpSp>
      <xdr:nvGrpSpPr>
        <xdr:cNvPr id="545" name="Shape 2"/>
        <xdr:cNvGrpSpPr/>
      </xdr:nvGrpSpPr>
      <xdr:grpSpPr>
        <a:xfrm>
          <a:off x="23306760" y="2485800"/>
          <a:ext cx="1800" cy="1030680"/>
          <a:chOff x="23306760" y="2485800"/>
          <a:chExt cx="1800" cy="1030680"/>
        </a:xfrm>
      </xdr:grpSpPr>
      <xdr:cxnSp>
        <xdr:nvCxnSpPr>
          <xdr:cNvPr id="546" name="Shape 259"/>
          <xdr:cNvCxnSpPr/>
        </xdr:nvCxnSpPr>
        <xdr:spPr>
          <a:xfrm flipV="1">
            <a:off x="23306760" y="2485800"/>
            <a:ext cx="2160" cy="1031040"/>
          </a:xfrm>
          <a:prstGeom prst="straightConnector1">
            <a:avLst/>
          </a:prstGeom>
          <a:ln w="9525">
            <a:solidFill>
              <a:srgbClr val="000000"/>
            </a:solidFill>
            <a:miter/>
          </a:ln>
        </xdr:spPr>
      </xdr:cxnSp>
    </xdr:grpSp>
    <xdr:clientData/>
  </xdr:twoCellAnchor>
  <xdr:twoCellAnchor editAs="oneCell">
    <xdr:from>
      <xdr:col>36</xdr:col>
      <xdr:colOff>342720</xdr:colOff>
      <xdr:row>12</xdr:row>
      <xdr:rowOff>75960</xdr:rowOff>
    </xdr:from>
    <xdr:to>
      <xdr:col>37</xdr:col>
      <xdr:colOff>356760</xdr:colOff>
      <xdr:row>12</xdr:row>
      <xdr:rowOff>77760</xdr:rowOff>
    </xdr:to>
    <xdr:grpSp>
      <xdr:nvGrpSpPr>
        <xdr:cNvPr id="547" name="Shape 2"/>
        <xdr:cNvGrpSpPr/>
      </xdr:nvGrpSpPr>
      <xdr:grpSpPr>
        <a:xfrm>
          <a:off x="23895000" y="1990440"/>
          <a:ext cx="640080" cy="1800"/>
          <a:chOff x="23895000" y="1990440"/>
          <a:chExt cx="640080" cy="1800"/>
        </a:xfrm>
      </xdr:grpSpPr>
      <xdr:cxnSp>
        <xdr:nvCxnSpPr>
          <xdr:cNvPr id="548" name="Shape 243"/>
          <xdr:cNvCxnSpPr/>
        </xdr:nvCxnSpPr>
        <xdr:spPr>
          <a:xfrm>
            <a:off x="23895000" y="1990440"/>
            <a:ext cx="640440" cy="2160"/>
          </a:xfrm>
          <a:prstGeom prst="straightConnector1">
            <a:avLst/>
          </a:prstGeom>
          <a:ln w="9525">
            <a:solidFill>
              <a:srgbClr val="000000"/>
            </a:solidFill>
            <a:miter/>
          </a:ln>
        </xdr:spPr>
      </xdr:cxnSp>
    </xdr:grpSp>
    <xdr:clientData/>
  </xdr:twoCellAnchor>
  <xdr:twoCellAnchor editAs="oneCell">
    <xdr:from>
      <xdr:col>33</xdr:col>
      <xdr:colOff>428400</xdr:colOff>
      <xdr:row>12</xdr:row>
      <xdr:rowOff>75960</xdr:rowOff>
    </xdr:from>
    <xdr:to>
      <xdr:col>34</xdr:col>
      <xdr:colOff>442440</xdr:colOff>
      <xdr:row>12</xdr:row>
      <xdr:rowOff>77760</xdr:rowOff>
    </xdr:to>
    <xdr:grpSp>
      <xdr:nvGrpSpPr>
        <xdr:cNvPr id="549" name="Shape 2"/>
        <xdr:cNvGrpSpPr/>
      </xdr:nvGrpSpPr>
      <xdr:grpSpPr>
        <a:xfrm>
          <a:off x="22102200" y="1990440"/>
          <a:ext cx="640080" cy="1800"/>
          <a:chOff x="22102200" y="1990440"/>
          <a:chExt cx="640080" cy="1800"/>
        </a:xfrm>
      </xdr:grpSpPr>
      <xdr:cxnSp>
        <xdr:nvCxnSpPr>
          <xdr:cNvPr id="550" name="Shape 243"/>
          <xdr:cNvCxnSpPr/>
        </xdr:nvCxnSpPr>
        <xdr:spPr>
          <a:xfrm>
            <a:off x="22102200" y="1990440"/>
            <a:ext cx="640440" cy="2160"/>
          </a:xfrm>
          <a:prstGeom prst="straightConnector1">
            <a:avLst/>
          </a:prstGeom>
          <a:ln w="9525">
            <a:solidFill>
              <a:srgbClr val="000000"/>
            </a:solidFill>
            <a:miter/>
          </a:ln>
        </xdr:spPr>
      </xdr:cxnSp>
    </xdr:grpSp>
    <xdr:clientData/>
  </xdr:twoCellAnchor>
  <xdr:twoCellAnchor editAs="oneCell">
    <xdr:from>
      <xdr:col>35</xdr:col>
      <xdr:colOff>542880</xdr:colOff>
      <xdr:row>2</xdr:row>
      <xdr:rowOff>9360</xdr:rowOff>
    </xdr:from>
    <xdr:to>
      <xdr:col>35</xdr:col>
      <xdr:colOff>626400</xdr:colOff>
      <xdr:row>3</xdr:row>
      <xdr:rowOff>55080</xdr:rowOff>
    </xdr:to>
    <xdr:sp>
      <xdr:nvSpPr>
        <xdr:cNvPr id="551" name="Shape 261"/>
        <xdr:cNvSpPr/>
      </xdr:nvSpPr>
      <xdr:spPr>
        <a:xfrm>
          <a:off x="23468760" y="399960"/>
          <a:ext cx="83520" cy="198000"/>
        </a:xfrm>
        <a:prstGeom prst="rect">
          <a:avLst/>
        </a:prstGeom>
        <a:noFill/>
        <a:ln w="0">
          <a:noFill/>
        </a:ln>
      </xdr:spPr>
      <xdr:style>
        <a:lnRef idx="0"/>
        <a:fillRef idx="0"/>
        <a:effectRef idx="0"/>
        <a:fontRef idx="minor"/>
      </xdr:style>
    </xdr:sp>
    <xdr:clientData/>
  </xdr:twoCellAnchor>
  <xdr:twoCellAnchor editAs="oneCell">
    <xdr:from>
      <xdr:col>35</xdr:col>
      <xdr:colOff>304920</xdr:colOff>
      <xdr:row>1</xdr:row>
      <xdr:rowOff>9360</xdr:rowOff>
    </xdr:from>
    <xdr:to>
      <xdr:col>35</xdr:col>
      <xdr:colOff>464760</xdr:colOff>
      <xdr:row>2</xdr:row>
      <xdr:rowOff>35640</xdr:rowOff>
    </xdr:to>
    <xdr:sp>
      <xdr:nvSpPr>
        <xdr:cNvPr id="552" name="Shape 307"/>
        <xdr:cNvSpPr/>
      </xdr:nvSpPr>
      <xdr:spPr>
        <a:xfrm>
          <a:off x="23230800" y="237960"/>
          <a:ext cx="15984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35</xdr:col>
      <xdr:colOff>304920</xdr:colOff>
      <xdr:row>22</xdr:row>
      <xdr:rowOff>104760</xdr:rowOff>
    </xdr:from>
    <xdr:to>
      <xdr:col>35</xdr:col>
      <xdr:colOff>426600</xdr:colOff>
      <xdr:row>23</xdr:row>
      <xdr:rowOff>131040</xdr:rowOff>
    </xdr:to>
    <xdr:sp>
      <xdr:nvSpPr>
        <xdr:cNvPr id="553" name="Shape 308"/>
        <xdr:cNvSpPr/>
      </xdr:nvSpPr>
      <xdr:spPr>
        <a:xfrm>
          <a:off x="23230800" y="3543120"/>
          <a:ext cx="121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-Z</a:t>
          </a:r>
          <a:endParaRPr b="0" lang="en-US" sz="1000" strike="noStrike" u="none">
            <a:effectLst/>
            <a:uFillTx/>
            <a:latin typeface="Times New Roman"/>
          </a:endParaRPr>
        </a:p>
      </xdr:txBody>
    </xdr:sp>
    <xdr:clientData/>
  </xdr:twoCellAnchor>
  <xdr:twoCellAnchor editAs="oneCell">
    <xdr:from>
      <xdr:col>33</xdr:col>
      <xdr:colOff>171360</xdr:colOff>
      <xdr:row>12</xdr:row>
      <xdr:rowOff>9360</xdr:rowOff>
    </xdr:from>
    <xdr:to>
      <xdr:col>33</xdr:col>
      <xdr:colOff>340560</xdr:colOff>
      <xdr:row>13</xdr:row>
      <xdr:rowOff>36000</xdr:rowOff>
    </xdr:to>
    <xdr:sp>
      <xdr:nvSpPr>
        <xdr:cNvPr id="554" name="Shape 309"/>
        <xdr:cNvSpPr/>
      </xdr:nvSpPr>
      <xdr:spPr>
        <a:xfrm>
          <a:off x="21845160" y="1923840"/>
          <a:ext cx="1692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37</xdr:col>
      <xdr:colOff>399960</xdr:colOff>
      <xdr:row>12</xdr:row>
      <xdr:rowOff>9360</xdr:rowOff>
    </xdr:from>
    <xdr:to>
      <xdr:col>37</xdr:col>
      <xdr:colOff>521640</xdr:colOff>
      <xdr:row>13</xdr:row>
      <xdr:rowOff>36000</xdr:rowOff>
    </xdr:to>
    <xdr:sp>
      <xdr:nvSpPr>
        <xdr:cNvPr id="555" name="Shape 310"/>
        <xdr:cNvSpPr/>
      </xdr:nvSpPr>
      <xdr:spPr>
        <a:xfrm>
          <a:off x="24578280" y="1923840"/>
          <a:ext cx="121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-X</a:t>
          </a:r>
          <a:endParaRPr b="0" lang="en-US" sz="1000" strike="noStrike" u="none">
            <a:effectLst/>
            <a:uFillTx/>
            <a:latin typeface="Times New Roman"/>
          </a:endParaRPr>
        </a:p>
      </xdr:txBody>
    </xdr:sp>
    <xdr:clientData/>
  </xdr:twoCellAnchor>
  <xdr:twoCellAnchor editAs="oneCell">
    <xdr:from>
      <xdr:col>35</xdr:col>
      <xdr:colOff>285840</xdr:colOff>
      <xdr:row>12</xdr:row>
      <xdr:rowOff>0</xdr:rowOff>
    </xdr:from>
    <xdr:to>
      <xdr:col>35</xdr:col>
      <xdr:colOff>445680</xdr:colOff>
      <xdr:row>13</xdr:row>
      <xdr:rowOff>26640</xdr:rowOff>
    </xdr:to>
    <xdr:sp>
      <xdr:nvSpPr>
        <xdr:cNvPr id="556" name="Shape 311"/>
        <xdr:cNvSpPr/>
      </xdr:nvSpPr>
      <xdr:spPr>
        <a:xfrm>
          <a:off x="23211720" y="1914480"/>
          <a:ext cx="1598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+Y</a:t>
          </a:r>
          <a:endParaRPr b="0" lang="en-US" sz="1000" strike="noStrike" u="none">
            <a:effectLst/>
            <a:uFillTx/>
            <a:latin typeface="Times New Roman"/>
          </a:endParaRPr>
        </a:p>
      </xdr:txBody>
    </xdr:sp>
    <xdr:clientData/>
  </xdr:twoCellAnchor>
  <xdr:twoCellAnchor editAs="oneCell">
    <xdr:from>
      <xdr:col>33</xdr:col>
      <xdr:colOff>504720</xdr:colOff>
      <xdr:row>1</xdr:row>
      <xdr:rowOff>114120</xdr:rowOff>
    </xdr:from>
    <xdr:to>
      <xdr:col>35</xdr:col>
      <xdr:colOff>311760</xdr:colOff>
      <xdr:row>9</xdr:row>
      <xdr:rowOff>68400</xdr:rowOff>
    </xdr:to>
    <xdr:grpSp>
      <xdr:nvGrpSpPr>
        <xdr:cNvPr id="557" name="Shape 2"/>
        <xdr:cNvGrpSpPr/>
      </xdr:nvGrpSpPr>
      <xdr:grpSpPr>
        <a:xfrm>
          <a:off x="22178520" y="342720"/>
          <a:ext cx="1059120" cy="1182960"/>
          <a:chOff x="22178520" y="342720"/>
          <a:chExt cx="1059120" cy="1182960"/>
        </a:xfrm>
      </xdr:grpSpPr>
      <xdr:cxnSp>
        <xdr:nvCxnSpPr>
          <xdr:cNvPr id="558" name="Shape 312"/>
          <xdr:cNvCxnSpPr/>
        </xdr:nvCxnSpPr>
        <xdr:spPr>
          <a:xfrm flipH="1" flipV="1">
            <a:off x="22178520" y="342720"/>
            <a:ext cx="1059480" cy="1183320"/>
          </a:xfrm>
          <a:prstGeom prst="straightConnector1">
            <a:avLst/>
          </a:prstGeom>
          <a:ln w="9525">
            <a:solidFill>
              <a:srgbClr val="ff0000"/>
            </a:solidFill>
            <a:miter/>
            <a:tailEnd len="med" type="triangle" w="med"/>
          </a:ln>
        </xdr:spPr>
      </xdr:cxnSp>
    </xdr:grpSp>
    <xdr:clientData/>
  </xdr:twoCellAnchor>
  <xdr:twoCellAnchor editAs="oneCell">
    <xdr:from>
      <xdr:col>34</xdr:col>
      <xdr:colOff>495360</xdr:colOff>
      <xdr:row>3</xdr:row>
      <xdr:rowOff>28440</xdr:rowOff>
    </xdr:from>
    <xdr:to>
      <xdr:col>35</xdr:col>
      <xdr:colOff>86400</xdr:colOff>
      <xdr:row>4</xdr:row>
      <xdr:rowOff>55080</xdr:rowOff>
    </xdr:to>
    <xdr:sp>
      <xdr:nvSpPr>
        <xdr:cNvPr id="559" name="Shape 313"/>
        <xdr:cNvSpPr/>
      </xdr:nvSpPr>
      <xdr:spPr>
        <a:xfrm>
          <a:off x="22795200" y="571320"/>
          <a:ext cx="2170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θ</a:t>
          </a:r>
          <a:r>
            <a:rPr b="1" lang="en-US" sz="800" strike="noStrike" u="none">
              <a:solidFill>
                <a:srgbClr val="000000"/>
              </a:solidFill>
              <a:effectLst/>
              <a:uFillTx/>
              <a:latin typeface="Arial"/>
              <a:ea typeface="Arial"/>
            </a:rPr>
            <a:t>2,3</a:t>
          </a:r>
          <a:endParaRPr b="0" lang="en-US" sz="800" strike="noStrike" u="none">
            <a:effectLst/>
            <a:uFillTx/>
            <a:latin typeface="Times New Roman"/>
          </a:endParaRPr>
        </a:p>
      </xdr:txBody>
    </xdr:sp>
    <xdr:clientData/>
  </xdr:twoCellAnchor>
  <xdr:twoCellAnchor editAs="oneCell">
    <xdr:from>
      <xdr:col>34</xdr:col>
      <xdr:colOff>352080</xdr:colOff>
      <xdr:row>4</xdr:row>
      <xdr:rowOff>9360</xdr:rowOff>
    </xdr:from>
    <xdr:to>
      <xdr:col>34</xdr:col>
      <xdr:colOff>468360</xdr:colOff>
      <xdr:row>4</xdr:row>
      <xdr:rowOff>106560</xdr:rowOff>
    </xdr:to>
    <xdr:grpSp>
      <xdr:nvGrpSpPr>
        <xdr:cNvPr id="560" name="Shape 2"/>
        <xdr:cNvGrpSpPr/>
      </xdr:nvGrpSpPr>
      <xdr:grpSpPr>
        <a:xfrm>
          <a:off x="22651920" y="704520"/>
          <a:ext cx="116280" cy="97200"/>
          <a:chOff x="22651920" y="704520"/>
          <a:chExt cx="116280" cy="97200"/>
        </a:xfrm>
      </xdr:grpSpPr>
      <xdr:cxnSp>
        <xdr:nvCxnSpPr>
          <xdr:cNvPr id="561" name="Shape 314"/>
          <xdr:cNvCxnSpPr/>
        </xdr:nvCxnSpPr>
        <xdr:spPr>
          <a:xfrm flipH="1">
            <a:off x="22651920" y="704520"/>
            <a:ext cx="116640" cy="97560"/>
          </a:xfrm>
          <a:prstGeom prst="straightConnector1">
            <a:avLst/>
          </a:prstGeom>
          <a:ln w="9525">
            <a:solidFill>
              <a:srgbClr val="000000"/>
            </a:solidFill>
            <a:miter/>
            <a:tailEnd len="med" type="triangle" w="med"/>
          </a:ln>
        </xdr:spPr>
      </xdr:cxnSp>
    </xdr:grpSp>
    <xdr:clientData/>
  </xdr:twoCellAnchor>
  <xdr:twoCellAnchor editAs="oneCell">
    <xdr:from>
      <xdr:col>35</xdr:col>
      <xdr:colOff>180720</xdr:colOff>
      <xdr:row>3</xdr:row>
      <xdr:rowOff>47160</xdr:rowOff>
    </xdr:from>
    <xdr:to>
      <xdr:col>35</xdr:col>
      <xdr:colOff>392040</xdr:colOff>
      <xdr:row>3</xdr:row>
      <xdr:rowOff>87480</xdr:rowOff>
    </xdr:to>
    <xdr:grpSp>
      <xdr:nvGrpSpPr>
        <xdr:cNvPr id="562" name="Shape 2"/>
        <xdr:cNvGrpSpPr/>
      </xdr:nvGrpSpPr>
      <xdr:grpSpPr>
        <a:xfrm>
          <a:off x="23106600" y="590040"/>
          <a:ext cx="211320" cy="40320"/>
          <a:chOff x="23106600" y="590040"/>
          <a:chExt cx="211320" cy="40320"/>
        </a:xfrm>
      </xdr:grpSpPr>
      <xdr:cxnSp>
        <xdr:nvCxnSpPr>
          <xdr:cNvPr id="563" name="Shape 315"/>
          <xdr:cNvCxnSpPr/>
        </xdr:nvCxnSpPr>
        <xdr:spPr>
          <a:xfrm flipV="1">
            <a:off x="23106600" y="590040"/>
            <a:ext cx="211680" cy="40680"/>
          </a:xfrm>
          <a:prstGeom prst="straightConnector1">
            <a:avLst/>
          </a:prstGeom>
          <a:ln w="9525">
            <a:solidFill>
              <a:srgbClr val="000000"/>
            </a:solidFill>
            <a:miter/>
            <a:tailEnd len="med" type="triangle" w="med"/>
          </a:ln>
        </xdr:spPr>
      </xdr:cxnSp>
    </xdr:grpSp>
    <xdr:clientData/>
  </xdr:twoCellAnchor>
  <xdr:twoCellAnchor editAs="oneCell">
    <xdr:from>
      <xdr:col>35</xdr:col>
      <xdr:colOff>123840</xdr:colOff>
      <xdr:row>23</xdr:row>
      <xdr:rowOff>85680</xdr:rowOff>
    </xdr:from>
    <xdr:to>
      <xdr:col>35</xdr:col>
      <xdr:colOff>578880</xdr:colOff>
      <xdr:row>24</xdr:row>
      <xdr:rowOff>112320</xdr:rowOff>
    </xdr:to>
    <xdr:sp>
      <xdr:nvSpPr>
        <xdr:cNvPr id="564" name="Shape 316"/>
        <xdr:cNvSpPr/>
      </xdr:nvSpPr>
      <xdr:spPr>
        <a:xfrm>
          <a:off x="23049720" y="3676680"/>
          <a:ext cx="4550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Figure</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7</a:t>
          </a:r>
          <a:endParaRPr b="0" lang="en-US" sz="1000" strike="noStrike" u="none">
            <a:effectLst/>
            <a:uFillTx/>
            <a:latin typeface="Times New Roman"/>
          </a:endParaRPr>
        </a:p>
      </xdr:txBody>
    </xdr:sp>
    <xdr:clientData/>
  </xdr:twoCellAnchor>
  <xdr:twoCellAnchor editAs="oneCell">
    <xdr:from>
      <xdr:col>36</xdr:col>
      <xdr:colOff>200160</xdr:colOff>
      <xdr:row>5</xdr:row>
      <xdr:rowOff>123840</xdr:rowOff>
    </xdr:from>
    <xdr:to>
      <xdr:col>38</xdr:col>
      <xdr:colOff>146160</xdr:colOff>
      <xdr:row>7</xdr:row>
      <xdr:rowOff>7560</xdr:rowOff>
    </xdr:to>
    <xdr:sp>
      <xdr:nvSpPr>
        <xdr:cNvPr id="565" name="Shape 317"/>
        <xdr:cNvSpPr/>
      </xdr:nvSpPr>
      <xdr:spPr>
        <a:xfrm>
          <a:off x="23752440" y="971640"/>
          <a:ext cx="119808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Patch (or User Defined)</a:t>
          </a:r>
          <a:endParaRPr b="0" lang="en-US" sz="1000" strike="noStrike" u="none">
            <a:effectLst/>
            <a:uFillTx/>
            <a:latin typeface="Times New Roman"/>
          </a:endParaRPr>
        </a:p>
      </xdr:txBody>
    </xdr:sp>
    <xdr:clientData/>
  </xdr:twoCellAnchor>
  <xdr:twoCellAnchor editAs="oneCell">
    <xdr:from>
      <xdr:col>35</xdr:col>
      <xdr:colOff>161640</xdr:colOff>
      <xdr:row>9</xdr:row>
      <xdr:rowOff>66600</xdr:rowOff>
    </xdr:from>
    <xdr:to>
      <xdr:col>36</xdr:col>
      <xdr:colOff>42120</xdr:colOff>
      <xdr:row>9</xdr:row>
      <xdr:rowOff>68400</xdr:rowOff>
    </xdr:to>
    <xdr:grpSp>
      <xdr:nvGrpSpPr>
        <xdr:cNvPr id="566" name="Shape 2"/>
        <xdr:cNvGrpSpPr/>
      </xdr:nvGrpSpPr>
      <xdr:grpSpPr>
        <a:xfrm>
          <a:off x="23087520" y="1523880"/>
          <a:ext cx="506880" cy="1800"/>
          <a:chOff x="23087520" y="1523880"/>
          <a:chExt cx="506880" cy="1800"/>
        </a:xfrm>
      </xdr:grpSpPr>
      <xdr:cxnSp>
        <xdr:nvCxnSpPr>
          <xdr:cNvPr id="567" name="Shape 318"/>
          <xdr:cNvCxnSpPr/>
        </xdr:nvCxnSpPr>
        <xdr:spPr>
          <a:xfrm>
            <a:off x="23087520" y="1523880"/>
            <a:ext cx="507240" cy="2160"/>
          </a:xfrm>
          <a:prstGeom prst="straightConnector1">
            <a:avLst/>
          </a:prstGeom>
          <a:ln w="38100">
            <a:solidFill>
              <a:srgbClr val="ff0000"/>
            </a:solidFill>
            <a:miter/>
          </a:ln>
        </xdr:spPr>
      </xdr:cxnSp>
    </xdr:grpSp>
    <xdr:clientData/>
  </xdr:twoCellAnchor>
  <xdr:twoCellAnchor editAs="oneCell">
    <xdr:from>
      <xdr:col>12</xdr:col>
      <xdr:colOff>95400</xdr:colOff>
      <xdr:row>2</xdr:row>
      <xdr:rowOff>66600</xdr:rowOff>
    </xdr:from>
    <xdr:to>
      <xdr:col>14</xdr:col>
      <xdr:colOff>117360</xdr:colOff>
      <xdr:row>12</xdr:row>
      <xdr:rowOff>74160</xdr:rowOff>
    </xdr:to>
    <xdr:sp>
      <xdr:nvSpPr>
        <xdr:cNvPr id="568" name="Shape 319"/>
        <xdr:cNvSpPr/>
      </xdr:nvSpPr>
      <xdr:spPr>
        <a:xfrm>
          <a:off x="7951680" y="457200"/>
          <a:ext cx="1274040" cy="1531440"/>
        </a:xfrm>
        <a:custGeom>
          <a:avLst/>
          <a:gdLst>
            <a:gd name="textAreaLeft" fmla="*/ 0 w 1274040"/>
            <a:gd name="textAreaRight" fmla="*/ 1276200 w 1274040"/>
            <a:gd name="textAreaTop" fmla="*/ 0 h 1531440"/>
            <a:gd name="textAreaBottom" fmla="*/ 1533600 h 1531440"/>
          </a:gdLst>
          <a:ahLst/>
          <a:cxnLst/>
          <a:rect l="textAreaLeft" t="textAreaTop" r="textAreaRight" b="textAreaBottom"/>
          <a:pathLst>
            <a:path w="137" h="170">
              <a:moveTo>
                <a:pt x="0" y="73"/>
              </a:moveTo>
              <a:cubicBezTo>
                <a:pt x="0" y="53"/>
                <a:pt x="0" y="34"/>
                <a:pt x="2" y="23"/>
              </a:cubicBezTo>
              <a:cubicBezTo>
                <a:pt x="4" y="12"/>
                <a:pt x="5" y="12"/>
                <a:pt x="9" y="9"/>
              </a:cubicBezTo>
              <a:cubicBezTo>
                <a:pt x="13" y="6"/>
                <a:pt x="19" y="4"/>
                <a:pt x="28" y="3"/>
              </a:cubicBezTo>
              <a:cubicBezTo>
                <a:pt x="37" y="2"/>
                <a:pt x="53" y="0"/>
                <a:pt x="64" y="2"/>
              </a:cubicBezTo>
              <a:cubicBezTo>
                <a:pt x="75" y="4"/>
                <a:pt x="88" y="8"/>
                <a:pt x="97" y="14"/>
              </a:cubicBezTo>
              <a:cubicBezTo>
                <a:pt x="106" y="20"/>
                <a:pt x="112" y="28"/>
                <a:pt x="117" y="36"/>
              </a:cubicBezTo>
              <a:cubicBezTo>
                <a:pt x="122" y="44"/>
                <a:pt x="127" y="53"/>
                <a:pt x="130" y="63"/>
              </a:cubicBezTo>
              <a:cubicBezTo>
                <a:pt x="133" y="73"/>
                <a:pt x="135" y="89"/>
                <a:pt x="136" y="97"/>
              </a:cubicBezTo>
              <a:cubicBezTo>
                <a:pt x="137" y="105"/>
                <a:pt x="136" y="104"/>
                <a:pt x="135" y="111"/>
              </a:cubicBezTo>
              <a:cubicBezTo>
                <a:pt x="134" y="118"/>
                <a:pt x="134" y="134"/>
                <a:pt x="130" y="142"/>
              </a:cubicBezTo>
              <a:cubicBezTo>
                <a:pt x="126" y="150"/>
                <a:pt x="117" y="158"/>
                <a:pt x="110" y="162"/>
              </a:cubicBezTo>
              <a:cubicBezTo>
                <a:pt x="103" y="166"/>
                <a:pt x="96" y="166"/>
                <a:pt x="86" y="167"/>
              </a:cubicBezTo>
              <a:cubicBezTo>
                <a:pt x="76" y="168"/>
                <a:pt x="56" y="170"/>
                <a:pt x="50" y="170"/>
              </a:cubicBezTo>
            </a:path>
          </a:pathLst>
        </a:custGeom>
        <a:noFill/>
        <a:ln w="9525">
          <a:solidFill>
            <a:srgbClr val="ff00ff"/>
          </a:solidFill>
          <a:round/>
        </a:ln>
      </xdr:spPr>
      <xdr:style>
        <a:lnRef idx="0"/>
        <a:fillRef idx="0"/>
        <a:effectRef idx="0"/>
        <a:fontRef idx="minor"/>
      </xdr:style>
    </xdr:sp>
    <xdr:clientData/>
  </xdr:twoCellAnchor>
  <xdr:twoCellAnchor editAs="oneCell">
    <xdr:from>
      <xdr:col>9</xdr:col>
      <xdr:colOff>764640</xdr:colOff>
      <xdr:row>2</xdr:row>
      <xdr:rowOff>66600</xdr:rowOff>
    </xdr:from>
    <xdr:to>
      <xdr:col>12</xdr:col>
      <xdr:colOff>10080</xdr:colOff>
      <xdr:row>12</xdr:row>
      <xdr:rowOff>74160</xdr:rowOff>
    </xdr:to>
    <xdr:sp>
      <xdr:nvSpPr>
        <xdr:cNvPr id="569" name="Shape 320"/>
        <xdr:cNvSpPr/>
      </xdr:nvSpPr>
      <xdr:spPr>
        <a:xfrm flipH="1">
          <a:off x="6601680" y="457200"/>
          <a:ext cx="1264680" cy="1531440"/>
        </a:xfrm>
        <a:custGeom>
          <a:avLst/>
          <a:gdLst>
            <a:gd name="textAreaLeft" fmla="*/ 1080 w 1264680"/>
            <a:gd name="textAreaRight" fmla="*/ 1267920 w 1264680"/>
            <a:gd name="textAreaTop" fmla="*/ 0 h 1531440"/>
            <a:gd name="textAreaBottom" fmla="*/ 1533600 h 1531440"/>
          </a:gdLst>
          <a:ahLst/>
          <a:cxnLst/>
          <a:rect l="textAreaLeft" t="textAreaTop" r="textAreaRight" b="textAreaBottom"/>
          <a:pathLst>
            <a:path w="137" h="170">
              <a:moveTo>
                <a:pt x="0" y="73"/>
              </a:moveTo>
              <a:cubicBezTo>
                <a:pt x="0" y="53"/>
                <a:pt x="0" y="34"/>
                <a:pt x="2" y="23"/>
              </a:cubicBezTo>
              <a:cubicBezTo>
                <a:pt x="4" y="12"/>
                <a:pt x="5" y="12"/>
                <a:pt x="9" y="9"/>
              </a:cubicBezTo>
              <a:cubicBezTo>
                <a:pt x="13" y="6"/>
                <a:pt x="19" y="4"/>
                <a:pt x="28" y="3"/>
              </a:cubicBezTo>
              <a:cubicBezTo>
                <a:pt x="37" y="2"/>
                <a:pt x="53" y="0"/>
                <a:pt x="64" y="2"/>
              </a:cubicBezTo>
              <a:cubicBezTo>
                <a:pt x="75" y="4"/>
                <a:pt x="88" y="8"/>
                <a:pt x="97" y="14"/>
              </a:cubicBezTo>
              <a:cubicBezTo>
                <a:pt x="106" y="20"/>
                <a:pt x="112" y="28"/>
                <a:pt x="117" y="36"/>
              </a:cubicBezTo>
              <a:cubicBezTo>
                <a:pt x="122" y="44"/>
                <a:pt x="127" y="53"/>
                <a:pt x="130" y="63"/>
              </a:cubicBezTo>
              <a:cubicBezTo>
                <a:pt x="133" y="73"/>
                <a:pt x="135" y="89"/>
                <a:pt x="136" y="97"/>
              </a:cubicBezTo>
              <a:cubicBezTo>
                <a:pt x="137" y="105"/>
                <a:pt x="136" y="104"/>
                <a:pt x="135" y="111"/>
              </a:cubicBezTo>
              <a:cubicBezTo>
                <a:pt x="134" y="118"/>
                <a:pt x="134" y="134"/>
                <a:pt x="130" y="142"/>
              </a:cubicBezTo>
              <a:cubicBezTo>
                <a:pt x="126" y="150"/>
                <a:pt x="117" y="158"/>
                <a:pt x="110" y="162"/>
              </a:cubicBezTo>
              <a:cubicBezTo>
                <a:pt x="103" y="166"/>
                <a:pt x="96" y="166"/>
                <a:pt x="86" y="167"/>
              </a:cubicBezTo>
              <a:cubicBezTo>
                <a:pt x="76" y="168"/>
                <a:pt x="56" y="170"/>
                <a:pt x="50" y="170"/>
              </a:cubicBezTo>
            </a:path>
          </a:pathLst>
        </a:custGeom>
        <a:noFill/>
        <a:ln w="9525">
          <a:solidFill>
            <a:srgbClr val="ff00ff"/>
          </a:solidFill>
          <a:round/>
        </a:ln>
      </xdr:spPr>
      <xdr:style>
        <a:lnRef idx="0"/>
        <a:fillRef idx="0"/>
        <a:effectRef idx="0"/>
        <a:fontRef idx="minor"/>
      </xdr:style>
    </xdr:sp>
    <xdr:clientData/>
  </xdr:twoCellAnchor>
  <xdr:twoCellAnchor editAs="oneCell">
    <xdr:from>
      <xdr:col>17</xdr:col>
      <xdr:colOff>219240</xdr:colOff>
      <xdr:row>12</xdr:row>
      <xdr:rowOff>85680</xdr:rowOff>
    </xdr:from>
    <xdr:to>
      <xdr:col>19</xdr:col>
      <xdr:colOff>577800</xdr:colOff>
      <xdr:row>23</xdr:row>
      <xdr:rowOff>102600</xdr:rowOff>
    </xdr:to>
    <xdr:sp>
      <xdr:nvSpPr>
        <xdr:cNvPr id="570" name="Shape 321"/>
        <xdr:cNvSpPr/>
      </xdr:nvSpPr>
      <xdr:spPr>
        <a:xfrm>
          <a:off x="11840400" y="2000160"/>
          <a:ext cx="1645560" cy="1693440"/>
        </a:xfrm>
        <a:custGeom>
          <a:avLst/>
          <a:gdLst>
            <a:gd name="textAreaLeft" fmla="*/ 0 w 1645560"/>
            <a:gd name="textAreaRight" fmla="*/ 1647720 w 1645560"/>
            <a:gd name="textAreaTop" fmla="*/ 0 h 1693440"/>
            <a:gd name="textAreaBottom" fmla="*/ 1695600 h 169344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14</xdr:col>
      <xdr:colOff>931320</xdr:colOff>
      <xdr:row>12</xdr:row>
      <xdr:rowOff>85680</xdr:rowOff>
    </xdr:from>
    <xdr:to>
      <xdr:col>17</xdr:col>
      <xdr:colOff>92880</xdr:colOff>
      <xdr:row>23</xdr:row>
      <xdr:rowOff>102600</xdr:rowOff>
    </xdr:to>
    <xdr:sp>
      <xdr:nvSpPr>
        <xdr:cNvPr id="571" name="Shape 322"/>
        <xdr:cNvSpPr/>
      </xdr:nvSpPr>
      <xdr:spPr>
        <a:xfrm flipH="1">
          <a:off x="10039680" y="2000160"/>
          <a:ext cx="1674360" cy="1693440"/>
        </a:xfrm>
        <a:custGeom>
          <a:avLst/>
          <a:gdLst>
            <a:gd name="textAreaLeft" fmla="*/ 1080 w 1674360"/>
            <a:gd name="textAreaRight" fmla="*/ 1677600 w 1674360"/>
            <a:gd name="textAreaTop" fmla="*/ 0 h 1693440"/>
            <a:gd name="textAreaBottom" fmla="*/ 1695600 h 169344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17</xdr:col>
      <xdr:colOff>220320</xdr:colOff>
      <xdr:row>1</xdr:row>
      <xdr:rowOff>49680</xdr:rowOff>
    </xdr:from>
    <xdr:to>
      <xdr:col>19</xdr:col>
      <xdr:colOff>578880</xdr:colOff>
      <xdr:row>12</xdr:row>
      <xdr:rowOff>66600</xdr:rowOff>
    </xdr:to>
    <xdr:sp>
      <xdr:nvSpPr>
        <xdr:cNvPr id="572" name="Shape 323"/>
        <xdr:cNvSpPr/>
      </xdr:nvSpPr>
      <xdr:spPr>
        <a:xfrm flipH="1" rot="10800000">
          <a:off x="11841120" y="278280"/>
          <a:ext cx="1645560" cy="1702800"/>
        </a:xfrm>
        <a:custGeom>
          <a:avLst/>
          <a:gdLst>
            <a:gd name="textAreaLeft" fmla="*/ 1080 w 1645560"/>
            <a:gd name="textAreaRight" fmla="*/ 1648800 w 1645560"/>
            <a:gd name="textAreaTop" fmla="*/ 0 h 1702800"/>
            <a:gd name="textAreaBottom" fmla="*/ 1704960 h 170280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14</xdr:col>
      <xdr:colOff>878400</xdr:colOff>
      <xdr:row>1</xdr:row>
      <xdr:rowOff>49680</xdr:rowOff>
    </xdr:from>
    <xdr:to>
      <xdr:col>17</xdr:col>
      <xdr:colOff>49320</xdr:colOff>
      <xdr:row>12</xdr:row>
      <xdr:rowOff>66600</xdr:rowOff>
    </xdr:to>
    <xdr:sp>
      <xdr:nvSpPr>
        <xdr:cNvPr id="573" name="Shape 324"/>
        <xdr:cNvSpPr/>
      </xdr:nvSpPr>
      <xdr:spPr>
        <a:xfrm rot="10800000">
          <a:off x="9986760" y="278280"/>
          <a:ext cx="1683720" cy="1702800"/>
        </a:xfrm>
        <a:custGeom>
          <a:avLst/>
          <a:gdLst>
            <a:gd name="textAreaLeft" fmla="*/ 0 w 1683720"/>
            <a:gd name="textAreaRight" fmla="*/ 1685880 w 1683720"/>
            <a:gd name="textAreaTop" fmla="*/ 0 h 1702800"/>
            <a:gd name="textAreaBottom" fmla="*/ 1704960 h 1702800"/>
          </a:gdLst>
          <a:ahLst/>
          <a:cxnLst/>
          <a:rect l="textAreaLeft" t="textAreaTop" r="textAreaRight" b="textAreaBottom"/>
          <a:pathLst>
            <a:path w="176" h="188">
              <a:moveTo>
                <a:pt x="55" y="0"/>
              </a:moveTo>
              <a:cubicBezTo>
                <a:pt x="71" y="1"/>
                <a:pt x="88" y="2"/>
                <a:pt x="100" y="3"/>
              </a:cubicBezTo>
              <a:cubicBezTo>
                <a:pt x="112" y="4"/>
                <a:pt x="118" y="5"/>
                <a:pt x="126" y="9"/>
              </a:cubicBezTo>
              <a:cubicBezTo>
                <a:pt x="134" y="13"/>
                <a:pt x="142" y="18"/>
                <a:pt x="150" y="26"/>
              </a:cubicBezTo>
              <a:cubicBezTo>
                <a:pt x="158" y="34"/>
                <a:pt x="168" y="47"/>
                <a:pt x="172" y="59"/>
              </a:cubicBezTo>
              <a:cubicBezTo>
                <a:pt x="176" y="71"/>
                <a:pt x="175" y="86"/>
                <a:pt x="174" y="99"/>
              </a:cubicBezTo>
              <a:cubicBezTo>
                <a:pt x="173" y="112"/>
                <a:pt x="173" y="125"/>
                <a:pt x="168" y="136"/>
              </a:cubicBezTo>
              <a:cubicBezTo>
                <a:pt x="163" y="147"/>
                <a:pt x="151" y="156"/>
                <a:pt x="141" y="163"/>
              </a:cubicBezTo>
              <a:cubicBezTo>
                <a:pt x="131" y="170"/>
                <a:pt x="120" y="174"/>
                <a:pt x="106" y="178"/>
              </a:cubicBezTo>
              <a:cubicBezTo>
                <a:pt x="92" y="182"/>
                <a:pt x="74" y="184"/>
                <a:pt x="56" y="186"/>
              </a:cubicBezTo>
              <a:cubicBezTo>
                <a:pt x="38" y="188"/>
                <a:pt x="19" y="188"/>
                <a:pt x="0" y="188"/>
              </a:cubicBezTo>
            </a:path>
          </a:pathLst>
        </a:custGeom>
        <a:noFill/>
        <a:ln w="9525">
          <a:solidFill>
            <a:srgbClr val="ff00ff"/>
          </a:solidFill>
          <a:round/>
        </a:ln>
      </xdr:spPr>
      <xdr:style>
        <a:lnRef idx="0"/>
        <a:fillRef idx="0"/>
        <a:effectRef idx="0"/>
        <a:fontRef idx="minor"/>
      </xdr:style>
    </xdr:sp>
    <xdr:clientData/>
  </xdr:twoCellAnchor>
  <xdr:twoCellAnchor editAs="oneCell">
    <xdr:from>
      <xdr:col>46</xdr:col>
      <xdr:colOff>390600</xdr:colOff>
      <xdr:row>36</xdr:row>
      <xdr:rowOff>133200</xdr:rowOff>
    </xdr:from>
    <xdr:to>
      <xdr:col>47</xdr:col>
      <xdr:colOff>22680</xdr:colOff>
      <xdr:row>37</xdr:row>
      <xdr:rowOff>188280</xdr:rowOff>
    </xdr:to>
    <xdr:sp>
      <xdr:nvSpPr>
        <xdr:cNvPr id="574" name="Shape 325"/>
        <xdr:cNvSpPr/>
      </xdr:nvSpPr>
      <xdr:spPr>
        <a:xfrm>
          <a:off x="30978720" y="5933880"/>
          <a:ext cx="645480" cy="2170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200" strike="noStrike" u="none">
              <a:solidFill>
                <a:srgbClr val="000000"/>
              </a:solidFill>
              <a:effectLst/>
              <a:uFillTx/>
              <a:latin typeface="Arial"/>
              <a:ea typeface="Arial"/>
            </a:rPr>
            <a:t>Figure 8</a:t>
          </a:r>
          <a:endParaRPr b="0" lang="en-US" sz="1200" strike="noStrike" u="none">
            <a:effectLst/>
            <a:uFillTx/>
            <a:latin typeface="Times New Roman"/>
          </a:endParaRPr>
        </a:p>
      </xdr:txBody>
    </xdr:sp>
    <xdr:clientData/>
  </xdr:twoCellAnchor>
  <xdr:twoCellAnchor editAs="oneCell">
    <xdr:from>
      <xdr:col>34</xdr:col>
      <xdr:colOff>257040</xdr:colOff>
      <xdr:row>1</xdr:row>
      <xdr:rowOff>142920</xdr:rowOff>
    </xdr:from>
    <xdr:to>
      <xdr:col>35</xdr:col>
      <xdr:colOff>371880</xdr:colOff>
      <xdr:row>9</xdr:row>
      <xdr:rowOff>74160</xdr:rowOff>
    </xdr:to>
    <xdr:sp>
      <xdr:nvSpPr>
        <xdr:cNvPr id="575" name="Shape 326"/>
        <xdr:cNvSpPr/>
      </xdr:nvSpPr>
      <xdr:spPr>
        <a:xfrm>
          <a:off x="22556880" y="371520"/>
          <a:ext cx="740880" cy="1159920"/>
        </a:xfrm>
        <a:custGeom>
          <a:avLst/>
          <a:gdLst>
            <a:gd name="textAreaLeft" fmla="*/ 0 w 740880"/>
            <a:gd name="textAreaRight" fmla="*/ 743040 w 740880"/>
            <a:gd name="textAreaTop" fmla="*/ 0 h 1159920"/>
            <a:gd name="textAreaBottom" fmla="*/ 1162080 h 1159920"/>
          </a:gdLst>
          <a:ahLst/>
          <a:cxnLst/>
          <a:rect l="textAreaLeft" t="textAreaTop" r="textAreaRight" b="textAreaBottom"/>
          <a:pathLst>
            <a:path w="80" h="129">
              <a:moveTo>
                <a:pt x="80" y="0"/>
              </a:moveTo>
              <a:cubicBezTo>
                <a:pt x="70" y="1"/>
                <a:pt x="61" y="2"/>
                <a:pt x="54" y="3"/>
              </a:cubicBezTo>
              <a:cubicBezTo>
                <a:pt x="47" y="4"/>
                <a:pt x="45" y="6"/>
                <a:pt x="40" y="8"/>
              </a:cubicBezTo>
              <a:cubicBezTo>
                <a:pt x="35" y="10"/>
                <a:pt x="28" y="14"/>
                <a:pt x="23" y="17"/>
              </a:cubicBezTo>
              <a:cubicBezTo>
                <a:pt x="18" y="20"/>
                <a:pt x="15" y="23"/>
                <a:pt x="12" y="28"/>
              </a:cubicBezTo>
              <a:cubicBezTo>
                <a:pt x="9" y="33"/>
                <a:pt x="5" y="38"/>
                <a:pt x="3" y="44"/>
              </a:cubicBezTo>
              <a:cubicBezTo>
                <a:pt x="1" y="50"/>
                <a:pt x="0" y="58"/>
                <a:pt x="1" y="66"/>
              </a:cubicBezTo>
              <a:cubicBezTo>
                <a:pt x="2" y="74"/>
                <a:pt x="4" y="87"/>
                <a:pt x="8" y="94"/>
              </a:cubicBezTo>
              <a:cubicBezTo>
                <a:pt x="12" y="101"/>
                <a:pt x="15" y="105"/>
                <a:pt x="27" y="111"/>
              </a:cubicBezTo>
              <a:cubicBezTo>
                <a:pt x="39" y="117"/>
                <a:pt x="59" y="123"/>
                <a:pt x="79" y="129"/>
              </a:cubicBezTo>
            </a:path>
          </a:pathLst>
        </a:custGeom>
        <a:noFill/>
        <a:ln w="9525">
          <a:solidFill>
            <a:srgbClr val="ff00ff"/>
          </a:solidFill>
          <a:round/>
        </a:ln>
      </xdr:spPr>
      <xdr:style>
        <a:lnRef idx="0"/>
        <a:fillRef idx="0"/>
        <a:effectRef idx="0"/>
        <a:fontRef idx="minor"/>
      </xdr:style>
    </xdr:sp>
    <xdr:clientData/>
  </xdr:twoCellAnchor>
  <xdr:twoCellAnchor editAs="oneCell">
    <xdr:from>
      <xdr:col>35</xdr:col>
      <xdr:colOff>416880</xdr:colOff>
      <xdr:row>1</xdr:row>
      <xdr:rowOff>142920</xdr:rowOff>
    </xdr:from>
    <xdr:to>
      <xdr:col>36</xdr:col>
      <xdr:colOff>531360</xdr:colOff>
      <xdr:row>9</xdr:row>
      <xdr:rowOff>74160</xdr:rowOff>
    </xdr:to>
    <xdr:sp>
      <xdr:nvSpPr>
        <xdr:cNvPr id="576" name="Shape 327"/>
        <xdr:cNvSpPr/>
      </xdr:nvSpPr>
      <xdr:spPr>
        <a:xfrm flipH="1">
          <a:off x="23342760" y="371520"/>
          <a:ext cx="740880" cy="1159920"/>
        </a:xfrm>
        <a:custGeom>
          <a:avLst/>
          <a:gdLst>
            <a:gd name="textAreaLeft" fmla="*/ -1080 w 740880"/>
            <a:gd name="textAreaRight" fmla="*/ 741960 w 740880"/>
            <a:gd name="textAreaTop" fmla="*/ 0 h 1159920"/>
            <a:gd name="textAreaBottom" fmla="*/ 1162080 h 1159920"/>
          </a:gdLst>
          <a:ahLst/>
          <a:cxnLst/>
          <a:rect l="textAreaLeft" t="textAreaTop" r="textAreaRight" b="textAreaBottom"/>
          <a:pathLst>
            <a:path w="80" h="129">
              <a:moveTo>
                <a:pt x="80" y="0"/>
              </a:moveTo>
              <a:cubicBezTo>
                <a:pt x="70" y="1"/>
                <a:pt x="61" y="2"/>
                <a:pt x="54" y="3"/>
              </a:cubicBezTo>
              <a:cubicBezTo>
                <a:pt x="47" y="4"/>
                <a:pt x="45" y="6"/>
                <a:pt x="40" y="8"/>
              </a:cubicBezTo>
              <a:cubicBezTo>
                <a:pt x="35" y="10"/>
                <a:pt x="28" y="14"/>
                <a:pt x="23" y="17"/>
              </a:cubicBezTo>
              <a:cubicBezTo>
                <a:pt x="18" y="20"/>
                <a:pt x="15" y="23"/>
                <a:pt x="12" y="28"/>
              </a:cubicBezTo>
              <a:cubicBezTo>
                <a:pt x="9" y="33"/>
                <a:pt x="5" y="38"/>
                <a:pt x="3" y="44"/>
              </a:cubicBezTo>
              <a:cubicBezTo>
                <a:pt x="1" y="50"/>
                <a:pt x="0" y="58"/>
                <a:pt x="1" y="66"/>
              </a:cubicBezTo>
              <a:cubicBezTo>
                <a:pt x="2" y="74"/>
                <a:pt x="4" y="87"/>
                <a:pt x="8" y="94"/>
              </a:cubicBezTo>
              <a:cubicBezTo>
                <a:pt x="12" y="101"/>
                <a:pt x="15" y="105"/>
                <a:pt x="27" y="111"/>
              </a:cubicBezTo>
              <a:cubicBezTo>
                <a:pt x="39" y="117"/>
                <a:pt x="59" y="123"/>
                <a:pt x="79" y="129"/>
              </a:cubicBezTo>
            </a:path>
          </a:pathLst>
        </a:custGeom>
        <a:noFill/>
        <a:ln w="9525">
          <a:solidFill>
            <a:srgbClr val="ff00ff"/>
          </a:solidFill>
          <a:round/>
        </a:ln>
      </xdr:spPr>
      <xdr:style>
        <a:lnRef idx="0"/>
        <a:fillRef idx="0"/>
        <a:effectRef idx="0"/>
        <a:fontRef idx="minor"/>
      </xdr:style>
    </xdr:sp>
    <xdr:clientData/>
  </xdr:twoCellAnchor>
  <xdr:twoCellAnchor editAs="oneCell">
    <xdr:from>
      <xdr:col>29</xdr:col>
      <xdr:colOff>209520</xdr:colOff>
      <xdr:row>1</xdr:row>
      <xdr:rowOff>123840</xdr:rowOff>
    </xdr:from>
    <xdr:to>
      <xdr:col>31</xdr:col>
      <xdr:colOff>326520</xdr:colOff>
      <xdr:row>15</xdr:row>
      <xdr:rowOff>102600</xdr:rowOff>
    </xdr:to>
    <xdr:sp>
      <xdr:nvSpPr>
        <xdr:cNvPr id="577" name="Shape 328"/>
        <xdr:cNvSpPr/>
      </xdr:nvSpPr>
      <xdr:spPr>
        <a:xfrm>
          <a:off x="19378800" y="352440"/>
          <a:ext cx="1369440" cy="2121840"/>
        </a:xfrm>
        <a:custGeom>
          <a:avLst/>
          <a:gdLst>
            <a:gd name="textAreaLeft" fmla="*/ 0 w 1369440"/>
            <a:gd name="textAreaRight" fmla="*/ 1371600 w 1369440"/>
            <a:gd name="textAreaTop" fmla="*/ 0 h 2121840"/>
            <a:gd name="textAreaBottom" fmla="*/ 2124000 h 2121840"/>
          </a:gdLst>
          <a:ahLst/>
          <a:cxnLst/>
          <a:rect l="textAreaLeft" t="textAreaTop" r="textAreaRight" b="textAreaBottom"/>
          <a:pathLst>
            <a:path w="149" h="235">
              <a:moveTo>
                <a:pt x="0" y="1"/>
              </a:moveTo>
              <a:cubicBezTo>
                <a:pt x="2" y="0"/>
                <a:pt x="5" y="0"/>
                <a:pt x="10" y="0"/>
              </a:cubicBezTo>
              <a:cubicBezTo>
                <a:pt x="15" y="0"/>
                <a:pt x="24" y="3"/>
                <a:pt x="30" y="4"/>
              </a:cubicBezTo>
              <a:cubicBezTo>
                <a:pt x="36" y="5"/>
                <a:pt x="42" y="6"/>
                <a:pt x="48" y="8"/>
              </a:cubicBezTo>
              <a:cubicBezTo>
                <a:pt x="54" y="10"/>
                <a:pt x="62" y="12"/>
                <a:pt x="68" y="15"/>
              </a:cubicBezTo>
              <a:cubicBezTo>
                <a:pt x="74" y="18"/>
                <a:pt x="80" y="21"/>
                <a:pt x="85" y="24"/>
              </a:cubicBezTo>
              <a:cubicBezTo>
                <a:pt x="90" y="27"/>
                <a:pt x="96" y="31"/>
                <a:pt x="101" y="36"/>
              </a:cubicBezTo>
              <a:cubicBezTo>
                <a:pt x="106" y="41"/>
                <a:pt x="112" y="44"/>
                <a:pt x="118" y="52"/>
              </a:cubicBezTo>
              <a:cubicBezTo>
                <a:pt x="124" y="60"/>
                <a:pt x="132" y="73"/>
                <a:pt x="136" y="82"/>
              </a:cubicBezTo>
              <a:cubicBezTo>
                <a:pt x="140" y="91"/>
                <a:pt x="142" y="98"/>
                <a:pt x="144" y="104"/>
              </a:cubicBezTo>
              <a:cubicBezTo>
                <a:pt x="146" y="110"/>
                <a:pt x="147" y="115"/>
                <a:pt x="148" y="119"/>
              </a:cubicBezTo>
              <a:cubicBezTo>
                <a:pt x="149" y="123"/>
                <a:pt x="149" y="126"/>
                <a:pt x="149" y="131"/>
              </a:cubicBezTo>
              <a:cubicBezTo>
                <a:pt x="149" y="136"/>
                <a:pt x="149" y="142"/>
                <a:pt x="149" y="147"/>
              </a:cubicBezTo>
              <a:cubicBezTo>
                <a:pt x="149" y="152"/>
                <a:pt x="148" y="156"/>
                <a:pt x="147" y="162"/>
              </a:cubicBezTo>
              <a:cubicBezTo>
                <a:pt x="146" y="168"/>
                <a:pt x="147" y="174"/>
                <a:pt x="144" y="182"/>
              </a:cubicBezTo>
              <a:cubicBezTo>
                <a:pt x="141" y="190"/>
                <a:pt x="134" y="205"/>
                <a:pt x="129" y="212"/>
              </a:cubicBezTo>
              <a:cubicBezTo>
                <a:pt x="124" y="219"/>
                <a:pt x="122" y="222"/>
                <a:pt x="116" y="226"/>
              </a:cubicBezTo>
              <a:cubicBezTo>
                <a:pt x="110" y="230"/>
                <a:pt x="98" y="233"/>
                <a:pt x="91" y="234"/>
              </a:cubicBezTo>
              <a:cubicBezTo>
                <a:pt x="84" y="235"/>
                <a:pt x="80" y="233"/>
                <a:pt x="76" y="232"/>
              </a:cubicBezTo>
              <a:cubicBezTo>
                <a:pt x="72" y="231"/>
                <a:pt x="72" y="231"/>
                <a:pt x="66" y="228"/>
              </a:cubicBezTo>
              <a:cubicBezTo>
                <a:pt x="60" y="225"/>
                <a:pt x="50" y="221"/>
                <a:pt x="40" y="213"/>
              </a:cubicBezTo>
              <a:cubicBezTo>
                <a:pt x="30" y="205"/>
                <a:pt x="19" y="192"/>
                <a:pt x="8" y="180"/>
              </a:cubicBezTo>
            </a:path>
          </a:pathLst>
        </a:custGeom>
        <a:noFill/>
        <a:ln w="9525">
          <a:solidFill>
            <a:srgbClr val="ff00ff"/>
          </a:solidFill>
          <a:round/>
        </a:ln>
      </xdr:spPr>
      <xdr:style>
        <a:lnRef idx="0"/>
        <a:fillRef idx="0"/>
        <a:effectRef idx="0"/>
        <a:fontRef idx="minor"/>
      </xdr:style>
    </xdr:sp>
    <xdr:clientData/>
  </xdr:twoCellAnchor>
  <xdr:twoCellAnchor editAs="oneCell">
    <xdr:from>
      <xdr:col>27</xdr:col>
      <xdr:colOff>16920</xdr:colOff>
      <xdr:row>1</xdr:row>
      <xdr:rowOff>123840</xdr:rowOff>
    </xdr:from>
    <xdr:to>
      <xdr:col>29</xdr:col>
      <xdr:colOff>153360</xdr:colOff>
      <xdr:row>15</xdr:row>
      <xdr:rowOff>102600</xdr:rowOff>
    </xdr:to>
    <xdr:sp>
      <xdr:nvSpPr>
        <xdr:cNvPr id="578" name="Shape 329"/>
        <xdr:cNvSpPr/>
      </xdr:nvSpPr>
      <xdr:spPr>
        <a:xfrm flipH="1">
          <a:off x="17934120" y="352440"/>
          <a:ext cx="1388520" cy="2121840"/>
        </a:xfrm>
        <a:custGeom>
          <a:avLst/>
          <a:gdLst>
            <a:gd name="textAreaLeft" fmla="*/ 1080 w 1388520"/>
            <a:gd name="textAreaRight" fmla="*/ 1391760 w 1388520"/>
            <a:gd name="textAreaTop" fmla="*/ 0 h 2121840"/>
            <a:gd name="textAreaBottom" fmla="*/ 2124000 h 2121840"/>
          </a:gdLst>
          <a:ahLst/>
          <a:cxnLst/>
          <a:rect l="textAreaLeft" t="textAreaTop" r="textAreaRight" b="textAreaBottom"/>
          <a:pathLst>
            <a:path w="149" h="235">
              <a:moveTo>
                <a:pt x="0" y="1"/>
              </a:moveTo>
              <a:cubicBezTo>
                <a:pt x="2" y="0"/>
                <a:pt x="5" y="0"/>
                <a:pt x="10" y="0"/>
              </a:cubicBezTo>
              <a:cubicBezTo>
                <a:pt x="15" y="0"/>
                <a:pt x="24" y="3"/>
                <a:pt x="30" y="4"/>
              </a:cubicBezTo>
              <a:cubicBezTo>
                <a:pt x="36" y="5"/>
                <a:pt x="42" y="6"/>
                <a:pt x="48" y="8"/>
              </a:cubicBezTo>
              <a:cubicBezTo>
                <a:pt x="54" y="10"/>
                <a:pt x="62" y="12"/>
                <a:pt x="68" y="15"/>
              </a:cubicBezTo>
              <a:cubicBezTo>
                <a:pt x="74" y="18"/>
                <a:pt x="80" y="21"/>
                <a:pt x="85" y="24"/>
              </a:cubicBezTo>
              <a:cubicBezTo>
                <a:pt x="90" y="27"/>
                <a:pt x="96" y="31"/>
                <a:pt x="101" y="36"/>
              </a:cubicBezTo>
              <a:cubicBezTo>
                <a:pt x="106" y="41"/>
                <a:pt x="112" y="44"/>
                <a:pt x="118" y="52"/>
              </a:cubicBezTo>
              <a:cubicBezTo>
                <a:pt x="124" y="60"/>
                <a:pt x="132" y="73"/>
                <a:pt x="136" y="82"/>
              </a:cubicBezTo>
              <a:cubicBezTo>
                <a:pt x="140" y="91"/>
                <a:pt x="142" y="98"/>
                <a:pt x="144" y="104"/>
              </a:cubicBezTo>
              <a:cubicBezTo>
                <a:pt x="146" y="110"/>
                <a:pt x="147" y="115"/>
                <a:pt x="148" y="119"/>
              </a:cubicBezTo>
              <a:cubicBezTo>
                <a:pt x="149" y="123"/>
                <a:pt x="149" y="126"/>
                <a:pt x="149" y="131"/>
              </a:cubicBezTo>
              <a:cubicBezTo>
                <a:pt x="149" y="136"/>
                <a:pt x="149" y="142"/>
                <a:pt x="149" y="147"/>
              </a:cubicBezTo>
              <a:cubicBezTo>
                <a:pt x="149" y="152"/>
                <a:pt x="148" y="156"/>
                <a:pt x="147" y="162"/>
              </a:cubicBezTo>
              <a:cubicBezTo>
                <a:pt x="146" y="168"/>
                <a:pt x="147" y="174"/>
                <a:pt x="144" y="182"/>
              </a:cubicBezTo>
              <a:cubicBezTo>
                <a:pt x="141" y="190"/>
                <a:pt x="134" y="205"/>
                <a:pt x="129" y="212"/>
              </a:cubicBezTo>
              <a:cubicBezTo>
                <a:pt x="124" y="219"/>
                <a:pt x="122" y="222"/>
                <a:pt x="116" y="226"/>
              </a:cubicBezTo>
              <a:cubicBezTo>
                <a:pt x="110" y="230"/>
                <a:pt x="98" y="233"/>
                <a:pt x="91" y="234"/>
              </a:cubicBezTo>
              <a:cubicBezTo>
                <a:pt x="84" y="235"/>
                <a:pt x="80" y="233"/>
                <a:pt x="76" y="232"/>
              </a:cubicBezTo>
              <a:cubicBezTo>
                <a:pt x="72" y="231"/>
                <a:pt x="72" y="231"/>
                <a:pt x="66" y="228"/>
              </a:cubicBezTo>
              <a:cubicBezTo>
                <a:pt x="60" y="225"/>
                <a:pt x="50" y="221"/>
                <a:pt x="40" y="213"/>
              </a:cubicBezTo>
              <a:cubicBezTo>
                <a:pt x="30" y="205"/>
                <a:pt x="19" y="192"/>
                <a:pt x="8" y="180"/>
              </a:cubicBezTo>
            </a:path>
          </a:pathLst>
        </a:custGeom>
        <a:noFill/>
        <a:ln w="9525">
          <a:solidFill>
            <a:srgbClr val="ff00ff"/>
          </a:solidFill>
          <a:round/>
        </a:ln>
      </xdr:spPr>
      <xdr:style>
        <a:lnRef idx="0"/>
        <a:fillRef idx="0"/>
        <a:effectRef idx="0"/>
        <a:fontRef idx="minor"/>
      </xdr:style>
    </xdr:sp>
    <xdr:clientData/>
  </xdr:twoCellAnchor>
  <xdr:twoCellAnchor editAs="oneCell">
    <xdr:from>
      <xdr:col>30</xdr:col>
      <xdr:colOff>123840</xdr:colOff>
      <xdr:row>1</xdr:row>
      <xdr:rowOff>85680</xdr:rowOff>
    </xdr:from>
    <xdr:to>
      <xdr:col>31</xdr:col>
      <xdr:colOff>371520</xdr:colOff>
      <xdr:row>2</xdr:row>
      <xdr:rowOff>111960</xdr:rowOff>
    </xdr:to>
    <xdr:sp>
      <xdr:nvSpPr>
        <xdr:cNvPr id="579" name="Shape 330"/>
        <xdr:cNvSpPr/>
      </xdr:nvSpPr>
      <xdr:spPr>
        <a:xfrm>
          <a:off x="19919160" y="314280"/>
          <a:ext cx="87408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ff"/>
              </a:solidFill>
              <a:effectLst/>
              <a:uFillTx/>
              <a:latin typeface="Arial"/>
              <a:ea typeface="Arial"/>
            </a:rPr>
            <a:t>Measured RHCP</a:t>
          </a:r>
          <a:endParaRPr b="0" lang="en-US" sz="1000" strike="noStrike" u="none">
            <a:effectLst/>
            <a:uFillTx/>
            <a:latin typeface="Times New Roman"/>
          </a:endParaRPr>
        </a:p>
      </xdr:txBody>
    </xdr:sp>
    <xdr:clientData/>
  </xdr:twoCellAnchor>
  <xdr:twoCellAnchor editAs="oneCell">
    <xdr:from>
      <xdr:col>29</xdr:col>
      <xdr:colOff>228600</xdr:colOff>
      <xdr:row>10</xdr:row>
      <xdr:rowOff>9360</xdr:rowOff>
    </xdr:from>
    <xdr:to>
      <xdr:col>29</xdr:col>
      <xdr:colOff>617040</xdr:colOff>
      <xdr:row>12</xdr:row>
      <xdr:rowOff>54720</xdr:rowOff>
    </xdr:to>
    <xdr:sp>
      <xdr:nvSpPr>
        <xdr:cNvPr id="580" name="Shape 331"/>
        <xdr:cNvSpPr/>
      </xdr:nvSpPr>
      <xdr:spPr>
        <a:xfrm>
          <a:off x="19397880" y="1618920"/>
          <a:ext cx="388440" cy="350280"/>
        </a:xfrm>
        <a:custGeom>
          <a:avLst/>
          <a:gdLst>
            <a:gd name="textAreaLeft" fmla="*/ 0 w 388440"/>
            <a:gd name="textAreaRight" fmla="*/ 390600 w 388440"/>
            <a:gd name="textAreaTop" fmla="*/ 0 h 350280"/>
            <a:gd name="textAreaBottom" fmla="*/ 352440 h 350280"/>
          </a:gdLst>
          <a:ahLst/>
          <a:cxnLst/>
          <a:rect l="textAreaLeft" t="textAreaTop" r="textAreaRight" b="textAreaBottom"/>
          <a:pathLst>
            <a:path w="41" h="38">
              <a:moveTo>
                <a:pt x="0" y="32"/>
              </a:moveTo>
              <a:cubicBezTo>
                <a:pt x="2" y="24"/>
                <a:pt x="5" y="17"/>
                <a:pt x="9" y="12"/>
              </a:cubicBezTo>
              <a:cubicBezTo>
                <a:pt x="13" y="7"/>
                <a:pt x="22" y="0"/>
                <a:pt x="27" y="0"/>
              </a:cubicBezTo>
              <a:cubicBezTo>
                <a:pt x="32" y="0"/>
                <a:pt x="37" y="7"/>
                <a:pt x="39" y="12"/>
              </a:cubicBezTo>
              <a:cubicBezTo>
                <a:pt x="41" y="17"/>
                <a:pt x="39" y="25"/>
                <a:pt x="37" y="29"/>
              </a:cubicBezTo>
              <a:cubicBezTo>
                <a:pt x="35" y="33"/>
                <a:pt x="32" y="33"/>
                <a:pt x="29" y="34"/>
              </a:cubicBezTo>
              <a:cubicBezTo>
                <a:pt x="26" y="35"/>
                <a:pt x="26" y="34"/>
                <a:pt x="21" y="35"/>
              </a:cubicBezTo>
              <a:cubicBezTo>
                <a:pt x="16" y="36"/>
                <a:pt x="5" y="37"/>
                <a:pt x="1" y="38"/>
              </a:cubicBezTo>
            </a:path>
          </a:pathLst>
        </a:custGeom>
        <a:noFill/>
        <a:ln w="9525">
          <a:solidFill>
            <a:srgbClr val="ffcc00"/>
          </a:solidFill>
          <a:round/>
        </a:ln>
      </xdr:spPr>
      <xdr:style>
        <a:lnRef idx="0"/>
        <a:fillRef idx="0"/>
        <a:effectRef idx="0"/>
        <a:fontRef idx="minor"/>
      </xdr:style>
    </xdr:sp>
    <xdr:clientData/>
  </xdr:twoCellAnchor>
  <xdr:twoCellAnchor editAs="oneCell">
    <xdr:from>
      <xdr:col>28</xdr:col>
      <xdr:colOff>416880</xdr:colOff>
      <xdr:row>10</xdr:row>
      <xdr:rowOff>9360</xdr:rowOff>
    </xdr:from>
    <xdr:to>
      <xdr:col>29</xdr:col>
      <xdr:colOff>179280</xdr:colOff>
      <xdr:row>12</xdr:row>
      <xdr:rowOff>54720</xdr:rowOff>
    </xdr:to>
    <xdr:sp>
      <xdr:nvSpPr>
        <xdr:cNvPr id="581" name="Shape 332"/>
        <xdr:cNvSpPr/>
      </xdr:nvSpPr>
      <xdr:spPr>
        <a:xfrm flipH="1">
          <a:off x="18960120" y="1618920"/>
          <a:ext cx="388440" cy="350280"/>
        </a:xfrm>
        <a:custGeom>
          <a:avLst/>
          <a:gdLst>
            <a:gd name="textAreaLeft" fmla="*/ 1080 w 388440"/>
            <a:gd name="textAreaRight" fmla="*/ 391680 w 388440"/>
            <a:gd name="textAreaTop" fmla="*/ 0 h 350280"/>
            <a:gd name="textAreaBottom" fmla="*/ 352440 h 350280"/>
          </a:gdLst>
          <a:ahLst/>
          <a:cxnLst/>
          <a:rect l="textAreaLeft" t="textAreaTop" r="textAreaRight" b="textAreaBottom"/>
          <a:pathLst>
            <a:path w="41" h="38">
              <a:moveTo>
                <a:pt x="0" y="32"/>
              </a:moveTo>
              <a:cubicBezTo>
                <a:pt x="2" y="24"/>
                <a:pt x="5" y="17"/>
                <a:pt x="9" y="12"/>
              </a:cubicBezTo>
              <a:cubicBezTo>
                <a:pt x="13" y="7"/>
                <a:pt x="22" y="0"/>
                <a:pt x="27" y="0"/>
              </a:cubicBezTo>
              <a:cubicBezTo>
                <a:pt x="32" y="0"/>
                <a:pt x="37" y="7"/>
                <a:pt x="39" y="12"/>
              </a:cubicBezTo>
              <a:cubicBezTo>
                <a:pt x="41" y="17"/>
                <a:pt x="39" y="25"/>
                <a:pt x="37" y="29"/>
              </a:cubicBezTo>
              <a:cubicBezTo>
                <a:pt x="35" y="33"/>
                <a:pt x="32" y="33"/>
                <a:pt x="29" y="34"/>
              </a:cubicBezTo>
              <a:cubicBezTo>
                <a:pt x="26" y="35"/>
                <a:pt x="26" y="34"/>
                <a:pt x="21" y="35"/>
              </a:cubicBezTo>
              <a:cubicBezTo>
                <a:pt x="16" y="36"/>
                <a:pt x="5" y="37"/>
                <a:pt x="1" y="38"/>
              </a:cubicBezTo>
            </a:path>
          </a:pathLst>
        </a:custGeom>
        <a:noFill/>
        <a:ln w="9525">
          <a:solidFill>
            <a:srgbClr val="ffcc00"/>
          </a:solidFill>
          <a:round/>
        </a:ln>
      </xdr:spPr>
      <xdr:style>
        <a:lnRef idx="0"/>
        <a:fillRef idx="0"/>
        <a:effectRef idx="0"/>
        <a:fontRef idx="minor"/>
      </xdr:style>
    </xdr:sp>
    <xdr:clientData/>
  </xdr:twoCellAnchor>
  <xdr:twoCellAnchor editAs="oneCell">
    <xdr:from>
      <xdr:col>29</xdr:col>
      <xdr:colOff>57240</xdr:colOff>
      <xdr:row>12</xdr:row>
      <xdr:rowOff>47520</xdr:rowOff>
    </xdr:from>
    <xdr:to>
      <xdr:col>29</xdr:col>
      <xdr:colOff>350280</xdr:colOff>
      <xdr:row>14</xdr:row>
      <xdr:rowOff>64440</xdr:rowOff>
    </xdr:to>
    <xdr:sp>
      <xdr:nvSpPr>
        <xdr:cNvPr id="582" name="Shape 333"/>
        <xdr:cNvSpPr/>
      </xdr:nvSpPr>
      <xdr:spPr>
        <a:xfrm>
          <a:off x="19226520" y="1962000"/>
          <a:ext cx="293040" cy="321840"/>
        </a:xfrm>
        <a:custGeom>
          <a:avLst/>
          <a:gdLst>
            <a:gd name="textAreaLeft" fmla="*/ 0 w 293040"/>
            <a:gd name="textAreaRight" fmla="*/ 295200 w 293040"/>
            <a:gd name="textAreaTop" fmla="*/ 0 h 321840"/>
            <a:gd name="textAreaBottom" fmla="*/ 324000 h 321840"/>
          </a:gdLst>
          <a:ahLst/>
          <a:cxnLst/>
          <a:rect l="textAreaLeft" t="textAreaTop" r="textAreaRight" b="textAreaBottom"/>
          <a:pathLst>
            <a:path w="32" h="36">
              <a:moveTo>
                <a:pt x="18" y="1"/>
              </a:moveTo>
              <a:cubicBezTo>
                <a:pt x="22" y="2"/>
                <a:pt x="30" y="7"/>
                <a:pt x="31" y="12"/>
              </a:cubicBezTo>
              <a:cubicBezTo>
                <a:pt x="32" y="17"/>
                <a:pt x="29" y="27"/>
                <a:pt x="27" y="31"/>
              </a:cubicBezTo>
              <a:cubicBezTo>
                <a:pt x="25" y="35"/>
                <a:pt x="21" y="35"/>
                <a:pt x="17" y="35"/>
              </a:cubicBezTo>
              <a:cubicBezTo>
                <a:pt x="13" y="35"/>
                <a:pt x="7" y="36"/>
                <a:pt x="4" y="33"/>
              </a:cubicBezTo>
              <a:cubicBezTo>
                <a:pt x="1" y="30"/>
                <a:pt x="0" y="22"/>
                <a:pt x="0" y="18"/>
              </a:cubicBezTo>
              <a:cubicBezTo>
                <a:pt x="0" y="14"/>
                <a:pt x="3" y="9"/>
                <a:pt x="6" y="6"/>
              </a:cubicBezTo>
              <a:cubicBezTo>
                <a:pt x="9" y="3"/>
                <a:pt x="14" y="0"/>
                <a:pt x="18" y="1"/>
              </a:cubicBezTo>
              <a:close/>
            </a:path>
          </a:pathLst>
        </a:custGeom>
        <a:noFill/>
        <a:ln w="9525">
          <a:solidFill>
            <a:srgbClr val="ffcc00"/>
          </a:solidFill>
          <a:round/>
        </a:ln>
      </xdr:spPr>
      <xdr:style>
        <a:lnRef idx="0"/>
        <a:fillRef idx="0"/>
        <a:effectRef idx="0"/>
        <a:fontRef idx="minor"/>
      </xdr:style>
    </xdr:sp>
    <xdr:clientData/>
  </xdr:twoCellAnchor>
  <xdr:twoCellAnchor editAs="oneCell">
    <xdr:from>
      <xdr:col>30</xdr:col>
      <xdr:colOff>66600</xdr:colOff>
      <xdr:row>18</xdr:row>
      <xdr:rowOff>0</xdr:rowOff>
    </xdr:from>
    <xdr:to>
      <xdr:col>31</xdr:col>
      <xdr:colOff>343080</xdr:colOff>
      <xdr:row>20</xdr:row>
      <xdr:rowOff>26280</xdr:rowOff>
    </xdr:to>
    <xdr:sp>
      <xdr:nvSpPr>
        <xdr:cNvPr id="583" name="Shape 334"/>
        <xdr:cNvSpPr/>
      </xdr:nvSpPr>
      <xdr:spPr>
        <a:xfrm>
          <a:off x="19861920" y="2828880"/>
          <a:ext cx="90288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9900"/>
              </a:solidFill>
              <a:effectLst/>
              <a:uFillTx/>
              <a:latin typeface="Arial"/>
              <a:ea typeface="Arial"/>
            </a:rPr>
            <a:t>Measured</a:t>
          </a:r>
          <a:r>
            <a:rPr b="0" lang="en-US" sz="1000" strike="noStrike" u="none">
              <a:solidFill>
                <a:srgbClr val="000000"/>
              </a:solidFill>
              <a:effectLst/>
              <a:uFillTx/>
              <a:latin typeface="Arial"/>
              <a:ea typeface="Arial"/>
            </a:rPr>
            <a:t> </a:t>
          </a:r>
          <a:r>
            <a:rPr b="0" lang="en-US" sz="1000" strike="noStrike" u="none">
              <a:solidFill>
                <a:srgbClr val="ff9900"/>
              </a:solidFill>
              <a:effectLst/>
              <a:uFillTx/>
              <a:latin typeface="Arial"/>
              <a:ea typeface="Arial"/>
            </a:rPr>
            <a:t>LHCP</a:t>
          </a:r>
          <a:endParaRPr b="0" lang="en-US" sz="1000" strike="noStrike" u="none">
            <a:effectLst/>
            <a:uFillTx/>
            <a:latin typeface="Times New Roman"/>
          </a:endParaRPr>
        </a:p>
        <a:p>
          <a:pPr>
            <a:lnSpc>
              <a:spcPct val="100000"/>
            </a:lnSpc>
            <a:tabLst>
              <a:tab algn="l" pos="0"/>
            </a:tabLst>
          </a:pPr>
          <a:r>
            <a:rPr b="0" lang="en-US" sz="1000" strike="noStrike" u="none">
              <a:solidFill>
                <a:srgbClr val="ff9900"/>
              </a:solidFill>
              <a:effectLst/>
              <a:uFillTx/>
              <a:latin typeface="Arial"/>
              <a:ea typeface="Arial"/>
            </a:rPr>
            <a:t>(Cross</a:t>
          </a:r>
          <a:r>
            <a:rPr b="0" lang="en-US" sz="1000" strike="noStrike" u="none">
              <a:solidFill>
                <a:srgbClr val="000000"/>
              </a:solidFill>
              <a:effectLst/>
              <a:uFillTx/>
              <a:latin typeface="Arial"/>
              <a:ea typeface="Arial"/>
            </a:rPr>
            <a:t> </a:t>
          </a:r>
          <a:r>
            <a:rPr b="0" lang="en-US" sz="1000" strike="noStrike" u="none">
              <a:solidFill>
                <a:srgbClr val="ff9900"/>
              </a:solidFill>
              <a:effectLst/>
              <a:uFillTx/>
              <a:latin typeface="Arial"/>
              <a:ea typeface="Arial"/>
            </a:rPr>
            <a:t>Polarized)</a:t>
          </a:r>
          <a:endParaRPr b="0" lang="en-US" sz="1000" strike="noStrike" u="none">
            <a:effectLst/>
            <a:uFillTx/>
            <a:latin typeface="Times New Roman"/>
          </a:endParaRPr>
        </a:p>
      </xdr:txBody>
    </xdr:sp>
    <xdr:clientData/>
  </xdr:twoCellAnchor>
  <xdr:twoCellAnchor editAs="oneCell">
    <xdr:from>
      <xdr:col>29</xdr:col>
      <xdr:colOff>266400</xdr:colOff>
      <xdr:row>14</xdr:row>
      <xdr:rowOff>66600</xdr:rowOff>
    </xdr:from>
    <xdr:to>
      <xdr:col>30</xdr:col>
      <xdr:colOff>70920</xdr:colOff>
      <xdr:row>18</xdr:row>
      <xdr:rowOff>20880</xdr:rowOff>
    </xdr:to>
    <xdr:grpSp>
      <xdr:nvGrpSpPr>
        <xdr:cNvPr id="584" name="Shape 2"/>
        <xdr:cNvGrpSpPr/>
      </xdr:nvGrpSpPr>
      <xdr:grpSpPr>
        <a:xfrm>
          <a:off x="19435680" y="2286000"/>
          <a:ext cx="430560" cy="563760"/>
          <a:chOff x="19435680" y="2286000"/>
          <a:chExt cx="430560" cy="563760"/>
        </a:xfrm>
      </xdr:grpSpPr>
      <xdr:cxnSp>
        <xdr:nvCxnSpPr>
          <xdr:cNvPr id="585" name="Shape 335"/>
          <xdr:cNvCxnSpPr/>
        </xdr:nvCxnSpPr>
        <xdr:spPr>
          <a:xfrm flipH="1" flipV="1">
            <a:off x="19435680" y="2286000"/>
            <a:ext cx="430920" cy="564120"/>
          </a:xfrm>
          <a:prstGeom prst="straightConnector1">
            <a:avLst/>
          </a:prstGeom>
          <a:ln w="9525">
            <a:solidFill>
              <a:srgbClr val="ff9900"/>
            </a:solidFill>
            <a:miter/>
            <a:tailEnd len="med" type="triangle" w="med"/>
          </a:ln>
        </xdr:spPr>
      </xdr:cxnSp>
    </xdr:grpSp>
    <xdr:clientData/>
  </xdr:twoCellAnchor>
  <xdr:twoCellAnchor editAs="oneCell">
    <xdr:from>
      <xdr:col>44</xdr:col>
      <xdr:colOff>209520</xdr:colOff>
      <xdr:row>6</xdr:row>
      <xdr:rowOff>123480</xdr:rowOff>
    </xdr:from>
    <xdr:to>
      <xdr:col>44</xdr:col>
      <xdr:colOff>211320</xdr:colOff>
      <xdr:row>9</xdr:row>
      <xdr:rowOff>68400</xdr:rowOff>
    </xdr:to>
    <xdr:grpSp>
      <xdr:nvGrpSpPr>
        <xdr:cNvPr id="586" name="Shape 2"/>
        <xdr:cNvGrpSpPr/>
      </xdr:nvGrpSpPr>
      <xdr:grpSpPr>
        <a:xfrm>
          <a:off x="28770480" y="1123560"/>
          <a:ext cx="1800" cy="402120"/>
          <a:chOff x="28770480" y="1123560"/>
          <a:chExt cx="1800" cy="402120"/>
        </a:xfrm>
      </xdr:grpSpPr>
      <xdr:cxnSp>
        <xdr:nvCxnSpPr>
          <xdr:cNvPr id="587" name="Shape 336"/>
          <xdr:cNvCxnSpPr/>
        </xdr:nvCxnSpPr>
        <xdr:spPr>
          <a:xfrm flipV="1">
            <a:off x="28770480" y="1123560"/>
            <a:ext cx="2160" cy="402480"/>
          </a:xfrm>
          <a:prstGeom prst="straightConnector1">
            <a:avLst/>
          </a:prstGeom>
          <a:ln w="9525">
            <a:solidFill>
              <a:srgbClr val="000000"/>
            </a:solidFill>
            <a:miter/>
            <a:tailEnd len="med" type="triangle" w="med"/>
          </a:ln>
        </xdr:spPr>
      </xdr:cxnSp>
    </xdr:grpSp>
    <xdr:clientData/>
  </xdr:twoCellAnchor>
  <xdr:twoCellAnchor editAs="oneCell">
    <xdr:from>
      <xdr:col>44</xdr:col>
      <xdr:colOff>247320</xdr:colOff>
      <xdr:row>32</xdr:row>
      <xdr:rowOff>37800</xdr:rowOff>
    </xdr:from>
    <xdr:to>
      <xdr:col>44</xdr:col>
      <xdr:colOff>249120</xdr:colOff>
      <xdr:row>34</xdr:row>
      <xdr:rowOff>48960</xdr:rowOff>
    </xdr:to>
    <xdr:grpSp>
      <xdr:nvGrpSpPr>
        <xdr:cNvPr id="588" name="Shape 2"/>
        <xdr:cNvGrpSpPr/>
      </xdr:nvGrpSpPr>
      <xdr:grpSpPr>
        <a:xfrm>
          <a:off x="28808280" y="5209920"/>
          <a:ext cx="1800" cy="316080"/>
          <a:chOff x="28808280" y="5209920"/>
          <a:chExt cx="1800" cy="316080"/>
        </a:xfrm>
      </xdr:grpSpPr>
      <xdr:cxnSp>
        <xdr:nvCxnSpPr>
          <xdr:cNvPr id="589" name="Shape 337"/>
          <xdr:cNvCxnSpPr/>
        </xdr:nvCxnSpPr>
        <xdr:spPr>
          <a:xfrm>
            <a:off x="28808280" y="5209920"/>
            <a:ext cx="2160" cy="316440"/>
          </a:xfrm>
          <a:prstGeom prst="straightConnector1">
            <a:avLst/>
          </a:prstGeom>
          <a:ln w="9525">
            <a:solidFill>
              <a:srgbClr val="000000"/>
            </a:solidFill>
            <a:miter/>
            <a:tailEnd len="med" type="triangle" w="med"/>
          </a:ln>
        </xdr:spPr>
      </xdr:cxnSp>
    </xdr:grpSp>
    <xdr:clientData/>
  </xdr:twoCellAnchor>
  <xdr:twoCellAnchor editAs="oneCell">
    <xdr:from>
      <xdr:col>43</xdr:col>
      <xdr:colOff>457200</xdr:colOff>
      <xdr:row>5</xdr:row>
      <xdr:rowOff>66600</xdr:rowOff>
    </xdr:from>
    <xdr:to>
      <xdr:col>44</xdr:col>
      <xdr:colOff>524160</xdr:colOff>
      <xdr:row>6</xdr:row>
      <xdr:rowOff>93240</xdr:rowOff>
    </xdr:to>
    <xdr:sp>
      <xdr:nvSpPr>
        <xdr:cNvPr id="590" name="Shape 338"/>
        <xdr:cNvSpPr/>
      </xdr:nvSpPr>
      <xdr:spPr>
        <a:xfrm>
          <a:off x="28392120" y="914400"/>
          <a:ext cx="6930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-Z</a:t>
          </a:r>
          <a:endParaRPr b="0" lang="en-US" sz="1000" strike="noStrike" u="none">
            <a:effectLst/>
            <a:uFillTx/>
            <a:latin typeface="Times New Roman"/>
          </a:endParaRPr>
        </a:p>
      </xdr:txBody>
    </xdr:sp>
    <xdr:clientData/>
  </xdr:twoCellAnchor>
  <xdr:twoCellAnchor editAs="oneCell">
    <xdr:from>
      <xdr:col>43</xdr:col>
      <xdr:colOff>476280</xdr:colOff>
      <xdr:row>34</xdr:row>
      <xdr:rowOff>85680</xdr:rowOff>
    </xdr:from>
    <xdr:to>
      <xdr:col>44</xdr:col>
      <xdr:colOff>648360</xdr:colOff>
      <xdr:row>35</xdr:row>
      <xdr:rowOff>102960</xdr:rowOff>
    </xdr:to>
    <xdr:sp>
      <xdr:nvSpPr>
        <xdr:cNvPr id="591" name="Shape 339"/>
        <xdr:cNvSpPr/>
      </xdr:nvSpPr>
      <xdr:spPr>
        <a:xfrm>
          <a:off x="28411200" y="5562720"/>
          <a:ext cx="7981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+Z</a:t>
          </a:r>
          <a:endParaRPr b="0" lang="en-US" sz="1000" strike="noStrike" u="none">
            <a:effectLst/>
            <a:uFillTx/>
            <a:latin typeface="Times New Roman"/>
          </a:endParaRPr>
        </a:p>
      </xdr:txBody>
    </xdr:sp>
    <xdr:clientData/>
  </xdr:twoCellAnchor>
  <xdr:twoCellAnchor editAs="oneCell">
    <xdr:from>
      <xdr:col>47</xdr:col>
      <xdr:colOff>218880</xdr:colOff>
      <xdr:row>20</xdr:row>
      <xdr:rowOff>95040</xdr:rowOff>
    </xdr:from>
    <xdr:to>
      <xdr:col>47</xdr:col>
      <xdr:colOff>887400</xdr:colOff>
      <xdr:row>20</xdr:row>
      <xdr:rowOff>96840</xdr:rowOff>
    </xdr:to>
    <xdr:grpSp>
      <xdr:nvGrpSpPr>
        <xdr:cNvPr id="592" name="Shape 2"/>
        <xdr:cNvGrpSpPr/>
      </xdr:nvGrpSpPr>
      <xdr:grpSpPr>
        <a:xfrm>
          <a:off x="31820400" y="3228840"/>
          <a:ext cx="668520" cy="1800"/>
          <a:chOff x="31820400" y="3228840"/>
          <a:chExt cx="668520" cy="1800"/>
        </a:xfrm>
      </xdr:grpSpPr>
      <xdr:cxnSp>
        <xdr:nvCxnSpPr>
          <xdr:cNvPr id="593" name="Shape 340"/>
          <xdr:cNvCxnSpPr/>
        </xdr:nvCxnSpPr>
        <xdr:spPr>
          <a:xfrm>
            <a:off x="31820400" y="3228840"/>
            <a:ext cx="668880" cy="2160"/>
          </a:xfrm>
          <a:prstGeom prst="straightConnector1">
            <a:avLst/>
          </a:prstGeom>
          <a:ln w="9525">
            <a:solidFill>
              <a:srgbClr val="000000"/>
            </a:solidFill>
            <a:miter/>
            <a:tailEnd len="med" type="triangle" w="med"/>
          </a:ln>
        </xdr:spPr>
      </xdr:cxnSp>
    </xdr:grpSp>
    <xdr:clientData/>
  </xdr:twoCellAnchor>
  <xdr:twoCellAnchor editAs="oneCell">
    <xdr:from>
      <xdr:col>48</xdr:col>
      <xdr:colOff>257040</xdr:colOff>
      <xdr:row>20</xdr:row>
      <xdr:rowOff>9360</xdr:rowOff>
    </xdr:from>
    <xdr:to>
      <xdr:col>49</xdr:col>
      <xdr:colOff>51120</xdr:colOff>
      <xdr:row>21</xdr:row>
      <xdr:rowOff>36000</xdr:rowOff>
    </xdr:to>
    <xdr:sp>
      <xdr:nvSpPr>
        <xdr:cNvPr id="594" name="Shape 341"/>
        <xdr:cNvSpPr/>
      </xdr:nvSpPr>
      <xdr:spPr>
        <a:xfrm>
          <a:off x="32871960" y="3143160"/>
          <a:ext cx="8074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+X</a:t>
          </a:r>
          <a:endParaRPr b="0" lang="en-US" sz="1000" strike="noStrike" u="none">
            <a:effectLst/>
            <a:uFillTx/>
            <a:latin typeface="Times New Roman"/>
          </a:endParaRPr>
        </a:p>
      </xdr:txBody>
    </xdr:sp>
    <xdr:clientData/>
  </xdr:twoCellAnchor>
  <xdr:twoCellAnchor editAs="oneCell">
    <xdr:from>
      <xdr:col>40</xdr:col>
      <xdr:colOff>209520</xdr:colOff>
      <xdr:row>20</xdr:row>
      <xdr:rowOff>114120</xdr:rowOff>
    </xdr:from>
    <xdr:to>
      <xdr:col>41</xdr:col>
      <xdr:colOff>156240</xdr:colOff>
      <xdr:row>20</xdr:row>
      <xdr:rowOff>115920</xdr:rowOff>
    </xdr:to>
    <xdr:grpSp>
      <xdr:nvGrpSpPr>
        <xdr:cNvPr id="595" name="Shape 2"/>
        <xdr:cNvGrpSpPr/>
      </xdr:nvGrpSpPr>
      <xdr:grpSpPr>
        <a:xfrm>
          <a:off x="26265960" y="3247920"/>
          <a:ext cx="573120" cy="1800"/>
          <a:chOff x="26265960" y="3247920"/>
          <a:chExt cx="573120" cy="1800"/>
        </a:xfrm>
      </xdr:grpSpPr>
      <xdr:cxnSp>
        <xdr:nvCxnSpPr>
          <xdr:cNvPr id="596" name="Shape 342"/>
          <xdr:cNvCxnSpPr/>
        </xdr:nvCxnSpPr>
        <xdr:spPr>
          <a:xfrm flipH="1">
            <a:off x="26265960" y="3247920"/>
            <a:ext cx="573480" cy="2160"/>
          </a:xfrm>
          <a:prstGeom prst="straightConnector1">
            <a:avLst/>
          </a:prstGeom>
          <a:ln w="9525">
            <a:solidFill>
              <a:srgbClr val="000000"/>
            </a:solidFill>
            <a:miter/>
            <a:tailEnd len="med" type="triangle" w="med"/>
          </a:ln>
        </xdr:spPr>
      </xdr:cxnSp>
    </xdr:grpSp>
    <xdr:clientData/>
  </xdr:twoCellAnchor>
  <xdr:twoCellAnchor editAs="oneCell">
    <xdr:from>
      <xdr:col>38</xdr:col>
      <xdr:colOff>561960</xdr:colOff>
      <xdr:row>20</xdr:row>
      <xdr:rowOff>66600</xdr:rowOff>
    </xdr:from>
    <xdr:to>
      <xdr:col>40</xdr:col>
      <xdr:colOff>21960</xdr:colOff>
      <xdr:row>21</xdr:row>
      <xdr:rowOff>93240</xdr:rowOff>
    </xdr:to>
    <xdr:sp>
      <xdr:nvSpPr>
        <xdr:cNvPr id="597" name="Shape 343"/>
        <xdr:cNvSpPr/>
      </xdr:nvSpPr>
      <xdr:spPr>
        <a:xfrm>
          <a:off x="25366320" y="3200400"/>
          <a:ext cx="7120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Spacecraft -X</a:t>
          </a:r>
          <a:endParaRPr b="0" lang="en-US" sz="1000" strike="noStrike" u="none">
            <a:effectLst/>
            <a:uFillTx/>
            <a:latin typeface="Times New Roman"/>
          </a:endParaRPr>
        </a:p>
      </xdr:txBody>
    </xdr:sp>
    <xdr:clientData/>
  </xdr:twoCellAnchor>
  <xdr:twoCellAnchor editAs="oneCell">
    <xdr:from>
      <xdr:col>36</xdr:col>
      <xdr:colOff>352440</xdr:colOff>
      <xdr:row>1</xdr:row>
      <xdr:rowOff>85680</xdr:rowOff>
    </xdr:from>
    <xdr:to>
      <xdr:col>37</xdr:col>
      <xdr:colOff>610200</xdr:colOff>
      <xdr:row>2</xdr:row>
      <xdr:rowOff>111960</xdr:rowOff>
    </xdr:to>
    <xdr:sp>
      <xdr:nvSpPr>
        <xdr:cNvPr id="598" name="Shape 344"/>
        <xdr:cNvSpPr/>
      </xdr:nvSpPr>
      <xdr:spPr>
        <a:xfrm>
          <a:off x="23904720" y="314280"/>
          <a:ext cx="88380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ff00ff"/>
              </a:solidFill>
              <a:effectLst/>
              <a:uFillTx/>
              <a:latin typeface="Arial"/>
              <a:ea typeface="Arial"/>
            </a:rPr>
            <a:t>Measured</a:t>
          </a:r>
          <a:r>
            <a:rPr b="0" lang="en-US" sz="1000" strike="noStrike" u="none">
              <a:solidFill>
                <a:srgbClr val="000000"/>
              </a:solidFill>
              <a:effectLst/>
              <a:uFillTx/>
              <a:latin typeface="Arial"/>
              <a:ea typeface="Arial"/>
            </a:rPr>
            <a:t> </a:t>
          </a:r>
          <a:r>
            <a:rPr b="0" lang="en-US" sz="1000" strike="noStrike" u="none">
              <a:solidFill>
                <a:srgbClr val="ff00ff"/>
              </a:solidFill>
              <a:effectLst/>
              <a:uFillTx/>
              <a:latin typeface="Arial"/>
              <a:ea typeface="Arial"/>
            </a:rPr>
            <a:t>RHCP</a:t>
          </a:r>
          <a:endParaRPr b="0" lang="en-US" sz="1000" strike="noStrike" u="none">
            <a:effectLst/>
            <a:uFillTx/>
            <a:latin typeface="Times New Roman"/>
          </a:endParaRPr>
        </a:p>
      </xdr:txBody>
    </xdr:sp>
    <xdr:clientData/>
  </xdr:twoCellAnchor>
  <xdr:twoCellAnchor editAs="oneCell">
    <xdr:from>
      <xdr:col>20</xdr:col>
      <xdr:colOff>561960</xdr:colOff>
      <xdr:row>57</xdr:row>
      <xdr:rowOff>190440</xdr:rowOff>
    </xdr:from>
    <xdr:to>
      <xdr:col>21</xdr:col>
      <xdr:colOff>290160</xdr:colOff>
      <xdr:row>58</xdr:row>
      <xdr:rowOff>182520</xdr:rowOff>
    </xdr:to>
    <xdr:grpSp>
      <xdr:nvGrpSpPr>
        <xdr:cNvPr id="599" name="Shape 2"/>
        <xdr:cNvGrpSpPr/>
      </xdr:nvGrpSpPr>
      <xdr:grpSpPr>
        <a:xfrm>
          <a:off x="14096520" y="11125080"/>
          <a:ext cx="354240" cy="306360"/>
          <a:chOff x="14096520" y="11125080"/>
          <a:chExt cx="354240" cy="306360"/>
        </a:xfrm>
      </xdr:grpSpPr>
      <xdr:cxnSp>
        <xdr:nvCxnSpPr>
          <xdr:cNvPr id="600" name="Shape 345"/>
          <xdr:cNvCxnSpPr/>
        </xdr:nvCxnSpPr>
        <xdr:spPr>
          <a:xfrm flipH="1">
            <a:off x="14096520" y="11125080"/>
            <a:ext cx="354600" cy="306720"/>
          </a:xfrm>
          <a:prstGeom prst="straightConnector1">
            <a:avLst/>
          </a:prstGeom>
          <a:ln w="9525">
            <a:solidFill>
              <a:srgbClr val="000000"/>
            </a:solidFill>
            <a:miter/>
            <a:tailEnd len="med" type="triangle" w="med"/>
          </a:ln>
        </xdr:spPr>
      </xdr:cxnSp>
    </xdr:grpSp>
    <xdr:clientData/>
  </xdr:twoCellAnchor>
  <xdr:twoCellAnchor editAs="oneCell">
    <xdr:from>
      <xdr:col>21</xdr:col>
      <xdr:colOff>333360</xdr:colOff>
      <xdr:row>57</xdr:row>
      <xdr:rowOff>85680</xdr:rowOff>
    </xdr:from>
    <xdr:to>
      <xdr:col>23</xdr:col>
      <xdr:colOff>374400</xdr:colOff>
      <xdr:row>58</xdr:row>
      <xdr:rowOff>112320</xdr:rowOff>
    </xdr:to>
    <xdr:sp>
      <xdr:nvSpPr>
        <xdr:cNvPr id="601" name="Shape 346"/>
        <xdr:cNvSpPr/>
      </xdr:nvSpPr>
      <xdr:spPr>
        <a:xfrm>
          <a:off x="14493960" y="11020320"/>
          <a:ext cx="1293120" cy="340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Intermediate Calculation -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Please Ignore This Value.</a:t>
          </a:r>
          <a:endParaRPr b="0" lang="en-US" sz="1000" strike="noStrike" u="none">
            <a:effectLst/>
            <a:uFillTx/>
            <a:latin typeface="Times New Roman"/>
          </a:endParaRPr>
        </a:p>
      </xdr:txBody>
    </xdr:sp>
    <xdr:clientData/>
  </xdr:twoCellAnchor>
  <xdr:twoCellAnchor editAs="oneCell">
    <xdr:from>
      <xdr:col>19</xdr:col>
      <xdr:colOff>9000</xdr:colOff>
      <xdr:row>81</xdr:row>
      <xdr:rowOff>142560</xdr:rowOff>
    </xdr:from>
    <xdr:to>
      <xdr:col>19</xdr:col>
      <xdr:colOff>592200</xdr:colOff>
      <xdr:row>81</xdr:row>
      <xdr:rowOff>144360</xdr:rowOff>
    </xdr:to>
    <xdr:grpSp>
      <xdr:nvGrpSpPr>
        <xdr:cNvPr id="602" name="Shape 2"/>
        <xdr:cNvGrpSpPr/>
      </xdr:nvGrpSpPr>
      <xdr:grpSpPr>
        <a:xfrm>
          <a:off x="12917160" y="16315920"/>
          <a:ext cx="583200" cy="1800"/>
          <a:chOff x="12917160" y="16315920"/>
          <a:chExt cx="583200" cy="1800"/>
        </a:xfrm>
      </xdr:grpSpPr>
      <xdr:cxnSp>
        <xdr:nvCxnSpPr>
          <xdr:cNvPr id="603" name="Shape 229"/>
          <xdr:cNvCxnSpPr/>
        </xdr:nvCxnSpPr>
        <xdr:spPr>
          <a:xfrm flipH="1">
            <a:off x="12917160" y="16315920"/>
            <a:ext cx="583560" cy="2160"/>
          </a:xfrm>
          <a:prstGeom prst="straightConnector1">
            <a:avLst/>
          </a:prstGeom>
          <a:ln w="9525">
            <a:solidFill>
              <a:srgbClr val="000000"/>
            </a:solidFill>
            <a:miter/>
            <a:tailEnd len="med" type="triangle" w="med"/>
          </a:ln>
        </xdr:spPr>
      </xdr:cxnSp>
    </xdr:grpSp>
    <xdr:clientData/>
  </xdr:twoCellAnchor>
  <xdr:twoCellAnchor editAs="oneCell">
    <xdr:from>
      <xdr:col>20</xdr:col>
      <xdr:colOff>561960</xdr:colOff>
      <xdr:row>79</xdr:row>
      <xdr:rowOff>190440</xdr:rowOff>
    </xdr:from>
    <xdr:to>
      <xdr:col>21</xdr:col>
      <xdr:colOff>290160</xdr:colOff>
      <xdr:row>80</xdr:row>
      <xdr:rowOff>182520</xdr:rowOff>
    </xdr:to>
    <xdr:grpSp>
      <xdr:nvGrpSpPr>
        <xdr:cNvPr id="604" name="Shape 2"/>
        <xdr:cNvGrpSpPr/>
      </xdr:nvGrpSpPr>
      <xdr:grpSpPr>
        <a:xfrm>
          <a:off x="14096520" y="15735240"/>
          <a:ext cx="354240" cy="306360"/>
          <a:chOff x="14096520" y="15735240"/>
          <a:chExt cx="354240" cy="306360"/>
        </a:xfrm>
      </xdr:grpSpPr>
      <xdr:cxnSp>
        <xdr:nvCxnSpPr>
          <xdr:cNvPr id="605" name="Shape 345"/>
          <xdr:cNvCxnSpPr/>
        </xdr:nvCxnSpPr>
        <xdr:spPr>
          <a:xfrm flipH="1">
            <a:off x="14096520" y="15735240"/>
            <a:ext cx="354600" cy="306720"/>
          </a:xfrm>
          <a:prstGeom prst="straightConnector1">
            <a:avLst/>
          </a:prstGeom>
          <a:ln w="9525">
            <a:solidFill>
              <a:srgbClr val="000000"/>
            </a:solidFill>
            <a:miter/>
            <a:tailEnd len="med" type="triangle" w="med"/>
          </a:ln>
        </xdr:spPr>
      </xdr:cxnSp>
    </xdr:grpSp>
    <xdr:clientData/>
  </xdr:twoCellAnchor>
  <xdr:twoCellAnchor editAs="oneCell">
    <xdr:from>
      <xdr:col>21</xdr:col>
      <xdr:colOff>333360</xdr:colOff>
      <xdr:row>79</xdr:row>
      <xdr:rowOff>85680</xdr:rowOff>
    </xdr:from>
    <xdr:to>
      <xdr:col>23</xdr:col>
      <xdr:colOff>374400</xdr:colOff>
      <xdr:row>80</xdr:row>
      <xdr:rowOff>112320</xdr:rowOff>
    </xdr:to>
    <xdr:sp>
      <xdr:nvSpPr>
        <xdr:cNvPr id="606" name="Shape 347"/>
        <xdr:cNvSpPr/>
      </xdr:nvSpPr>
      <xdr:spPr>
        <a:xfrm>
          <a:off x="14493960" y="15630480"/>
          <a:ext cx="1293120" cy="340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Intermediate Calculation -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Please Ignore This Value.</a:t>
          </a:r>
          <a:endParaRPr b="0" lang="en-US" sz="1000" strike="noStrike" u="none">
            <a:effectLst/>
            <a:uFillTx/>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57240</xdr:colOff>
      <xdr:row>7</xdr:row>
      <xdr:rowOff>19080</xdr:rowOff>
    </xdr:from>
    <xdr:to>
      <xdr:col>11</xdr:col>
      <xdr:colOff>514800</xdr:colOff>
      <xdr:row>14</xdr:row>
      <xdr:rowOff>102600</xdr:rowOff>
    </xdr:to>
    <xdr:sp>
      <xdr:nvSpPr>
        <xdr:cNvPr id="607" name="Shape 348"/>
        <xdr:cNvSpPr/>
      </xdr:nvSpPr>
      <xdr:spPr>
        <a:xfrm>
          <a:off x="6414840" y="1162080"/>
          <a:ext cx="1083600" cy="1169280"/>
        </a:xfrm>
        <a:prstGeom prst="ellipse">
          <a:avLst/>
        </a:prstGeom>
        <a:solidFill>
          <a:srgbClr val="ffffff"/>
        </a:solidFill>
        <a:ln w="28575">
          <a:solidFill>
            <a:srgbClr val="ff0000"/>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Axial Ratio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1.0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0.0 dB</a:t>
          </a:r>
          <a:endParaRPr b="0" lang="en-US" sz="1000" strike="noStrike" u="none">
            <a:effectLst/>
            <a:uFillTx/>
            <a:latin typeface="Times New Roman"/>
          </a:endParaRPr>
        </a:p>
      </xdr:txBody>
    </xdr:sp>
    <xdr:clientData/>
  </xdr:twoCellAnchor>
  <xdr:twoCellAnchor editAs="oneCell">
    <xdr:from>
      <xdr:col>12</xdr:col>
      <xdr:colOff>617040</xdr:colOff>
      <xdr:row>8</xdr:row>
      <xdr:rowOff>152640</xdr:rowOff>
    </xdr:from>
    <xdr:to>
      <xdr:col>14</xdr:col>
      <xdr:colOff>743400</xdr:colOff>
      <xdr:row>13</xdr:row>
      <xdr:rowOff>16920</xdr:rowOff>
    </xdr:to>
    <xdr:sp>
      <xdr:nvSpPr>
        <xdr:cNvPr id="608" name="Shape 349"/>
        <xdr:cNvSpPr/>
      </xdr:nvSpPr>
      <xdr:spPr>
        <a:xfrm>
          <a:off x="8226720" y="1447920"/>
          <a:ext cx="1378800" cy="645480"/>
        </a:xfrm>
        <a:prstGeom prst="ellipse">
          <a:avLst/>
        </a:prstGeom>
        <a:solidFill>
          <a:srgbClr val="ffffff"/>
        </a:solidFill>
        <a:ln w="28575">
          <a:solidFill>
            <a:srgbClr val="ff0000"/>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t>
          </a:r>
          <a:r>
            <a:rPr b="0" lang="en-US" sz="900" strike="noStrike" u="none">
              <a:solidFill>
                <a:srgbClr val="000000"/>
              </a:solidFill>
              <a:effectLst/>
              <a:uFillTx/>
              <a:latin typeface="Arial"/>
              <a:ea typeface="Arial"/>
            </a:rPr>
            <a:t>Axial Ratio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2.0 =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3.0 dB</a:t>
          </a:r>
          <a:endParaRPr b="0" lang="en-US" sz="900" strike="noStrike" u="none">
            <a:effectLst/>
            <a:uFillTx/>
            <a:latin typeface="Times New Roman"/>
          </a:endParaRPr>
        </a:p>
      </xdr:txBody>
    </xdr:sp>
    <xdr:clientData/>
  </xdr:twoCellAnchor>
  <xdr:twoCellAnchor editAs="oneCell">
    <xdr:from>
      <xdr:col>16</xdr:col>
      <xdr:colOff>0</xdr:colOff>
      <xdr:row>10</xdr:row>
      <xdr:rowOff>133200</xdr:rowOff>
    </xdr:from>
    <xdr:to>
      <xdr:col>17</xdr:col>
      <xdr:colOff>556560</xdr:colOff>
      <xdr:row>10</xdr:row>
      <xdr:rowOff>135000</xdr:rowOff>
    </xdr:to>
    <xdr:grpSp>
      <xdr:nvGrpSpPr>
        <xdr:cNvPr id="609" name="Shape 2"/>
        <xdr:cNvGrpSpPr/>
      </xdr:nvGrpSpPr>
      <xdr:grpSpPr>
        <a:xfrm>
          <a:off x="10281240" y="1752480"/>
          <a:ext cx="1182600" cy="1800"/>
          <a:chOff x="10281240" y="1752480"/>
          <a:chExt cx="1182600" cy="1800"/>
        </a:xfrm>
      </xdr:grpSpPr>
      <xdr:cxnSp>
        <xdr:nvCxnSpPr>
          <xdr:cNvPr id="610" name="Shape 350"/>
          <xdr:cNvCxnSpPr/>
        </xdr:nvCxnSpPr>
        <xdr:spPr>
          <a:xfrm>
            <a:off x="10281240" y="1752480"/>
            <a:ext cx="1182960" cy="2160"/>
          </a:xfrm>
          <a:prstGeom prst="straightConnector1">
            <a:avLst/>
          </a:prstGeom>
          <a:ln w="28575">
            <a:solidFill>
              <a:srgbClr val="ff0000"/>
            </a:solidFill>
            <a:miter/>
          </a:ln>
        </xdr:spPr>
      </xdr:cxnSp>
    </xdr:grpSp>
    <xdr:clientData/>
  </xdr:twoCellAnchor>
  <xdr:twoCellAnchor editAs="oneCell">
    <xdr:from>
      <xdr:col>10</xdr:col>
      <xdr:colOff>28440</xdr:colOff>
      <xdr:row>17</xdr:row>
      <xdr:rowOff>19080</xdr:rowOff>
    </xdr:from>
    <xdr:to>
      <xdr:col>11</xdr:col>
      <xdr:colOff>505080</xdr:colOff>
      <xdr:row>24</xdr:row>
      <xdr:rowOff>102600</xdr:rowOff>
    </xdr:to>
    <xdr:sp>
      <xdr:nvSpPr>
        <xdr:cNvPr id="611" name="Shape 351"/>
        <xdr:cNvSpPr/>
      </xdr:nvSpPr>
      <xdr:spPr>
        <a:xfrm>
          <a:off x="6386040" y="2705040"/>
          <a:ext cx="1102680" cy="1159920"/>
        </a:xfrm>
        <a:prstGeom prst="ellipse">
          <a:avLst/>
        </a:prstGeom>
        <a:solidFill>
          <a:srgbClr val="ffffff"/>
        </a:solidFill>
        <a:ln w="28575">
          <a:solidFill>
            <a:srgbClr val="0000ff"/>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  Axial Ratio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1.0 =</a:t>
          </a:r>
          <a:endParaRPr b="0" lang="en-US" sz="1000" strike="noStrike" u="none">
            <a:effectLst/>
            <a:uFillTx/>
            <a:latin typeface="Times New Roman"/>
          </a:endParaRPr>
        </a:p>
        <a:p>
          <a:pPr>
            <a:lnSpc>
              <a:spcPct val="100000"/>
            </a:lnSpc>
            <a:tabLst>
              <a:tab algn="l" pos="0"/>
            </a:tabLst>
          </a:pP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        0.0 dB</a:t>
          </a:r>
          <a:endParaRPr b="0" lang="en-US" sz="1000" strike="noStrike" u="none">
            <a:effectLst/>
            <a:uFillTx/>
            <a:latin typeface="Times New Roman"/>
          </a:endParaRPr>
        </a:p>
      </xdr:txBody>
    </xdr:sp>
    <xdr:clientData/>
  </xdr:twoCellAnchor>
  <xdr:twoCellAnchor editAs="oneCell">
    <xdr:from>
      <xdr:col>10</xdr:col>
      <xdr:colOff>295200</xdr:colOff>
      <xdr:row>85</xdr:row>
      <xdr:rowOff>37800</xdr:rowOff>
    </xdr:from>
    <xdr:to>
      <xdr:col>10</xdr:col>
      <xdr:colOff>573120</xdr:colOff>
      <xdr:row>85</xdr:row>
      <xdr:rowOff>39600</xdr:rowOff>
    </xdr:to>
    <xdr:grpSp>
      <xdr:nvGrpSpPr>
        <xdr:cNvPr id="612" name="Shape 2"/>
        <xdr:cNvGrpSpPr/>
      </xdr:nvGrpSpPr>
      <xdr:grpSpPr>
        <a:xfrm>
          <a:off x="6652800" y="13220280"/>
          <a:ext cx="277920" cy="1800"/>
          <a:chOff x="6652800" y="13220280"/>
          <a:chExt cx="277920" cy="1800"/>
        </a:xfrm>
      </xdr:grpSpPr>
      <xdr:cxnSp>
        <xdr:nvCxnSpPr>
          <xdr:cNvPr id="613" name="Shape 352"/>
          <xdr:cNvCxnSpPr/>
        </xdr:nvCxnSpPr>
        <xdr:spPr>
          <a:xfrm flipH="1">
            <a:off x="6652800" y="13220280"/>
            <a:ext cx="278280" cy="2160"/>
          </a:xfrm>
          <a:prstGeom prst="straightConnector1">
            <a:avLst/>
          </a:prstGeom>
          <a:ln w="9525">
            <a:solidFill>
              <a:srgbClr val="000000"/>
            </a:solidFill>
            <a:miter/>
            <a:tailEnd len="med" type="triangle" w="med"/>
          </a:ln>
        </xdr:spPr>
      </xdr:cxnSp>
    </xdr:grpSp>
    <xdr:clientData/>
  </xdr:twoCellAnchor>
  <xdr:twoCellAnchor editAs="oneCell">
    <xdr:from>
      <xdr:col>12</xdr:col>
      <xdr:colOff>617040</xdr:colOff>
      <xdr:row>18</xdr:row>
      <xdr:rowOff>142920</xdr:rowOff>
    </xdr:from>
    <xdr:to>
      <xdr:col>14</xdr:col>
      <xdr:colOff>743400</xdr:colOff>
      <xdr:row>23</xdr:row>
      <xdr:rowOff>16920</xdr:rowOff>
    </xdr:to>
    <xdr:sp>
      <xdr:nvSpPr>
        <xdr:cNvPr id="614" name="Shape 353"/>
        <xdr:cNvSpPr/>
      </xdr:nvSpPr>
      <xdr:spPr>
        <a:xfrm>
          <a:off x="8226720" y="2981520"/>
          <a:ext cx="1378800" cy="645480"/>
        </a:xfrm>
        <a:prstGeom prst="ellipse">
          <a:avLst/>
        </a:prstGeom>
        <a:solidFill>
          <a:srgbClr val="ffffff"/>
        </a:solidFill>
        <a:ln w="28575">
          <a:solidFill>
            <a:srgbClr val="0000ff"/>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900" strike="noStrike" u="none">
              <a:solidFill>
                <a:srgbClr val="000000"/>
              </a:solidFill>
              <a:effectLst/>
              <a:uFillTx/>
              <a:latin typeface="Arial"/>
              <a:ea typeface="Arial"/>
            </a:rPr>
            <a:t>    Axial Ratio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2.0 =</a:t>
          </a:r>
          <a:endParaRPr b="0" lang="en-US" sz="900" strike="noStrike" u="none">
            <a:effectLst/>
            <a:uFillTx/>
            <a:latin typeface="Times New Roman"/>
          </a:endParaRPr>
        </a:p>
        <a:p>
          <a:pPr>
            <a:lnSpc>
              <a:spcPct val="100000"/>
            </a:lnSpc>
            <a:tabLst>
              <a:tab algn="l" pos="0"/>
            </a:tabLst>
          </a:pPr>
          <a:r>
            <a:rPr b="0" lang="en-US" sz="900" strike="noStrike" u="none">
              <a:solidFill>
                <a:srgbClr val="000000"/>
              </a:solidFill>
              <a:effectLst/>
              <a:uFillTx/>
              <a:latin typeface="Arial"/>
              <a:ea typeface="Arial"/>
            </a:rPr>
            <a:t>         3.0 dB</a:t>
          </a:r>
          <a:endParaRPr b="0" lang="en-US" sz="900" strike="noStrike" u="none">
            <a:effectLst/>
            <a:uFillTx/>
            <a:latin typeface="Times New Roman"/>
          </a:endParaRPr>
        </a:p>
      </xdr:txBody>
    </xdr:sp>
    <xdr:clientData/>
  </xdr:twoCellAnchor>
  <xdr:twoCellAnchor editAs="oneCell">
    <xdr:from>
      <xdr:col>16</xdr:col>
      <xdr:colOff>0</xdr:colOff>
      <xdr:row>20</xdr:row>
      <xdr:rowOff>133200</xdr:rowOff>
    </xdr:from>
    <xdr:to>
      <xdr:col>17</xdr:col>
      <xdr:colOff>556560</xdr:colOff>
      <xdr:row>20</xdr:row>
      <xdr:rowOff>135000</xdr:rowOff>
    </xdr:to>
    <xdr:grpSp>
      <xdr:nvGrpSpPr>
        <xdr:cNvPr id="615" name="Shape 2"/>
        <xdr:cNvGrpSpPr/>
      </xdr:nvGrpSpPr>
      <xdr:grpSpPr>
        <a:xfrm>
          <a:off x="10281240" y="3286080"/>
          <a:ext cx="1182600" cy="1800"/>
          <a:chOff x="10281240" y="3286080"/>
          <a:chExt cx="1182600" cy="1800"/>
        </a:xfrm>
      </xdr:grpSpPr>
      <xdr:cxnSp>
        <xdr:nvCxnSpPr>
          <xdr:cNvPr id="616" name="Shape 354"/>
          <xdr:cNvCxnSpPr/>
        </xdr:nvCxnSpPr>
        <xdr:spPr>
          <a:xfrm>
            <a:off x="10281240" y="3286080"/>
            <a:ext cx="1182960" cy="2160"/>
          </a:xfrm>
          <a:prstGeom prst="straightConnector1">
            <a:avLst/>
          </a:prstGeom>
          <a:ln w="28575">
            <a:solidFill>
              <a:srgbClr val="0000ff"/>
            </a:solidFill>
            <a:miter/>
          </a:ln>
        </xdr:spPr>
      </xdr:cxnSp>
    </xdr:grpSp>
    <xdr:clientData/>
  </xdr:twoCellAnchor>
  <xdr:twoCellAnchor editAs="oneCell">
    <xdr:from>
      <xdr:col>10</xdr:col>
      <xdr:colOff>476640</xdr:colOff>
      <xdr:row>28</xdr:row>
      <xdr:rowOff>75600</xdr:rowOff>
    </xdr:from>
    <xdr:to>
      <xdr:col>12</xdr:col>
      <xdr:colOff>565560</xdr:colOff>
      <xdr:row>36</xdr:row>
      <xdr:rowOff>35280</xdr:rowOff>
    </xdr:to>
    <xdr:sp>
      <xdr:nvSpPr>
        <xdr:cNvPr id="617" name="Shape 355"/>
        <xdr:cNvSpPr/>
      </xdr:nvSpPr>
      <xdr:spPr>
        <a:xfrm rot="2040000">
          <a:off x="6833880" y="4456800"/>
          <a:ext cx="1341000" cy="1188360"/>
        </a:xfrm>
        <a:prstGeom prst="ellipse">
          <a:avLst/>
        </a:prstGeom>
        <a:noFill/>
        <a:ln w="28575">
          <a:solidFill>
            <a:srgbClr val="ff0000"/>
          </a:solidFill>
          <a:miter/>
        </a:ln>
      </xdr:spPr>
      <xdr:style>
        <a:lnRef idx="0"/>
        <a:fillRef idx="0"/>
        <a:effectRef idx="0"/>
        <a:fontRef idx="minor"/>
      </xdr:style>
    </xdr:sp>
    <xdr:clientData/>
  </xdr:twoCellAnchor>
  <xdr:twoCellAnchor editAs="oneCell">
    <xdr:from>
      <xdr:col>9</xdr:col>
      <xdr:colOff>591120</xdr:colOff>
      <xdr:row>32</xdr:row>
      <xdr:rowOff>22680</xdr:rowOff>
    </xdr:from>
    <xdr:to>
      <xdr:col>13</xdr:col>
      <xdr:colOff>397440</xdr:colOff>
      <xdr:row>32</xdr:row>
      <xdr:rowOff>26280</xdr:rowOff>
    </xdr:to>
    <xdr:grpSp>
      <xdr:nvGrpSpPr>
        <xdr:cNvPr id="618" name="Shape 2"/>
        <xdr:cNvGrpSpPr/>
      </xdr:nvGrpSpPr>
      <xdr:grpSpPr>
        <a:xfrm>
          <a:off x="6252120" y="5023440"/>
          <a:ext cx="2381400" cy="3600"/>
          <a:chOff x="6252120" y="5023440"/>
          <a:chExt cx="2381400" cy="3600"/>
        </a:xfrm>
      </xdr:grpSpPr>
      <xdr:cxnSp>
        <xdr:nvCxnSpPr>
          <xdr:cNvPr id="619" name="Shape 356"/>
          <xdr:cNvCxnSpPr/>
        </xdr:nvCxnSpPr>
        <xdr:spPr>
          <a:xfrm flipV="1">
            <a:off x="6252120" y="5023440"/>
            <a:ext cx="2381760" cy="3960"/>
          </a:xfrm>
          <a:prstGeom prst="straightConnector1">
            <a:avLst/>
          </a:prstGeom>
          <a:ln w="9525">
            <a:solidFill>
              <a:srgbClr val="000000"/>
            </a:solidFill>
            <a:miter/>
          </a:ln>
        </xdr:spPr>
      </xdr:cxnSp>
    </xdr:grpSp>
    <xdr:clientData/>
  </xdr:twoCellAnchor>
  <xdr:twoCellAnchor editAs="oneCell">
    <xdr:from>
      <xdr:col>10</xdr:col>
      <xdr:colOff>475920</xdr:colOff>
      <xdr:row>28</xdr:row>
      <xdr:rowOff>48960</xdr:rowOff>
    </xdr:from>
    <xdr:to>
      <xdr:col>12</xdr:col>
      <xdr:colOff>555120</xdr:colOff>
      <xdr:row>36</xdr:row>
      <xdr:rowOff>65880</xdr:rowOff>
    </xdr:to>
    <xdr:sp>
      <xdr:nvSpPr>
        <xdr:cNvPr id="620" name="Shape 357"/>
        <xdr:cNvSpPr/>
      </xdr:nvSpPr>
      <xdr:spPr>
        <a:xfrm rot="19260000">
          <a:off x="6833520" y="4430160"/>
          <a:ext cx="1331280" cy="1245600"/>
        </a:xfrm>
        <a:prstGeom prst="ellipse">
          <a:avLst/>
        </a:prstGeom>
        <a:noFill/>
        <a:ln w="28575">
          <a:solidFill>
            <a:srgbClr val="0000ff"/>
          </a:solidFill>
          <a:miter/>
        </a:ln>
      </xdr:spPr>
      <xdr:style>
        <a:lnRef idx="0"/>
        <a:fillRef idx="0"/>
        <a:effectRef idx="0"/>
        <a:fontRef idx="minor"/>
      </xdr:style>
    </xdr:sp>
    <xdr:clientData/>
  </xdr:twoCellAnchor>
  <xdr:twoCellAnchor editAs="oneCell">
    <xdr:from>
      <xdr:col>11</xdr:col>
      <xdr:colOff>275040</xdr:colOff>
      <xdr:row>25</xdr:row>
      <xdr:rowOff>81720</xdr:rowOff>
    </xdr:from>
    <xdr:to>
      <xdr:col>12</xdr:col>
      <xdr:colOff>96480</xdr:colOff>
      <xdr:row>39</xdr:row>
      <xdr:rowOff>34560</xdr:rowOff>
    </xdr:to>
    <xdr:grpSp>
      <xdr:nvGrpSpPr>
        <xdr:cNvPr id="621" name="Shape 2"/>
        <xdr:cNvGrpSpPr/>
      </xdr:nvGrpSpPr>
      <xdr:grpSpPr>
        <a:xfrm>
          <a:off x="7258680" y="3996360"/>
          <a:ext cx="447480" cy="2115000"/>
          <a:chOff x="7258680" y="3996360"/>
          <a:chExt cx="447480" cy="2115000"/>
        </a:xfrm>
      </xdr:grpSpPr>
      <xdr:cxnSp>
        <xdr:nvCxnSpPr>
          <xdr:cNvPr id="622" name="Shape 358"/>
          <xdr:cNvCxnSpPr/>
        </xdr:nvCxnSpPr>
        <xdr:spPr>
          <a:xfrm flipV="1">
            <a:off x="7258680" y="3996360"/>
            <a:ext cx="447840" cy="2115360"/>
          </a:xfrm>
          <a:prstGeom prst="straightConnector1">
            <a:avLst/>
          </a:prstGeom>
          <a:ln w="9525">
            <a:solidFill>
              <a:srgbClr val="000000"/>
            </a:solidFill>
            <a:miter/>
          </a:ln>
        </xdr:spPr>
      </xdr:cxnSp>
    </xdr:grpSp>
    <xdr:clientData/>
  </xdr:twoCellAnchor>
  <xdr:twoCellAnchor editAs="oneCell">
    <xdr:from>
      <xdr:col>13</xdr:col>
      <xdr:colOff>276120</xdr:colOff>
      <xdr:row>31</xdr:row>
      <xdr:rowOff>85680</xdr:rowOff>
    </xdr:from>
    <xdr:to>
      <xdr:col>13</xdr:col>
      <xdr:colOff>531000</xdr:colOff>
      <xdr:row>34</xdr:row>
      <xdr:rowOff>36000</xdr:rowOff>
    </xdr:to>
    <xdr:sp>
      <xdr:nvSpPr>
        <xdr:cNvPr id="623" name="Shape 359"/>
        <xdr:cNvSpPr/>
      </xdr:nvSpPr>
      <xdr:spPr>
        <a:xfrm>
          <a:off x="8512200" y="4933800"/>
          <a:ext cx="254880" cy="4075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200" strike="noStrike" u="none">
              <a:solidFill>
                <a:srgbClr val="000000"/>
              </a:solidFill>
              <a:effectLst/>
              <a:uFillTx/>
              <a:latin typeface="Arial"/>
              <a:ea typeface="Arial"/>
            </a:rPr>
            <a:t>θ</a:t>
          </a:r>
          <a:endParaRPr b="0" lang="en-US" sz="1200" strike="noStrike" u="none">
            <a:effectLst/>
            <a:uFillTx/>
            <a:latin typeface="Times New Roman"/>
          </a:endParaRPr>
        </a:p>
      </xdr:txBody>
    </xdr:sp>
    <xdr:clientData/>
  </xdr:twoCellAnchor>
  <xdr:twoCellAnchor editAs="oneCell">
    <xdr:from>
      <xdr:col>13</xdr:col>
      <xdr:colOff>257040</xdr:colOff>
      <xdr:row>33</xdr:row>
      <xdr:rowOff>0</xdr:rowOff>
    </xdr:from>
    <xdr:to>
      <xdr:col>13</xdr:col>
      <xdr:colOff>344520</xdr:colOff>
      <xdr:row>34</xdr:row>
      <xdr:rowOff>49320</xdr:rowOff>
    </xdr:to>
    <xdr:grpSp>
      <xdr:nvGrpSpPr>
        <xdr:cNvPr id="624" name="Shape 2"/>
        <xdr:cNvGrpSpPr/>
      </xdr:nvGrpSpPr>
      <xdr:grpSpPr>
        <a:xfrm>
          <a:off x="8493120" y="5153040"/>
          <a:ext cx="87480" cy="201600"/>
          <a:chOff x="8493120" y="5153040"/>
          <a:chExt cx="87480" cy="201600"/>
        </a:xfrm>
      </xdr:grpSpPr>
      <xdr:cxnSp>
        <xdr:nvCxnSpPr>
          <xdr:cNvPr id="625" name="Shape 360"/>
          <xdr:cNvCxnSpPr/>
        </xdr:nvCxnSpPr>
        <xdr:spPr>
          <a:xfrm flipH="1">
            <a:off x="8493120" y="5153040"/>
            <a:ext cx="87840" cy="201960"/>
          </a:xfrm>
          <a:prstGeom prst="straightConnector1">
            <a:avLst/>
          </a:prstGeom>
          <a:ln w="9525">
            <a:solidFill>
              <a:srgbClr val="000000"/>
            </a:solidFill>
            <a:miter/>
          </a:ln>
        </xdr:spPr>
      </xdr:cxnSp>
    </xdr:grpSp>
    <xdr:clientData/>
  </xdr:twoCellAnchor>
  <xdr:twoCellAnchor editAs="oneCell">
    <xdr:from>
      <xdr:col>13</xdr:col>
      <xdr:colOff>123480</xdr:colOff>
      <xdr:row>34</xdr:row>
      <xdr:rowOff>37800</xdr:rowOff>
    </xdr:from>
    <xdr:to>
      <xdr:col>13</xdr:col>
      <xdr:colOff>268200</xdr:colOff>
      <xdr:row>35</xdr:row>
      <xdr:rowOff>68040</xdr:rowOff>
    </xdr:to>
    <xdr:grpSp>
      <xdr:nvGrpSpPr>
        <xdr:cNvPr id="626" name="Shape 2"/>
        <xdr:cNvGrpSpPr/>
      </xdr:nvGrpSpPr>
      <xdr:grpSpPr>
        <a:xfrm>
          <a:off x="8359560" y="5343120"/>
          <a:ext cx="144720" cy="182880"/>
          <a:chOff x="8359560" y="5343120"/>
          <a:chExt cx="144720" cy="182880"/>
        </a:xfrm>
      </xdr:grpSpPr>
      <xdr:cxnSp>
        <xdr:nvCxnSpPr>
          <xdr:cNvPr id="627" name="Shape 361"/>
          <xdr:cNvCxnSpPr/>
        </xdr:nvCxnSpPr>
        <xdr:spPr>
          <a:xfrm flipH="1">
            <a:off x="8359560" y="5343120"/>
            <a:ext cx="145080" cy="183240"/>
          </a:xfrm>
          <a:prstGeom prst="straightConnector1">
            <a:avLst/>
          </a:prstGeom>
          <a:ln w="9525">
            <a:solidFill>
              <a:srgbClr val="000000"/>
            </a:solidFill>
            <a:miter/>
          </a:ln>
        </xdr:spPr>
      </xdr:cxnSp>
    </xdr:grpSp>
    <xdr:clientData/>
  </xdr:twoCellAnchor>
  <xdr:twoCellAnchor editAs="oneCell">
    <xdr:from>
      <xdr:col>13</xdr:col>
      <xdr:colOff>285480</xdr:colOff>
      <xdr:row>30</xdr:row>
      <xdr:rowOff>37800</xdr:rowOff>
    </xdr:from>
    <xdr:to>
      <xdr:col>13</xdr:col>
      <xdr:colOff>335160</xdr:colOff>
      <xdr:row>31</xdr:row>
      <xdr:rowOff>96840</xdr:rowOff>
    </xdr:to>
    <xdr:grpSp>
      <xdr:nvGrpSpPr>
        <xdr:cNvPr id="628" name="Shape 2"/>
        <xdr:cNvGrpSpPr/>
      </xdr:nvGrpSpPr>
      <xdr:grpSpPr>
        <a:xfrm>
          <a:off x="8521560" y="4733640"/>
          <a:ext cx="49680" cy="211320"/>
          <a:chOff x="8521560" y="4733640"/>
          <a:chExt cx="49680" cy="211320"/>
        </a:xfrm>
      </xdr:grpSpPr>
      <xdr:cxnSp>
        <xdr:nvCxnSpPr>
          <xdr:cNvPr id="629" name="Shape 362"/>
          <xdr:cNvCxnSpPr/>
        </xdr:nvCxnSpPr>
        <xdr:spPr>
          <a:xfrm flipH="1" flipV="1">
            <a:off x="8521560" y="4733640"/>
            <a:ext cx="50040" cy="211680"/>
          </a:xfrm>
          <a:prstGeom prst="straightConnector1">
            <a:avLst/>
          </a:prstGeom>
          <a:ln w="9525">
            <a:solidFill>
              <a:srgbClr val="000000"/>
            </a:solidFill>
            <a:miter/>
          </a:ln>
        </xdr:spPr>
      </xdr:cxnSp>
    </xdr:grpSp>
    <xdr:clientData/>
  </xdr:twoCellAnchor>
  <xdr:twoCellAnchor editAs="oneCell">
    <xdr:from>
      <xdr:col>13</xdr:col>
      <xdr:colOff>104760</xdr:colOff>
      <xdr:row>28</xdr:row>
      <xdr:rowOff>123120</xdr:rowOff>
    </xdr:from>
    <xdr:to>
      <xdr:col>13</xdr:col>
      <xdr:colOff>287280</xdr:colOff>
      <xdr:row>30</xdr:row>
      <xdr:rowOff>49320</xdr:rowOff>
    </xdr:to>
    <xdr:grpSp>
      <xdr:nvGrpSpPr>
        <xdr:cNvPr id="630" name="Shape 2"/>
        <xdr:cNvGrpSpPr/>
      </xdr:nvGrpSpPr>
      <xdr:grpSpPr>
        <a:xfrm>
          <a:off x="8340840" y="4504680"/>
          <a:ext cx="182520" cy="240480"/>
          <a:chOff x="8340840" y="4504680"/>
          <a:chExt cx="182520" cy="240480"/>
        </a:xfrm>
      </xdr:grpSpPr>
      <xdr:cxnSp>
        <xdr:nvCxnSpPr>
          <xdr:cNvPr id="631" name="Shape 363"/>
          <xdr:cNvCxnSpPr/>
        </xdr:nvCxnSpPr>
        <xdr:spPr>
          <a:xfrm flipH="1" flipV="1">
            <a:off x="8340840" y="4504680"/>
            <a:ext cx="182880" cy="240840"/>
          </a:xfrm>
          <a:prstGeom prst="straightConnector1">
            <a:avLst/>
          </a:prstGeom>
          <a:ln w="9525">
            <a:solidFill>
              <a:srgbClr val="000000"/>
            </a:solidFill>
            <a:miter/>
            <a:tailEnd len="med" type="triangle" w="med"/>
          </a:ln>
        </xdr:spPr>
      </xdr:cxnSp>
    </xdr:grpSp>
    <xdr:clientData/>
  </xdr:twoCellAnchor>
  <xdr:twoCellAnchor editAs="oneCell">
    <xdr:from>
      <xdr:col>3</xdr:col>
      <xdr:colOff>561960</xdr:colOff>
      <xdr:row>10</xdr:row>
      <xdr:rowOff>133200</xdr:rowOff>
    </xdr:from>
    <xdr:to>
      <xdr:col>5</xdr:col>
      <xdr:colOff>521280</xdr:colOff>
      <xdr:row>10</xdr:row>
      <xdr:rowOff>135000</xdr:rowOff>
    </xdr:to>
    <xdr:grpSp>
      <xdr:nvGrpSpPr>
        <xdr:cNvPr id="632" name="Shape 2"/>
        <xdr:cNvGrpSpPr/>
      </xdr:nvGrpSpPr>
      <xdr:grpSpPr>
        <a:xfrm>
          <a:off x="2440440" y="1752480"/>
          <a:ext cx="1211400" cy="1800"/>
          <a:chOff x="2440440" y="1752480"/>
          <a:chExt cx="1211400" cy="1800"/>
        </a:xfrm>
      </xdr:grpSpPr>
      <xdr:cxnSp>
        <xdr:nvCxnSpPr>
          <xdr:cNvPr id="633" name="Shape 364"/>
          <xdr:cNvCxnSpPr/>
        </xdr:nvCxnSpPr>
        <xdr:spPr>
          <a:xfrm flipH="1">
            <a:off x="2440440" y="1752480"/>
            <a:ext cx="1211760" cy="216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3</xdr:col>
      <xdr:colOff>561960</xdr:colOff>
      <xdr:row>20</xdr:row>
      <xdr:rowOff>133200</xdr:rowOff>
    </xdr:from>
    <xdr:to>
      <xdr:col>5</xdr:col>
      <xdr:colOff>502200</xdr:colOff>
      <xdr:row>20</xdr:row>
      <xdr:rowOff>135000</xdr:rowOff>
    </xdr:to>
    <xdr:grpSp>
      <xdr:nvGrpSpPr>
        <xdr:cNvPr id="634" name="Shape 2"/>
        <xdr:cNvGrpSpPr/>
      </xdr:nvGrpSpPr>
      <xdr:grpSpPr>
        <a:xfrm>
          <a:off x="2440440" y="3286080"/>
          <a:ext cx="1192320" cy="1800"/>
          <a:chOff x="2440440" y="3286080"/>
          <a:chExt cx="1192320" cy="1800"/>
        </a:xfrm>
      </xdr:grpSpPr>
      <xdr:cxnSp>
        <xdr:nvCxnSpPr>
          <xdr:cNvPr id="635" name="Shape 365"/>
          <xdr:cNvCxnSpPr/>
        </xdr:nvCxnSpPr>
        <xdr:spPr>
          <a:xfrm flipH="1">
            <a:off x="2440440" y="3286080"/>
            <a:ext cx="1192680" cy="216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4</xdr:col>
      <xdr:colOff>606960</xdr:colOff>
      <xdr:row>8</xdr:row>
      <xdr:rowOff>152280</xdr:rowOff>
    </xdr:from>
    <xdr:to>
      <xdr:col>4</xdr:col>
      <xdr:colOff>608760</xdr:colOff>
      <xdr:row>13</xdr:row>
      <xdr:rowOff>20520</xdr:rowOff>
    </xdr:to>
    <xdr:grpSp>
      <xdr:nvGrpSpPr>
        <xdr:cNvPr id="636" name="Shape 2"/>
        <xdr:cNvGrpSpPr/>
      </xdr:nvGrpSpPr>
      <xdr:grpSpPr>
        <a:xfrm>
          <a:off x="3111480" y="1447560"/>
          <a:ext cx="1800" cy="649440"/>
          <a:chOff x="3111480" y="1447560"/>
          <a:chExt cx="1800" cy="649440"/>
        </a:xfrm>
      </xdr:grpSpPr>
      <xdr:cxnSp>
        <xdr:nvCxnSpPr>
          <xdr:cNvPr id="637" name="Shape 366"/>
          <xdr:cNvCxnSpPr/>
        </xdr:nvCxnSpPr>
        <xdr:spPr>
          <a:xfrm>
            <a:off x="3111480" y="1447560"/>
            <a:ext cx="2160" cy="64980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4</xdr:col>
      <xdr:colOff>606960</xdr:colOff>
      <xdr:row>19</xdr:row>
      <xdr:rowOff>0</xdr:rowOff>
    </xdr:from>
    <xdr:to>
      <xdr:col>4</xdr:col>
      <xdr:colOff>608760</xdr:colOff>
      <xdr:row>23</xdr:row>
      <xdr:rowOff>20520</xdr:rowOff>
    </xdr:to>
    <xdr:grpSp>
      <xdr:nvGrpSpPr>
        <xdr:cNvPr id="638" name="Shape 2"/>
        <xdr:cNvGrpSpPr/>
      </xdr:nvGrpSpPr>
      <xdr:grpSpPr>
        <a:xfrm>
          <a:off x="3111480" y="2990880"/>
          <a:ext cx="1800" cy="639720"/>
          <a:chOff x="3111480" y="2990880"/>
          <a:chExt cx="1800" cy="639720"/>
        </a:xfrm>
      </xdr:grpSpPr>
      <xdr:cxnSp>
        <xdr:nvCxnSpPr>
          <xdr:cNvPr id="639" name="Shape 367"/>
          <xdr:cNvCxnSpPr/>
        </xdr:nvCxnSpPr>
        <xdr:spPr>
          <a:xfrm>
            <a:off x="3111480" y="2990880"/>
            <a:ext cx="2160" cy="640080"/>
          </a:xfrm>
          <a:prstGeom prst="straightConnector1">
            <a:avLst/>
          </a:prstGeom>
          <a:ln w="9525">
            <a:solidFill>
              <a:srgbClr val="000000"/>
            </a:solidFill>
            <a:miter/>
            <a:headEnd len="med" type="triangle" w="med"/>
            <a:tailEnd len="med" type="triangle" w="med"/>
          </a:ln>
        </xdr:spPr>
      </xdr:cxnSp>
    </xdr:grpSp>
    <xdr:clientData/>
  </xdr:twoCellAnchor>
  <xdr:twoCellAnchor editAs="oneCell">
    <xdr:from>
      <xdr:col>1</xdr:col>
      <xdr:colOff>533520</xdr:colOff>
      <xdr:row>10</xdr:row>
      <xdr:rowOff>0</xdr:rowOff>
    </xdr:from>
    <xdr:to>
      <xdr:col>3</xdr:col>
      <xdr:colOff>336240</xdr:colOff>
      <xdr:row>12</xdr:row>
      <xdr:rowOff>26280</xdr:rowOff>
    </xdr:to>
    <xdr:sp>
      <xdr:nvSpPr>
        <xdr:cNvPr id="640" name="Shape 368"/>
        <xdr:cNvSpPr/>
      </xdr:nvSpPr>
      <xdr:spPr>
        <a:xfrm>
          <a:off x="1159560" y="1619280"/>
          <a:ext cx="1055160" cy="33120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with Major Axis</a:t>
          </a:r>
          <a:endParaRPr b="0" lang="en-US" sz="1000" strike="noStrike" u="none">
            <a:effectLst/>
            <a:uFillTx/>
            <a:latin typeface="Times New Roman"/>
          </a:endParaRPr>
        </a:p>
      </xdr:txBody>
    </xdr:sp>
    <xdr:clientData/>
  </xdr:twoCellAnchor>
  <xdr:twoCellAnchor editAs="oneCell">
    <xdr:from>
      <xdr:col>1</xdr:col>
      <xdr:colOff>495360</xdr:colOff>
      <xdr:row>20</xdr:row>
      <xdr:rowOff>0</xdr:rowOff>
    </xdr:from>
    <xdr:to>
      <xdr:col>3</xdr:col>
      <xdr:colOff>298080</xdr:colOff>
      <xdr:row>22</xdr:row>
      <xdr:rowOff>26640</xdr:rowOff>
    </xdr:to>
    <xdr:sp>
      <xdr:nvSpPr>
        <xdr:cNvPr id="641" name="Shape 369"/>
        <xdr:cNvSpPr/>
      </xdr:nvSpPr>
      <xdr:spPr>
        <a:xfrm>
          <a:off x="1121400" y="3152880"/>
          <a:ext cx="1055160" cy="33120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with Major Axis</a:t>
          </a:r>
          <a:endParaRPr b="0" lang="en-US" sz="1000" strike="noStrike" u="none">
            <a:effectLst/>
            <a:uFillTx/>
            <a:latin typeface="Times New Roman"/>
          </a:endParaRPr>
        </a:p>
      </xdr:txBody>
    </xdr:sp>
    <xdr:clientData/>
  </xdr:twoCellAnchor>
  <xdr:twoCellAnchor editAs="oneCell">
    <xdr:from>
      <xdr:col>3</xdr:col>
      <xdr:colOff>133200</xdr:colOff>
      <xdr:row>6</xdr:row>
      <xdr:rowOff>0</xdr:rowOff>
    </xdr:from>
    <xdr:to>
      <xdr:col>6</xdr:col>
      <xdr:colOff>81720</xdr:colOff>
      <xdr:row>7</xdr:row>
      <xdr:rowOff>26640</xdr:rowOff>
    </xdr:to>
    <xdr:sp>
      <xdr:nvSpPr>
        <xdr:cNvPr id="642" name="Shape 370"/>
        <xdr:cNvSpPr/>
      </xdr:nvSpPr>
      <xdr:spPr>
        <a:xfrm>
          <a:off x="2011680" y="990720"/>
          <a:ext cx="1826640" cy="17892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Power when Aligned with Minor Axis</a:t>
          </a:r>
          <a:endParaRPr b="0" lang="en-US" sz="1000" strike="noStrike" u="none">
            <a:effectLst/>
            <a:uFillTx/>
            <a:latin typeface="Times New Roman"/>
          </a:endParaRPr>
        </a:p>
      </xdr:txBody>
    </xdr:sp>
    <xdr:clientData/>
  </xdr:twoCellAnchor>
  <xdr:twoCellAnchor editAs="oneCell">
    <xdr:from>
      <xdr:col>4</xdr:col>
      <xdr:colOff>0</xdr:colOff>
      <xdr:row>3</xdr:row>
      <xdr:rowOff>56880</xdr:rowOff>
    </xdr:from>
    <xdr:to>
      <xdr:col>9</xdr:col>
      <xdr:colOff>493200</xdr:colOff>
      <xdr:row>3</xdr:row>
      <xdr:rowOff>58680</xdr:rowOff>
    </xdr:to>
    <xdr:grpSp>
      <xdr:nvGrpSpPr>
        <xdr:cNvPr id="643" name="Shape 2"/>
        <xdr:cNvGrpSpPr/>
      </xdr:nvGrpSpPr>
      <xdr:grpSpPr>
        <a:xfrm>
          <a:off x="2504520" y="590400"/>
          <a:ext cx="3649680" cy="1800"/>
          <a:chOff x="2504520" y="590400"/>
          <a:chExt cx="3649680" cy="1800"/>
        </a:xfrm>
      </xdr:grpSpPr>
      <xdr:cxnSp>
        <xdr:nvCxnSpPr>
          <xdr:cNvPr id="644" name="Shape 371"/>
          <xdr:cNvCxnSpPr/>
        </xdr:nvCxnSpPr>
        <xdr:spPr>
          <a:xfrm>
            <a:off x="2504520" y="590400"/>
            <a:ext cx="3650040" cy="2160"/>
          </a:xfrm>
          <a:prstGeom prst="straightConnector1">
            <a:avLst/>
          </a:prstGeom>
          <a:ln w="19050">
            <a:solidFill>
              <a:srgbClr val="000000"/>
            </a:solidFill>
            <a:miter/>
          </a:ln>
        </xdr:spPr>
      </xdr:cxnSp>
    </xdr:grpSp>
    <xdr:clientData/>
  </xdr:twoCellAnchor>
  <xdr:twoCellAnchor editAs="oneCell">
    <xdr:from>
      <xdr:col>3</xdr:col>
      <xdr:colOff>438120</xdr:colOff>
      <xdr:row>2</xdr:row>
      <xdr:rowOff>0</xdr:rowOff>
    </xdr:from>
    <xdr:to>
      <xdr:col>3</xdr:col>
      <xdr:colOff>550440</xdr:colOff>
      <xdr:row>5</xdr:row>
      <xdr:rowOff>7200</xdr:rowOff>
    </xdr:to>
    <xdr:sp>
      <xdr:nvSpPr>
        <xdr:cNvPr id="645" name="Shape 372"/>
        <xdr:cNvSpPr/>
      </xdr:nvSpPr>
      <xdr:spPr>
        <a:xfrm>
          <a:off x="2316600" y="380880"/>
          <a:ext cx="112320" cy="464400"/>
        </a:xfrm>
        <a:prstGeom prst="leftBracket">
          <a:avLst>
            <a:gd name="adj" fmla="val 8333"/>
          </a:avLst>
        </a:prstGeom>
        <a:noFill/>
        <a:ln w="9525">
          <a:solidFill>
            <a:srgbClr val="000000"/>
          </a:solidFill>
          <a:miter/>
        </a:ln>
      </xdr:spPr>
      <xdr:style>
        <a:lnRef idx="0"/>
        <a:fillRef idx="0"/>
        <a:effectRef idx="0"/>
        <a:fontRef idx="minor"/>
      </xdr:style>
    </xdr:sp>
    <xdr:clientData/>
  </xdr:twoCellAnchor>
  <xdr:twoCellAnchor editAs="oneCell">
    <xdr:from>
      <xdr:col>9</xdr:col>
      <xdr:colOff>628560</xdr:colOff>
      <xdr:row>2</xdr:row>
      <xdr:rowOff>0</xdr:rowOff>
    </xdr:from>
    <xdr:to>
      <xdr:col>10</xdr:col>
      <xdr:colOff>53640</xdr:colOff>
      <xdr:row>4</xdr:row>
      <xdr:rowOff>140760</xdr:rowOff>
    </xdr:to>
    <xdr:sp>
      <xdr:nvSpPr>
        <xdr:cNvPr id="646" name="Shape 373"/>
        <xdr:cNvSpPr/>
      </xdr:nvSpPr>
      <xdr:spPr>
        <a:xfrm>
          <a:off x="6289560" y="380880"/>
          <a:ext cx="121680" cy="445680"/>
        </a:xfrm>
        <a:prstGeom prst="rightBracket">
          <a:avLst>
            <a:gd name="adj" fmla="val 8333"/>
          </a:avLst>
        </a:prstGeom>
        <a:noFill/>
        <a:ln w="9525">
          <a:solidFill>
            <a:srgbClr val="000000"/>
          </a:solidFill>
          <a:miter/>
        </a:ln>
      </xdr:spPr>
      <xdr:style>
        <a:lnRef idx="0"/>
        <a:fillRef idx="0"/>
        <a:effectRef idx="0"/>
        <a:fontRef idx="minor"/>
      </xdr:style>
    </xdr:sp>
    <xdr:clientData/>
  </xdr:twoCellAnchor>
  <xdr:twoCellAnchor editAs="oneCell">
    <xdr:from>
      <xdr:col>4</xdr:col>
      <xdr:colOff>606960</xdr:colOff>
      <xdr:row>7</xdr:row>
      <xdr:rowOff>75960</xdr:rowOff>
    </xdr:from>
    <xdr:to>
      <xdr:col>4</xdr:col>
      <xdr:colOff>608760</xdr:colOff>
      <xdr:row>8</xdr:row>
      <xdr:rowOff>78120</xdr:rowOff>
    </xdr:to>
    <xdr:grpSp>
      <xdr:nvGrpSpPr>
        <xdr:cNvPr id="647" name="Shape 2"/>
        <xdr:cNvGrpSpPr/>
      </xdr:nvGrpSpPr>
      <xdr:grpSpPr>
        <a:xfrm>
          <a:off x="3111480" y="1218960"/>
          <a:ext cx="1800" cy="154440"/>
          <a:chOff x="3111480" y="1218960"/>
          <a:chExt cx="1800" cy="154440"/>
        </a:xfrm>
      </xdr:grpSpPr>
      <xdr:cxnSp>
        <xdr:nvCxnSpPr>
          <xdr:cNvPr id="648" name="Shape 4"/>
          <xdr:cNvCxnSpPr/>
        </xdr:nvCxnSpPr>
        <xdr:spPr>
          <a:xfrm>
            <a:off x="3111480" y="1218960"/>
            <a:ext cx="2160" cy="154800"/>
          </a:xfrm>
          <a:prstGeom prst="straightConnector1">
            <a:avLst/>
          </a:prstGeom>
          <a:ln w="9525">
            <a:solidFill>
              <a:srgbClr val="000000"/>
            </a:solidFill>
            <a:miter/>
            <a:tailEnd len="med" type="triangle" w="med"/>
          </a:ln>
        </xdr:spPr>
      </xdr:cxnSp>
    </xdr:grpSp>
    <xdr:clientData/>
  </xdr:twoCellAnchor>
  <xdr:twoCellAnchor editAs="oneCell">
    <xdr:from>
      <xdr:col>4</xdr:col>
      <xdr:colOff>606960</xdr:colOff>
      <xdr:row>13</xdr:row>
      <xdr:rowOff>95040</xdr:rowOff>
    </xdr:from>
    <xdr:to>
      <xdr:col>4</xdr:col>
      <xdr:colOff>608760</xdr:colOff>
      <xdr:row>18</xdr:row>
      <xdr:rowOff>48960</xdr:rowOff>
    </xdr:to>
    <xdr:grpSp>
      <xdr:nvGrpSpPr>
        <xdr:cNvPr id="649" name="Shape 2"/>
        <xdr:cNvGrpSpPr/>
      </xdr:nvGrpSpPr>
      <xdr:grpSpPr>
        <a:xfrm>
          <a:off x="3111480" y="2171520"/>
          <a:ext cx="1800" cy="716040"/>
          <a:chOff x="3111480" y="2171520"/>
          <a:chExt cx="1800" cy="716040"/>
        </a:xfrm>
      </xdr:grpSpPr>
      <xdr:cxnSp>
        <xdr:nvCxnSpPr>
          <xdr:cNvPr id="650" name="Shape 374"/>
          <xdr:cNvCxnSpPr/>
        </xdr:nvCxnSpPr>
        <xdr:spPr>
          <a:xfrm>
            <a:off x="3111480" y="2171520"/>
            <a:ext cx="2160" cy="716400"/>
          </a:xfrm>
          <a:prstGeom prst="straightConnector1">
            <a:avLst/>
          </a:prstGeom>
          <a:ln w="9525">
            <a:solidFill>
              <a:srgbClr val="000000"/>
            </a:solidFill>
            <a:miter/>
            <a:tailEnd len="med" type="triangle" w="med"/>
          </a:ln>
        </xdr:spPr>
      </xdr:cxnSp>
    </xdr:grpSp>
    <xdr:clientData/>
  </xdr:twoCellAnchor>
  <xdr:twoCellAnchor editAs="oneCell">
    <xdr:from>
      <xdr:col>9</xdr:col>
      <xdr:colOff>637920</xdr:colOff>
      <xdr:row>80</xdr:row>
      <xdr:rowOff>56880</xdr:rowOff>
    </xdr:from>
    <xdr:to>
      <xdr:col>10</xdr:col>
      <xdr:colOff>552960</xdr:colOff>
      <xdr:row>80</xdr:row>
      <xdr:rowOff>58680</xdr:rowOff>
    </xdr:to>
    <xdr:grpSp>
      <xdr:nvGrpSpPr>
        <xdr:cNvPr id="651" name="Shape 2"/>
        <xdr:cNvGrpSpPr/>
      </xdr:nvGrpSpPr>
      <xdr:grpSpPr>
        <a:xfrm>
          <a:off x="6298920" y="12477600"/>
          <a:ext cx="611640" cy="1800"/>
          <a:chOff x="6298920" y="12477600"/>
          <a:chExt cx="611640" cy="1800"/>
        </a:xfrm>
      </xdr:grpSpPr>
      <xdr:cxnSp>
        <xdr:nvCxnSpPr>
          <xdr:cNvPr id="652" name="Shape 375"/>
          <xdr:cNvCxnSpPr/>
        </xdr:nvCxnSpPr>
        <xdr:spPr>
          <a:xfrm flipH="1">
            <a:off x="6298920" y="12477600"/>
            <a:ext cx="612000" cy="2160"/>
          </a:xfrm>
          <a:prstGeom prst="straightConnector1">
            <a:avLst/>
          </a:prstGeom>
          <a:ln w="9525">
            <a:solidFill>
              <a:srgbClr val="000000"/>
            </a:solidFill>
            <a:miter/>
            <a:tailEnd len="med" type="triangle" w="med"/>
          </a:ln>
        </xdr:spPr>
      </xdr:cxnSp>
    </xdr:grpSp>
    <xdr:clientData/>
  </xdr:twoCellAnchor>
  <xdr:twoCellAnchor editAs="oneCell">
    <xdr:from>
      <xdr:col>14</xdr:col>
      <xdr:colOff>114120</xdr:colOff>
      <xdr:row>32</xdr:row>
      <xdr:rowOff>56880</xdr:rowOff>
    </xdr:from>
    <xdr:to>
      <xdr:col>14</xdr:col>
      <xdr:colOff>754200</xdr:colOff>
      <xdr:row>32</xdr:row>
      <xdr:rowOff>58680</xdr:rowOff>
    </xdr:to>
    <xdr:grpSp>
      <xdr:nvGrpSpPr>
        <xdr:cNvPr id="653" name="Shape 2"/>
        <xdr:cNvGrpSpPr/>
      </xdr:nvGrpSpPr>
      <xdr:grpSpPr>
        <a:xfrm>
          <a:off x="8976240" y="5057640"/>
          <a:ext cx="640080" cy="1800"/>
          <a:chOff x="8976240" y="5057640"/>
          <a:chExt cx="640080" cy="1800"/>
        </a:xfrm>
      </xdr:grpSpPr>
      <xdr:cxnSp>
        <xdr:nvCxnSpPr>
          <xdr:cNvPr id="654" name="Shape 39"/>
          <xdr:cNvCxnSpPr/>
        </xdr:nvCxnSpPr>
        <xdr:spPr>
          <a:xfrm flipH="1">
            <a:off x="8976240" y="5057640"/>
            <a:ext cx="640440" cy="2160"/>
          </a:xfrm>
          <a:prstGeom prst="straightConnector1">
            <a:avLst/>
          </a:prstGeom>
          <a:ln w="9525">
            <a:solidFill>
              <a:srgbClr val="000000"/>
            </a:solidFill>
            <a:miter/>
            <a:tailEnd len="med" type="triangle" w="med"/>
          </a:ln>
        </xdr:spPr>
      </xdr:cxnSp>
    </xdr:grpSp>
    <xdr:clientData/>
  </xdr:twoCellAnchor>
  <xdr:twoCellAnchor editAs="oneCell">
    <xdr:from>
      <xdr:col>10</xdr:col>
      <xdr:colOff>38160</xdr:colOff>
      <xdr:row>95</xdr:row>
      <xdr:rowOff>0</xdr:rowOff>
    </xdr:from>
    <xdr:to>
      <xdr:col>10</xdr:col>
      <xdr:colOff>273960</xdr:colOff>
      <xdr:row>97</xdr:row>
      <xdr:rowOff>122040</xdr:rowOff>
    </xdr:to>
    <xdr:sp>
      <xdr:nvSpPr>
        <xdr:cNvPr id="655" name="Shape 376"/>
        <xdr:cNvSpPr/>
      </xdr:nvSpPr>
      <xdr:spPr>
        <a:xfrm>
          <a:off x="6395760" y="14706720"/>
          <a:ext cx="235800" cy="42660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10</xdr:col>
      <xdr:colOff>247320</xdr:colOff>
      <xdr:row>96</xdr:row>
      <xdr:rowOff>56880</xdr:rowOff>
    </xdr:from>
    <xdr:to>
      <xdr:col>10</xdr:col>
      <xdr:colOff>563760</xdr:colOff>
      <xdr:row>96</xdr:row>
      <xdr:rowOff>58680</xdr:rowOff>
    </xdr:to>
    <xdr:grpSp>
      <xdr:nvGrpSpPr>
        <xdr:cNvPr id="656" name="Shape 2"/>
        <xdr:cNvGrpSpPr/>
      </xdr:nvGrpSpPr>
      <xdr:grpSpPr>
        <a:xfrm>
          <a:off x="6604920" y="14915880"/>
          <a:ext cx="316440" cy="1800"/>
          <a:chOff x="6604920" y="14915880"/>
          <a:chExt cx="316440" cy="1800"/>
        </a:xfrm>
      </xdr:grpSpPr>
      <xdr:cxnSp>
        <xdr:nvCxnSpPr>
          <xdr:cNvPr id="657" name="Shape 377"/>
          <xdr:cNvCxnSpPr/>
        </xdr:nvCxnSpPr>
        <xdr:spPr>
          <a:xfrm flipH="1">
            <a:off x="6604920" y="14915880"/>
            <a:ext cx="316800" cy="2160"/>
          </a:xfrm>
          <a:prstGeom prst="straightConnector1">
            <a:avLst/>
          </a:prstGeom>
          <a:ln w="9525">
            <a:solidFill>
              <a:srgbClr val="000000"/>
            </a:solidFill>
            <a:miter/>
            <a:tailEnd len="med" type="triangle" w="med"/>
          </a:ln>
        </xdr:spPr>
      </xdr:cxnSp>
    </xdr:grpSp>
    <xdr:clientData/>
  </xdr:twoCellAnchor>
  <xdr:twoCellAnchor editAs="oneCell">
    <xdr:from>
      <xdr:col>10</xdr:col>
      <xdr:colOff>38160</xdr:colOff>
      <xdr:row>84</xdr:row>
      <xdr:rowOff>0</xdr:rowOff>
    </xdr:from>
    <xdr:to>
      <xdr:col>10</xdr:col>
      <xdr:colOff>273960</xdr:colOff>
      <xdr:row>86</xdr:row>
      <xdr:rowOff>121680</xdr:rowOff>
    </xdr:to>
    <xdr:sp>
      <xdr:nvSpPr>
        <xdr:cNvPr id="658" name="Shape 376"/>
        <xdr:cNvSpPr/>
      </xdr:nvSpPr>
      <xdr:spPr>
        <a:xfrm>
          <a:off x="6395760" y="13030200"/>
          <a:ext cx="235800" cy="426600"/>
        </a:xfrm>
        <a:prstGeom prst="righ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285480</xdr:colOff>
      <xdr:row>35</xdr:row>
      <xdr:rowOff>9360</xdr:rowOff>
    </xdr:from>
    <xdr:to>
      <xdr:col>3</xdr:col>
      <xdr:colOff>287280</xdr:colOff>
      <xdr:row>37</xdr:row>
      <xdr:rowOff>11160</xdr:rowOff>
    </xdr:to>
    <xdr:grpSp>
      <xdr:nvGrpSpPr>
        <xdr:cNvPr id="659" name="Shape 2"/>
        <xdr:cNvGrpSpPr/>
      </xdr:nvGrpSpPr>
      <xdr:grpSpPr>
        <a:xfrm>
          <a:off x="2250720" y="5457600"/>
          <a:ext cx="1800" cy="306720"/>
          <a:chOff x="2250720" y="5457600"/>
          <a:chExt cx="1800" cy="306720"/>
        </a:xfrm>
      </xdr:grpSpPr>
      <xdr:cxnSp>
        <xdr:nvCxnSpPr>
          <xdr:cNvPr id="660" name="Shape 160"/>
          <xdr:cNvCxnSpPr/>
        </xdr:nvCxnSpPr>
        <xdr:spPr>
          <a:xfrm flipV="1">
            <a:off x="2250720" y="5457600"/>
            <a:ext cx="2160" cy="307080"/>
          </a:xfrm>
          <a:prstGeom prst="straightConnector1">
            <a:avLst/>
          </a:prstGeom>
          <a:ln w="9525">
            <a:solidFill>
              <a:srgbClr val="ff0000"/>
            </a:solidFill>
            <a:miter/>
            <a:tailEnd len="med" type="triangle" w="med"/>
          </a:ln>
        </xdr:spPr>
      </xdr:cxnSp>
    </xdr:grpSp>
    <xdr:clientData/>
  </xdr:twoCellAnchor>
  <xdr:twoCellAnchor editAs="oneCell">
    <xdr:from>
      <xdr:col>3</xdr:col>
      <xdr:colOff>266400</xdr:colOff>
      <xdr:row>48</xdr:row>
      <xdr:rowOff>9360</xdr:rowOff>
    </xdr:from>
    <xdr:to>
      <xdr:col>3</xdr:col>
      <xdr:colOff>306360</xdr:colOff>
      <xdr:row>50</xdr:row>
      <xdr:rowOff>1800</xdr:rowOff>
    </xdr:to>
    <xdr:grpSp>
      <xdr:nvGrpSpPr>
        <xdr:cNvPr id="661" name="Shape 2"/>
        <xdr:cNvGrpSpPr/>
      </xdr:nvGrpSpPr>
      <xdr:grpSpPr>
        <a:xfrm>
          <a:off x="2231640" y="7439040"/>
          <a:ext cx="39960" cy="297000"/>
          <a:chOff x="2231640" y="7439040"/>
          <a:chExt cx="39960" cy="297000"/>
        </a:xfrm>
      </xdr:grpSpPr>
      <xdr:cxnSp>
        <xdr:nvCxnSpPr>
          <xdr:cNvPr id="662" name="Shape 378"/>
          <xdr:cNvCxnSpPr/>
        </xdr:nvCxnSpPr>
        <xdr:spPr>
          <a:xfrm flipV="1">
            <a:off x="2231640" y="7439040"/>
            <a:ext cx="40320" cy="297360"/>
          </a:xfrm>
          <a:prstGeom prst="straightConnector1">
            <a:avLst/>
          </a:prstGeom>
          <a:ln w="9525">
            <a:solidFill>
              <a:srgbClr val="ff0000"/>
            </a:solidFill>
            <a:miter/>
            <a:tailEnd len="med" type="triangle" w="med"/>
          </a:ln>
        </xdr:spPr>
      </xdr:cxnSp>
    </xdr:grpSp>
    <xdr:clientData/>
  </xdr:twoCellAnchor>
  <xdr:twoCellAnchor editAs="oneCell">
    <xdr:from>
      <xdr:col>4</xdr:col>
      <xdr:colOff>361800</xdr:colOff>
      <xdr:row>20</xdr:row>
      <xdr:rowOff>66600</xdr:rowOff>
    </xdr:from>
    <xdr:to>
      <xdr:col>4</xdr:col>
      <xdr:colOff>573120</xdr:colOff>
      <xdr:row>20</xdr:row>
      <xdr:rowOff>68400</xdr:rowOff>
    </xdr:to>
    <xdr:grpSp>
      <xdr:nvGrpSpPr>
        <xdr:cNvPr id="663" name="Shape 2"/>
        <xdr:cNvGrpSpPr/>
      </xdr:nvGrpSpPr>
      <xdr:grpSpPr>
        <a:xfrm>
          <a:off x="2953080" y="3200400"/>
          <a:ext cx="211320" cy="1800"/>
          <a:chOff x="2953080" y="3200400"/>
          <a:chExt cx="211320" cy="1800"/>
        </a:xfrm>
      </xdr:grpSpPr>
      <xdr:cxnSp>
        <xdr:nvCxnSpPr>
          <xdr:cNvPr id="664" name="Shape 379"/>
          <xdr:cNvCxnSpPr/>
        </xdr:nvCxnSpPr>
        <xdr:spPr>
          <a:xfrm flipH="1">
            <a:off x="2953080" y="3200400"/>
            <a:ext cx="211680" cy="2160"/>
          </a:xfrm>
          <a:prstGeom prst="straightConnector1">
            <a:avLst/>
          </a:prstGeom>
          <a:ln w="9525">
            <a:solidFill>
              <a:srgbClr val="000000"/>
            </a:solidFill>
            <a:miter/>
            <a:tailEnd len="med" type="triangle" w="med"/>
          </a:ln>
        </xdr:spPr>
      </xdr:cxnSp>
    </xdr:grp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780840</xdr:colOff>
      <xdr:row>1</xdr:row>
      <xdr:rowOff>28440</xdr:rowOff>
    </xdr:from>
    <xdr:to>
      <xdr:col>4</xdr:col>
      <xdr:colOff>992160</xdr:colOff>
      <xdr:row>1</xdr:row>
      <xdr:rowOff>30240</xdr:rowOff>
    </xdr:to>
    <xdr:grpSp>
      <xdr:nvGrpSpPr>
        <xdr:cNvPr id="665" name="Shape 2"/>
        <xdr:cNvGrpSpPr/>
      </xdr:nvGrpSpPr>
      <xdr:grpSpPr>
        <a:xfrm>
          <a:off x="6862320" y="257040"/>
          <a:ext cx="211320" cy="1800"/>
          <a:chOff x="6862320" y="257040"/>
          <a:chExt cx="211320" cy="1800"/>
        </a:xfrm>
      </xdr:grpSpPr>
      <xdr:cxnSp>
        <xdr:nvCxnSpPr>
          <xdr:cNvPr id="666" name="Shape 380"/>
          <xdr:cNvCxnSpPr/>
        </xdr:nvCxnSpPr>
        <xdr:spPr>
          <a:xfrm>
            <a:off x="6862320" y="257040"/>
            <a:ext cx="211680" cy="2160"/>
          </a:xfrm>
          <a:prstGeom prst="straightConnector1">
            <a:avLst/>
          </a:prstGeom>
          <a:ln w="9525">
            <a:solidFill>
              <a:srgbClr val="ff0000"/>
            </a:solidFill>
            <a:miter/>
          </a:ln>
        </xdr:spPr>
      </xdr:cxnSp>
    </xdr:grpSp>
    <xdr:clientData/>
  </xdr:twoCellAnchor>
  <xdr:twoCellAnchor editAs="oneCell">
    <xdr:from>
      <xdr:col>4</xdr:col>
      <xdr:colOff>990360</xdr:colOff>
      <xdr:row>1</xdr:row>
      <xdr:rowOff>47520</xdr:rowOff>
    </xdr:from>
    <xdr:to>
      <xdr:col>4</xdr:col>
      <xdr:colOff>992160</xdr:colOff>
      <xdr:row>1</xdr:row>
      <xdr:rowOff>144360</xdr:rowOff>
    </xdr:to>
    <xdr:grpSp>
      <xdr:nvGrpSpPr>
        <xdr:cNvPr id="667" name="Shape 2"/>
        <xdr:cNvGrpSpPr/>
      </xdr:nvGrpSpPr>
      <xdr:grpSpPr>
        <a:xfrm>
          <a:off x="7071840" y="276120"/>
          <a:ext cx="1800" cy="96840"/>
          <a:chOff x="7071840" y="276120"/>
          <a:chExt cx="1800" cy="96840"/>
        </a:xfrm>
      </xdr:grpSpPr>
      <xdr:cxnSp>
        <xdr:nvCxnSpPr>
          <xdr:cNvPr id="668" name="Shape 381"/>
          <xdr:cNvCxnSpPr/>
        </xdr:nvCxnSpPr>
        <xdr:spPr>
          <a:xfrm>
            <a:off x="7071840" y="276120"/>
            <a:ext cx="2160" cy="97200"/>
          </a:xfrm>
          <a:prstGeom prst="straightConnector1">
            <a:avLst/>
          </a:prstGeom>
          <a:ln w="9525">
            <a:solidFill>
              <a:srgbClr val="ff0000"/>
            </a:solidFill>
            <a:miter/>
            <a:tailEnd len="med" type="triangle" w="med"/>
          </a:ln>
        </xdr:spPr>
      </xdr:cxnSp>
    </xdr:grpSp>
    <xdr:clientData/>
  </xdr:twoCellAnchor>
  <xdr:twoCellAnchor editAs="oneCell">
    <xdr:from>
      <xdr:col>5</xdr:col>
      <xdr:colOff>819000</xdr:colOff>
      <xdr:row>1</xdr:row>
      <xdr:rowOff>37800</xdr:rowOff>
    </xdr:from>
    <xdr:to>
      <xdr:col>5</xdr:col>
      <xdr:colOff>1001880</xdr:colOff>
      <xdr:row>1</xdr:row>
      <xdr:rowOff>39600</xdr:rowOff>
    </xdr:to>
    <xdr:grpSp>
      <xdr:nvGrpSpPr>
        <xdr:cNvPr id="669" name="Shape 2"/>
        <xdr:cNvGrpSpPr/>
      </xdr:nvGrpSpPr>
      <xdr:grpSpPr>
        <a:xfrm>
          <a:off x="8362800" y="266400"/>
          <a:ext cx="182880" cy="1800"/>
          <a:chOff x="8362800" y="266400"/>
          <a:chExt cx="182880" cy="1800"/>
        </a:xfrm>
      </xdr:grpSpPr>
      <xdr:cxnSp>
        <xdr:nvCxnSpPr>
          <xdr:cNvPr id="670" name="Shape 382"/>
          <xdr:cNvCxnSpPr/>
        </xdr:nvCxnSpPr>
        <xdr:spPr>
          <a:xfrm>
            <a:off x="8362800" y="266400"/>
            <a:ext cx="183240" cy="2160"/>
          </a:xfrm>
          <a:prstGeom prst="straightConnector1">
            <a:avLst/>
          </a:prstGeom>
          <a:ln w="9525">
            <a:solidFill>
              <a:srgbClr val="000000"/>
            </a:solidFill>
            <a:miter/>
          </a:ln>
        </xdr:spPr>
      </xdr:cxnSp>
    </xdr:grpSp>
    <xdr:clientData/>
  </xdr:twoCellAnchor>
  <xdr:twoCellAnchor editAs="oneCell">
    <xdr:from>
      <xdr:col>5</xdr:col>
      <xdr:colOff>1000080</xdr:colOff>
      <xdr:row>1</xdr:row>
      <xdr:rowOff>56880</xdr:rowOff>
    </xdr:from>
    <xdr:to>
      <xdr:col>5</xdr:col>
      <xdr:colOff>1001880</xdr:colOff>
      <xdr:row>1</xdr:row>
      <xdr:rowOff>144360</xdr:rowOff>
    </xdr:to>
    <xdr:grpSp>
      <xdr:nvGrpSpPr>
        <xdr:cNvPr id="671" name="Shape 2"/>
        <xdr:cNvGrpSpPr/>
      </xdr:nvGrpSpPr>
      <xdr:grpSpPr>
        <a:xfrm>
          <a:off x="8543880" y="285480"/>
          <a:ext cx="1800" cy="87480"/>
          <a:chOff x="8543880" y="285480"/>
          <a:chExt cx="1800" cy="87480"/>
        </a:xfrm>
      </xdr:grpSpPr>
      <xdr:cxnSp>
        <xdr:nvCxnSpPr>
          <xdr:cNvPr id="672" name="Shape 189"/>
          <xdr:cNvCxnSpPr/>
        </xdr:nvCxnSpPr>
        <xdr:spPr>
          <a:xfrm>
            <a:off x="8543880" y="285480"/>
            <a:ext cx="2160" cy="87840"/>
          </a:xfrm>
          <a:prstGeom prst="straightConnector1">
            <a:avLst/>
          </a:prstGeom>
          <a:ln w="9525">
            <a:solidFill>
              <a:srgbClr val="000000"/>
            </a:solidFill>
            <a:miter/>
            <a:tailEnd len="med" type="triangle" w="med"/>
          </a:ln>
        </xdr:spPr>
      </xdr:cxnSp>
    </xdr:grpSp>
    <xdr:clientData/>
  </xdr:twoCellAnchor>
  <xdr:twoCellAnchor editAs="oneCell">
    <xdr:from>
      <xdr:col>6</xdr:col>
      <xdr:colOff>438120</xdr:colOff>
      <xdr:row>1</xdr:row>
      <xdr:rowOff>37800</xdr:rowOff>
    </xdr:from>
    <xdr:to>
      <xdr:col>7</xdr:col>
      <xdr:colOff>242280</xdr:colOff>
      <xdr:row>1</xdr:row>
      <xdr:rowOff>39600</xdr:rowOff>
    </xdr:to>
    <xdr:grpSp>
      <xdr:nvGrpSpPr>
        <xdr:cNvPr id="673" name="Shape 2"/>
        <xdr:cNvGrpSpPr/>
      </xdr:nvGrpSpPr>
      <xdr:grpSpPr>
        <a:xfrm>
          <a:off x="9665280" y="266400"/>
          <a:ext cx="430200" cy="1800"/>
          <a:chOff x="9665280" y="266400"/>
          <a:chExt cx="430200" cy="1800"/>
        </a:xfrm>
      </xdr:grpSpPr>
      <xdr:cxnSp>
        <xdr:nvCxnSpPr>
          <xdr:cNvPr id="674" name="Shape 383"/>
          <xdr:cNvCxnSpPr/>
        </xdr:nvCxnSpPr>
        <xdr:spPr>
          <a:xfrm>
            <a:off x="9665280" y="266400"/>
            <a:ext cx="430560" cy="2160"/>
          </a:xfrm>
          <a:prstGeom prst="straightConnector1">
            <a:avLst/>
          </a:prstGeom>
          <a:ln w="9525">
            <a:solidFill>
              <a:srgbClr val="000000"/>
            </a:solidFill>
            <a:miter/>
          </a:ln>
        </xdr:spPr>
      </xdr:cxnSp>
    </xdr:grpSp>
    <xdr:clientData/>
  </xdr:twoCellAnchor>
  <xdr:twoCellAnchor editAs="oneCell">
    <xdr:from>
      <xdr:col>7</xdr:col>
      <xdr:colOff>257040</xdr:colOff>
      <xdr:row>1</xdr:row>
      <xdr:rowOff>56880</xdr:rowOff>
    </xdr:from>
    <xdr:to>
      <xdr:col>7</xdr:col>
      <xdr:colOff>297000</xdr:colOff>
      <xdr:row>2</xdr:row>
      <xdr:rowOff>1440</xdr:rowOff>
    </xdr:to>
    <xdr:grpSp>
      <xdr:nvGrpSpPr>
        <xdr:cNvPr id="675" name="Shape 2"/>
        <xdr:cNvGrpSpPr/>
      </xdr:nvGrpSpPr>
      <xdr:grpSpPr>
        <a:xfrm>
          <a:off x="10110240" y="285480"/>
          <a:ext cx="39960" cy="106560"/>
          <a:chOff x="10110240" y="285480"/>
          <a:chExt cx="39960" cy="106560"/>
        </a:xfrm>
      </xdr:grpSpPr>
      <xdr:cxnSp>
        <xdr:nvCxnSpPr>
          <xdr:cNvPr id="676" name="Shape 384"/>
          <xdr:cNvCxnSpPr/>
        </xdr:nvCxnSpPr>
        <xdr:spPr>
          <a:xfrm>
            <a:off x="10110240" y="285480"/>
            <a:ext cx="40320" cy="106920"/>
          </a:xfrm>
          <a:prstGeom prst="straightConnector1">
            <a:avLst/>
          </a:prstGeom>
          <a:ln w="9525">
            <a:solidFill>
              <a:srgbClr val="000000"/>
            </a:solidFill>
            <a:miter/>
            <a:tailEnd len="med" type="triangle" w="med"/>
          </a:ln>
        </xdr:spPr>
      </xdr:cxnSp>
    </xdr:grpSp>
    <xdr:clientData/>
  </xdr:twoCellAnchor>
  <xdr:twoCellAnchor editAs="oneCell">
    <xdr:from>
      <xdr:col>4</xdr:col>
      <xdr:colOff>780840</xdr:colOff>
      <xdr:row>28</xdr:row>
      <xdr:rowOff>28440</xdr:rowOff>
    </xdr:from>
    <xdr:to>
      <xdr:col>4</xdr:col>
      <xdr:colOff>992160</xdr:colOff>
      <xdr:row>28</xdr:row>
      <xdr:rowOff>30240</xdr:rowOff>
    </xdr:to>
    <xdr:grpSp>
      <xdr:nvGrpSpPr>
        <xdr:cNvPr id="677" name="Shape 2"/>
        <xdr:cNvGrpSpPr/>
      </xdr:nvGrpSpPr>
      <xdr:grpSpPr>
        <a:xfrm>
          <a:off x="6862320" y="5248080"/>
          <a:ext cx="211320" cy="1800"/>
          <a:chOff x="6862320" y="5248080"/>
          <a:chExt cx="211320" cy="1800"/>
        </a:xfrm>
      </xdr:grpSpPr>
      <xdr:cxnSp>
        <xdr:nvCxnSpPr>
          <xdr:cNvPr id="678" name="Shape 380"/>
          <xdr:cNvCxnSpPr/>
        </xdr:nvCxnSpPr>
        <xdr:spPr>
          <a:xfrm>
            <a:off x="6862320" y="5248080"/>
            <a:ext cx="211680" cy="2160"/>
          </a:xfrm>
          <a:prstGeom prst="straightConnector1">
            <a:avLst/>
          </a:prstGeom>
          <a:ln w="9525">
            <a:solidFill>
              <a:srgbClr val="ff0000"/>
            </a:solidFill>
            <a:miter/>
          </a:ln>
        </xdr:spPr>
      </xdr:cxnSp>
    </xdr:grpSp>
    <xdr:clientData/>
  </xdr:twoCellAnchor>
  <xdr:twoCellAnchor editAs="oneCell">
    <xdr:from>
      <xdr:col>4</xdr:col>
      <xdr:colOff>990360</xdr:colOff>
      <xdr:row>28</xdr:row>
      <xdr:rowOff>47520</xdr:rowOff>
    </xdr:from>
    <xdr:to>
      <xdr:col>4</xdr:col>
      <xdr:colOff>992160</xdr:colOff>
      <xdr:row>28</xdr:row>
      <xdr:rowOff>144360</xdr:rowOff>
    </xdr:to>
    <xdr:grpSp>
      <xdr:nvGrpSpPr>
        <xdr:cNvPr id="679" name="Shape 2"/>
        <xdr:cNvGrpSpPr/>
      </xdr:nvGrpSpPr>
      <xdr:grpSpPr>
        <a:xfrm>
          <a:off x="7071840" y="5267160"/>
          <a:ext cx="1800" cy="96840"/>
          <a:chOff x="7071840" y="5267160"/>
          <a:chExt cx="1800" cy="96840"/>
        </a:xfrm>
      </xdr:grpSpPr>
      <xdr:cxnSp>
        <xdr:nvCxnSpPr>
          <xdr:cNvPr id="680" name="Shape 381"/>
          <xdr:cNvCxnSpPr/>
        </xdr:nvCxnSpPr>
        <xdr:spPr>
          <a:xfrm>
            <a:off x="7071840" y="5267160"/>
            <a:ext cx="2160" cy="97200"/>
          </a:xfrm>
          <a:prstGeom prst="straightConnector1">
            <a:avLst/>
          </a:prstGeom>
          <a:ln w="9525">
            <a:solidFill>
              <a:srgbClr val="ff0000"/>
            </a:solidFill>
            <a:miter/>
            <a:tailEnd len="med" type="triangle" w="med"/>
          </a:ln>
        </xdr:spPr>
      </xdr:cxnSp>
    </xdr:grpSp>
    <xdr:clientData/>
  </xdr:twoCellAnchor>
  <xdr:twoCellAnchor editAs="oneCell">
    <xdr:from>
      <xdr:col>5</xdr:col>
      <xdr:colOff>819000</xdr:colOff>
      <xdr:row>28</xdr:row>
      <xdr:rowOff>37800</xdr:rowOff>
    </xdr:from>
    <xdr:to>
      <xdr:col>5</xdr:col>
      <xdr:colOff>1001880</xdr:colOff>
      <xdr:row>28</xdr:row>
      <xdr:rowOff>39600</xdr:rowOff>
    </xdr:to>
    <xdr:grpSp>
      <xdr:nvGrpSpPr>
        <xdr:cNvPr id="681" name="Shape 2"/>
        <xdr:cNvGrpSpPr/>
      </xdr:nvGrpSpPr>
      <xdr:grpSpPr>
        <a:xfrm>
          <a:off x="8362800" y="5257440"/>
          <a:ext cx="182880" cy="1800"/>
          <a:chOff x="8362800" y="5257440"/>
          <a:chExt cx="182880" cy="1800"/>
        </a:xfrm>
      </xdr:grpSpPr>
      <xdr:cxnSp>
        <xdr:nvCxnSpPr>
          <xdr:cNvPr id="682" name="Shape 382"/>
          <xdr:cNvCxnSpPr/>
        </xdr:nvCxnSpPr>
        <xdr:spPr>
          <a:xfrm>
            <a:off x="8362800" y="5257440"/>
            <a:ext cx="183240" cy="2160"/>
          </a:xfrm>
          <a:prstGeom prst="straightConnector1">
            <a:avLst/>
          </a:prstGeom>
          <a:ln w="9525">
            <a:solidFill>
              <a:srgbClr val="000000"/>
            </a:solidFill>
            <a:miter/>
          </a:ln>
        </xdr:spPr>
      </xdr:cxnSp>
    </xdr:grpSp>
    <xdr:clientData/>
  </xdr:twoCellAnchor>
  <xdr:twoCellAnchor editAs="oneCell">
    <xdr:from>
      <xdr:col>5</xdr:col>
      <xdr:colOff>1000080</xdr:colOff>
      <xdr:row>28</xdr:row>
      <xdr:rowOff>56880</xdr:rowOff>
    </xdr:from>
    <xdr:to>
      <xdr:col>5</xdr:col>
      <xdr:colOff>1001880</xdr:colOff>
      <xdr:row>28</xdr:row>
      <xdr:rowOff>144360</xdr:rowOff>
    </xdr:to>
    <xdr:grpSp>
      <xdr:nvGrpSpPr>
        <xdr:cNvPr id="683" name="Shape 2"/>
        <xdr:cNvGrpSpPr/>
      </xdr:nvGrpSpPr>
      <xdr:grpSpPr>
        <a:xfrm>
          <a:off x="8543880" y="5276520"/>
          <a:ext cx="1800" cy="87480"/>
          <a:chOff x="8543880" y="5276520"/>
          <a:chExt cx="1800" cy="87480"/>
        </a:xfrm>
      </xdr:grpSpPr>
      <xdr:cxnSp>
        <xdr:nvCxnSpPr>
          <xdr:cNvPr id="684" name="Shape 189"/>
          <xdr:cNvCxnSpPr/>
        </xdr:nvCxnSpPr>
        <xdr:spPr>
          <a:xfrm>
            <a:off x="8543880" y="5276520"/>
            <a:ext cx="2160" cy="87840"/>
          </a:xfrm>
          <a:prstGeom prst="straightConnector1">
            <a:avLst/>
          </a:prstGeom>
          <a:ln w="9525">
            <a:solidFill>
              <a:srgbClr val="000000"/>
            </a:solidFill>
            <a:miter/>
            <a:tailEnd len="med" type="triangle" w="med"/>
          </a:ln>
        </xdr:spPr>
      </xdr:cxnSp>
    </xdr:grpSp>
    <xdr:clientData/>
  </xdr:twoCellAnchor>
  <xdr:twoCellAnchor editAs="oneCell">
    <xdr:from>
      <xdr:col>6</xdr:col>
      <xdr:colOff>438120</xdr:colOff>
      <xdr:row>28</xdr:row>
      <xdr:rowOff>37800</xdr:rowOff>
    </xdr:from>
    <xdr:to>
      <xdr:col>7</xdr:col>
      <xdr:colOff>242280</xdr:colOff>
      <xdr:row>28</xdr:row>
      <xdr:rowOff>39600</xdr:rowOff>
    </xdr:to>
    <xdr:grpSp>
      <xdr:nvGrpSpPr>
        <xdr:cNvPr id="685" name="Shape 2"/>
        <xdr:cNvGrpSpPr/>
      </xdr:nvGrpSpPr>
      <xdr:grpSpPr>
        <a:xfrm>
          <a:off x="9665280" y="5257440"/>
          <a:ext cx="430200" cy="1800"/>
          <a:chOff x="9665280" y="5257440"/>
          <a:chExt cx="430200" cy="1800"/>
        </a:xfrm>
      </xdr:grpSpPr>
      <xdr:cxnSp>
        <xdr:nvCxnSpPr>
          <xdr:cNvPr id="686" name="Shape 383"/>
          <xdr:cNvCxnSpPr/>
        </xdr:nvCxnSpPr>
        <xdr:spPr>
          <a:xfrm>
            <a:off x="9665280" y="5257440"/>
            <a:ext cx="430560" cy="2160"/>
          </a:xfrm>
          <a:prstGeom prst="straightConnector1">
            <a:avLst/>
          </a:prstGeom>
          <a:ln w="9525">
            <a:solidFill>
              <a:srgbClr val="000000"/>
            </a:solidFill>
            <a:miter/>
          </a:ln>
        </xdr:spPr>
      </xdr:cxnSp>
    </xdr:grpSp>
    <xdr:clientData/>
  </xdr:twoCellAnchor>
  <xdr:twoCellAnchor editAs="oneCell">
    <xdr:from>
      <xdr:col>7</xdr:col>
      <xdr:colOff>257040</xdr:colOff>
      <xdr:row>28</xdr:row>
      <xdr:rowOff>56880</xdr:rowOff>
    </xdr:from>
    <xdr:to>
      <xdr:col>7</xdr:col>
      <xdr:colOff>297000</xdr:colOff>
      <xdr:row>29</xdr:row>
      <xdr:rowOff>1440</xdr:rowOff>
    </xdr:to>
    <xdr:grpSp>
      <xdr:nvGrpSpPr>
        <xdr:cNvPr id="687" name="Shape 2"/>
        <xdr:cNvGrpSpPr/>
      </xdr:nvGrpSpPr>
      <xdr:grpSpPr>
        <a:xfrm>
          <a:off x="10110240" y="5276520"/>
          <a:ext cx="39960" cy="106560"/>
          <a:chOff x="10110240" y="5276520"/>
          <a:chExt cx="39960" cy="106560"/>
        </a:xfrm>
      </xdr:grpSpPr>
      <xdr:cxnSp>
        <xdr:nvCxnSpPr>
          <xdr:cNvPr id="688" name="Shape 384"/>
          <xdr:cNvCxnSpPr/>
        </xdr:nvCxnSpPr>
        <xdr:spPr>
          <a:xfrm>
            <a:off x="10110240" y="5276520"/>
            <a:ext cx="40320" cy="106920"/>
          </a:xfrm>
          <a:prstGeom prst="straightConnector1">
            <a:avLst/>
          </a:prstGeom>
          <a:ln w="9525">
            <a:solidFill>
              <a:srgbClr val="000000"/>
            </a:solidFill>
            <a:miter/>
            <a:tailEnd len="med" type="triangle" w="med"/>
          </a:ln>
        </xdr:spPr>
      </xdr:cxnSp>
    </xdr:grpSp>
    <xdr:clientData/>
  </xdr:twoCellAnchor>
  <xdr:twoCellAnchor editAs="oneCell">
    <xdr:from>
      <xdr:col>3</xdr:col>
      <xdr:colOff>2323800</xdr:colOff>
      <xdr:row>51</xdr:row>
      <xdr:rowOff>66600</xdr:rowOff>
    </xdr:from>
    <xdr:to>
      <xdr:col>3</xdr:col>
      <xdr:colOff>3135240</xdr:colOff>
      <xdr:row>51</xdr:row>
      <xdr:rowOff>68400</xdr:rowOff>
    </xdr:to>
    <xdr:grpSp>
      <xdr:nvGrpSpPr>
        <xdr:cNvPr id="689" name="Shape 2"/>
        <xdr:cNvGrpSpPr/>
      </xdr:nvGrpSpPr>
      <xdr:grpSpPr>
        <a:xfrm>
          <a:off x="5038560" y="9629640"/>
          <a:ext cx="811440" cy="1800"/>
          <a:chOff x="5038560" y="9629640"/>
          <a:chExt cx="811440" cy="1800"/>
        </a:xfrm>
      </xdr:grpSpPr>
      <xdr:cxnSp>
        <xdr:nvCxnSpPr>
          <xdr:cNvPr id="690" name="Shape 385"/>
          <xdr:cNvCxnSpPr/>
        </xdr:nvCxnSpPr>
        <xdr:spPr>
          <a:xfrm>
            <a:off x="5038560" y="9629640"/>
            <a:ext cx="811800" cy="2160"/>
          </a:xfrm>
          <a:prstGeom prst="straightConnector1">
            <a:avLst/>
          </a:prstGeom>
          <a:ln w="9525">
            <a:solidFill>
              <a:srgbClr val="ff0000"/>
            </a:solidFill>
            <a:miter/>
          </a:ln>
        </xdr:spPr>
      </xdr:cxnSp>
    </xdr:grpSp>
    <xdr:clientData/>
  </xdr:twoCellAnchor>
  <xdr:twoCellAnchor editAs="oneCell">
    <xdr:from>
      <xdr:col>4</xdr:col>
      <xdr:colOff>647640</xdr:colOff>
      <xdr:row>51</xdr:row>
      <xdr:rowOff>85680</xdr:rowOff>
    </xdr:from>
    <xdr:to>
      <xdr:col>4</xdr:col>
      <xdr:colOff>649440</xdr:colOff>
      <xdr:row>52</xdr:row>
      <xdr:rowOff>11160</xdr:rowOff>
    </xdr:to>
    <xdr:grpSp>
      <xdr:nvGrpSpPr>
        <xdr:cNvPr id="691" name="Shape 2"/>
        <xdr:cNvGrpSpPr/>
      </xdr:nvGrpSpPr>
      <xdr:grpSpPr>
        <a:xfrm>
          <a:off x="6729120" y="9648720"/>
          <a:ext cx="1800" cy="87480"/>
          <a:chOff x="6729120" y="9648720"/>
          <a:chExt cx="1800" cy="87480"/>
        </a:xfrm>
      </xdr:grpSpPr>
      <xdr:cxnSp>
        <xdr:nvCxnSpPr>
          <xdr:cNvPr id="692" name="Shape 386"/>
          <xdr:cNvCxnSpPr/>
        </xdr:nvCxnSpPr>
        <xdr:spPr>
          <a:xfrm>
            <a:off x="6729120" y="9648720"/>
            <a:ext cx="2160" cy="87840"/>
          </a:xfrm>
          <a:prstGeom prst="straightConnector1">
            <a:avLst/>
          </a:prstGeom>
          <a:ln w="9525">
            <a:solidFill>
              <a:srgbClr val="ff0000"/>
            </a:solidFill>
            <a:miter/>
            <a:tailEnd len="med" type="triangle" w="med"/>
          </a:ln>
        </xdr:spPr>
      </xdr:cxnSp>
    </xdr:grpSp>
    <xdr:clientData/>
  </xdr:twoCellAnchor>
  <xdr:twoCellAnchor editAs="oneCell">
    <xdr:from>
      <xdr:col>3</xdr:col>
      <xdr:colOff>2323800</xdr:colOff>
      <xdr:row>23</xdr:row>
      <xdr:rowOff>66600</xdr:rowOff>
    </xdr:from>
    <xdr:to>
      <xdr:col>3</xdr:col>
      <xdr:colOff>3135240</xdr:colOff>
      <xdr:row>23</xdr:row>
      <xdr:rowOff>68400</xdr:rowOff>
    </xdr:to>
    <xdr:grpSp>
      <xdr:nvGrpSpPr>
        <xdr:cNvPr id="693" name="Shape 2"/>
        <xdr:cNvGrpSpPr/>
      </xdr:nvGrpSpPr>
      <xdr:grpSpPr>
        <a:xfrm>
          <a:off x="5038560" y="4448160"/>
          <a:ext cx="811440" cy="1800"/>
          <a:chOff x="5038560" y="4448160"/>
          <a:chExt cx="811440" cy="1800"/>
        </a:xfrm>
      </xdr:grpSpPr>
      <xdr:cxnSp>
        <xdr:nvCxnSpPr>
          <xdr:cNvPr id="694" name="Shape 385"/>
          <xdr:cNvCxnSpPr/>
        </xdr:nvCxnSpPr>
        <xdr:spPr>
          <a:xfrm>
            <a:off x="5038560" y="4448160"/>
            <a:ext cx="811800" cy="2160"/>
          </a:xfrm>
          <a:prstGeom prst="straightConnector1">
            <a:avLst/>
          </a:prstGeom>
          <a:ln w="9525">
            <a:solidFill>
              <a:srgbClr val="ff0000"/>
            </a:solidFill>
            <a:miter/>
          </a:ln>
        </xdr:spPr>
      </xdr:cxnSp>
    </xdr:grpSp>
    <xdr:clientData/>
  </xdr:twoCellAnchor>
  <xdr:twoCellAnchor editAs="oneCell">
    <xdr:from>
      <xdr:col>4</xdr:col>
      <xdr:colOff>647640</xdr:colOff>
      <xdr:row>23</xdr:row>
      <xdr:rowOff>85680</xdr:rowOff>
    </xdr:from>
    <xdr:to>
      <xdr:col>4</xdr:col>
      <xdr:colOff>649440</xdr:colOff>
      <xdr:row>24</xdr:row>
      <xdr:rowOff>1440</xdr:rowOff>
    </xdr:to>
    <xdr:grpSp>
      <xdr:nvGrpSpPr>
        <xdr:cNvPr id="695" name="Shape 2"/>
        <xdr:cNvGrpSpPr/>
      </xdr:nvGrpSpPr>
      <xdr:grpSpPr>
        <a:xfrm>
          <a:off x="6729120" y="4467240"/>
          <a:ext cx="1800" cy="77760"/>
          <a:chOff x="6729120" y="4467240"/>
          <a:chExt cx="1800" cy="77760"/>
        </a:xfrm>
      </xdr:grpSpPr>
      <xdr:cxnSp>
        <xdr:nvCxnSpPr>
          <xdr:cNvPr id="696" name="Shape 387"/>
          <xdr:cNvCxnSpPr/>
        </xdr:nvCxnSpPr>
        <xdr:spPr>
          <a:xfrm>
            <a:off x="6729120" y="4467240"/>
            <a:ext cx="2160" cy="78120"/>
          </a:xfrm>
          <a:prstGeom prst="straightConnector1">
            <a:avLst/>
          </a:prstGeom>
          <a:ln w="9525">
            <a:solidFill>
              <a:srgbClr val="ff0000"/>
            </a:solidFill>
            <a:miter/>
            <a:tailEnd len="med" type="triangle" w="med"/>
          </a:ln>
        </xdr:spPr>
      </xdr:cxnSp>
    </xdr:grpSp>
    <xdr:clientData/>
  </xdr:twoCellAnchor>
  <xdr:twoCellAnchor editAs="oneCell">
    <xdr:from>
      <xdr:col>2</xdr:col>
      <xdr:colOff>1056960</xdr:colOff>
      <xdr:row>25</xdr:row>
      <xdr:rowOff>142560</xdr:rowOff>
    </xdr:from>
    <xdr:to>
      <xdr:col>2</xdr:col>
      <xdr:colOff>1058760</xdr:colOff>
      <xdr:row>27</xdr:row>
      <xdr:rowOff>1440</xdr:rowOff>
    </xdr:to>
    <xdr:grpSp>
      <xdr:nvGrpSpPr>
        <xdr:cNvPr id="697" name="Shape 2"/>
        <xdr:cNvGrpSpPr/>
      </xdr:nvGrpSpPr>
      <xdr:grpSpPr>
        <a:xfrm>
          <a:off x="2309040" y="4885920"/>
          <a:ext cx="1800" cy="182880"/>
          <a:chOff x="2309040" y="4885920"/>
          <a:chExt cx="1800" cy="182880"/>
        </a:xfrm>
      </xdr:grpSpPr>
      <xdr:cxnSp>
        <xdr:nvCxnSpPr>
          <xdr:cNvPr id="698" name="Shape 388"/>
          <xdr:cNvCxnSpPr/>
        </xdr:nvCxnSpPr>
        <xdr:spPr>
          <a:xfrm flipV="1">
            <a:off x="2309040" y="4885920"/>
            <a:ext cx="2160" cy="183240"/>
          </a:xfrm>
          <a:prstGeom prst="straightConnector1">
            <a:avLst/>
          </a:prstGeom>
          <a:ln w="19050">
            <a:solidFill>
              <a:srgbClr val="000000"/>
            </a:solidFill>
            <a:miter/>
            <a:tailEnd len="med" type="triangle" w="med"/>
          </a:ln>
        </xdr:spPr>
      </xdr:cxnSp>
    </xdr:grpSp>
    <xdr:clientData/>
  </xdr:twoCellAnchor>
  <xdr:twoCellAnchor editAs="oneCell">
    <xdr:from>
      <xdr:col>4</xdr:col>
      <xdr:colOff>1123920</xdr:colOff>
      <xdr:row>25</xdr:row>
      <xdr:rowOff>142560</xdr:rowOff>
    </xdr:from>
    <xdr:to>
      <xdr:col>4</xdr:col>
      <xdr:colOff>1125720</xdr:colOff>
      <xdr:row>27</xdr:row>
      <xdr:rowOff>1440</xdr:rowOff>
    </xdr:to>
    <xdr:grpSp>
      <xdr:nvGrpSpPr>
        <xdr:cNvPr id="699" name="Shape 2"/>
        <xdr:cNvGrpSpPr/>
      </xdr:nvGrpSpPr>
      <xdr:grpSpPr>
        <a:xfrm>
          <a:off x="7205400" y="4885920"/>
          <a:ext cx="1800" cy="182880"/>
          <a:chOff x="7205400" y="4885920"/>
          <a:chExt cx="1800" cy="182880"/>
        </a:xfrm>
      </xdr:grpSpPr>
      <xdr:cxnSp>
        <xdr:nvCxnSpPr>
          <xdr:cNvPr id="700" name="Shape 389"/>
          <xdr:cNvCxnSpPr/>
        </xdr:nvCxnSpPr>
        <xdr:spPr>
          <a:xfrm>
            <a:off x="7205400" y="4885920"/>
            <a:ext cx="2160" cy="183240"/>
          </a:xfrm>
          <a:prstGeom prst="straightConnector1">
            <a:avLst/>
          </a:prstGeom>
          <a:ln w="19050">
            <a:solidFill>
              <a:srgbClr val="000000"/>
            </a:solidFill>
            <a:miter/>
            <a:tailEnd len="med" type="triangle" w="med"/>
          </a:ln>
        </xdr:spPr>
      </xdr:cxnSp>
    </xdr:grpSp>
    <xdr:clientData/>
  </xdr:twoCellAnchor>
  <xdr:twoCellAnchor editAs="oneCell">
    <xdr:from>
      <xdr:col>2</xdr:col>
      <xdr:colOff>47520</xdr:colOff>
      <xdr:row>58</xdr:row>
      <xdr:rowOff>38160</xdr:rowOff>
    </xdr:from>
    <xdr:to>
      <xdr:col>4</xdr:col>
      <xdr:colOff>1102320</xdr:colOff>
      <xdr:row>87</xdr:row>
      <xdr:rowOff>74160</xdr:rowOff>
    </xdr:to>
    <xdr:sp>
      <xdr:nvSpPr>
        <xdr:cNvPr id="701" name="Shape 390"/>
        <xdr:cNvSpPr/>
      </xdr:nvSpPr>
      <xdr:spPr>
        <a:xfrm>
          <a:off x="1299600" y="10725120"/>
          <a:ext cx="5884200" cy="4455720"/>
        </a:xfrm>
        <a:prstGeom prst="rect">
          <a:avLst/>
        </a:prstGeom>
        <a:noFill/>
        <a:ln w="38100">
          <a:solidFill>
            <a:srgbClr val="000000"/>
          </a:solidFill>
          <a:miter/>
        </a:ln>
      </xdr:spPr>
      <xdr:style>
        <a:lnRef idx="0"/>
        <a:fillRef idx="0"/>
        <a:effectRef idx="0"/>
        <a:fontRef idx="minor"/>
      </xdr:style>
    </xdr:sp>
    <xdr:clientData/>
  </xdr:twoCellAnchor>
  <xdr:twoCellAnchor editAs="oneCell">
    <xdr:from>
      <xdr:col>3</xdr:col>
      <xdr:colOff>1581120</xdr:colOff>
      <xdr:row>91</xdr:row>
      <xdr:rowOff>0</xdr:rowOff>
    </xdr:from>
    <xdr:to>
      <xdr:col>3</xdr:col>
      <xdr:colOff>1664640</xdr:colOff>
      <xdr:row>92</xdr:row>
      <xdr:rowOff>45360</xdr:rowOff>
    </xdr:to>
    <xdr:sp>
      <xdr:nvSpPr>
        <xdr:cNvPr id="702" name="Shape 261"/>
        <xdr:cNvSpPr/>
      </xdr:nvSpPr>
      <xdr:spPr>
        <a:xfrm>
          <a:off x="4295880" y="15716160"/>
          <a:ext cx="83520" cy="198000"/>
        </a:xfrm>
        <a:prstGeom prst="rect">
          <a:avLst/>
        </a:prstGeom>
        <a:noFill/>
        <a:ln w="0">
          <a:noFill/>
        </a:ln>
      </xdr:spPr>
      <xdr:style>
        <a:lnRef idx="0"/>
        <a:fillRef idx="0"/>
        <a:effectRef idx="0"/>
        <a:fontRef idx="minor"/>
      </xdr:style>
    </xdr:sp>
    <xdr:clientData/>
  </xdr:twoCellAnchor>
  <xdr:twoCellAnchor editAs="oneCell">
    <xdr:from>
      <xdr:col>3</xdr:col>
      <xdr:colOff>1162080</xdr:colOff>
      <xdr:row>88</xdr:row>
      <xdr:rowOff>76320</xdr:rowOff>
    </xdr:from>
    <xdr:to>
      <xdr:col>3</xdr:col>
      <xdr:colOff>1798200</xdr:colOff>
      <xdr:row>90</xdr:row>
      <xdr:rowOff>26280</xdr:rowOff>
    </xdr:to>
    <xdr:sp>
      <xdr:nvSpPr>
        <xdr:cNvPr id="703" name="Shape 391"/>
        <xdr:cNvSpPr/>
      </xdr:nvSpPr>
      <xdr:spPr>
        <a:xfrm>
          <a:off x="3876840" y="15335280"/>
          <a:ext cx="636120" cy="2548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400" strike="noStrike" u="none">
              <a:solidFill>
                <a:srgbClr val="000000"/>
              </a:solidFill>
              <a:effectLst/>
              <a:uFillTx/>
              <a:latin typeface="Arial"/>
              <a:ea typeface="Arial"/>
            </a:rPr>
            <a:t>Figure 1</a:t>
          </a:r>
          <a:endParaRPr b="0" lang="en-US" sz="1400" strike="noStrike" u="none">
            <a:effectLst/>
            <a:uFillTx/>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46</xdr:row>
      <xdr:rowOff>56880</xdr:rowOff>
    </xdr:from>
    <xdr:to>
      <xdr:col>3</xdr:col>
      <xdr:colOff>1182600</xdr:colOff>
      <xdr:row>46</xdr:row>
      <xdr:rowOff>58680</xdr:rowOff>
    </xdr:to>
    <xdr:grpSp>
      <xdr:nvGrpSpPr>
        <xdr:cNvPr id="704" name="Shape 2"/>
        <xdr:cNvGrpSpPr/>
      </xdr:nvGrpSpPr>
      <xdr:grpSpPr>
        <a:xfrm>
          <a:off x="4591080" y="7219800"/>
          <a:ext cx="1182600" cy="1800"/>
          <a:chOff x="4591080" y="7219800"/>
          <a:chExt cx="1182600" cy="1800"/>
        </a:xfrm>
      </xdr:grpSpPr>
      <xdr:cxnSp>
        <xdr:nvCxnSpPr>
          <xdr:cNvPr id="705" name="Shape 392"/>
          <xdr:cNvCxnSpPr/>
        </xdr:nvCxnSpPr>
        <xdr:spPr>
          <a:xfrm flipH="1">
            <a:off x="4591080" y="7219800"/>
            <a:ext cx="1182960" cy="2160"/>
          </a:xfrm>
          <a:prstGeom prst="straightConnector1">
            <a:avLst/>
          </a:prstGeom>
          <a:ln w="9525">
            <a:solidFill>
              <a:srgbClr val="000000"/>
            </a:solidFill>
            <a:miter/>
            <a:tailEnd len="med" type="triangle" w="med"/>
          </a:ln>
        </xdr:spPr>
      </xdr:cxnSp>
    </xdr:grp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942840</xdr:colOff>
      <xdr:row>1</xdr:row>
      <xdr:rowOff>0</xdr:rowOff>
    </xdr:from>
    <xdr:to>
      <xdr:col>1</xdr:col>
      <xdr:colOff>1036080</xdr:colOff>
      <xdr:row>1</xdr:row>
      <xdr:rowOff>178920</xdr:rowOff>
    </xdr:to>
    <xdr:sp>
      <xdr:nvSpPr>
        <xdr:cNvPr id="706" name="Shape 393"/>
        <xdr:cNvSpPr/>
      </xdr:nvSpPr>
      <xdr:spPr>
        <a:xfrm>
          <a:off x="3762360" y="209520"/>
          <a:ext cx="93240" cy="178920"/>
        </a:xfrm>
        <a:prstGeom prst="rect">
          <a:avLst/>
        </a:prstGeom>
        <a:noFill/>
        <a:ln w="0">
          <a:noFill/>
        </a:ln>
      </xdr:spPr>
      <xdr:style>
        <a:lnRef idx="0"/>
        <a:fillRef idx="0"/>
        <a:effectRef idx="0"/>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9360</xdr:colOff>
      <xdr:row>10</xdr:row>
      <xdr:rowOff>142920</xdr:rowOff>
    </xdr:from>
    <xdr:to>
      <xdr:col>3</xdr:col>
      <xdr:colOff>659880</xdr:colOff>
      <xdr:row>15</xdr:row>
      <xdr:rowOff>7560</xdr:rowOff>
    </xdr:to>
    <xdr:sp>
      <xdr:nvSpPr>
        <xdr:cNvPr id="707" name="Shape 394"/>
        <xdr:cNvSpPr/>
      </xdr:nvSpPr>
      <xdr:spPr>
        <a:xfrm>
          <a:off x="1533960" y="1819440"/>
          <a:ext cx="1302840" cy="64548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xdr:col>
      <xdr:colOff>616680</xdr:colOff>
      <xdr:row>17</xdr:row>
      <xdr:rowOff>0</xdr:rowOff>
    </xdr:from>
    <xdr:to>
      <xdr:col>3</xdr:col>
      <xdr:colOff>555480</xdr:colOff>
      <xdr:row>21</xdr:row>
      <xdr:rowOff>16920</xdr:rowOff>
    </xdr:to>
    <xdr:sp>
      <xdr:nvSpPr>
        <xdr:cNvPr id="708" name="Shape 395"/>
        <xdr:cNvSpPr/>
      </xdr:nvSpPr>
      <xdr:spPr>
        <a:xfrm>
          <a:off x="1515240" y="2762280"/>
          <a:ext cx="1217160" cy="62640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2</xdr:col>
      <xdr:colOff>0</xdr:colOff>
      <xdr:row>23</xdr:row>
      <xdr:rowOff>0</xdr:rowOff>
    </xdr:from>
    <xdr:to>
      <xdr:col>3</xdr:col>
      <xdr:colOff>564840</xdr:colOff>
      <xdr:row>27</xdr:row>
      <xdr:rowOff>16920</xdr:rowOff>
    </xdr:to>
    <xdr:sp>
      <xdr:nvSpPr>
        <xdr:cNvPr id="709" name="Shape 396"/>
        <xdr:cNvSpPr/>
      </xdr:nvSpPr>
      <xdr:spPr>
        <a:xfrm>
          <a:off x="1524600" y="3676680"/>
          <a:ext cx="1217160" cy="6264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2</xdr:col>
      <xdr:colOff>228600</xdr:colOff>
      <xdr:row>36</xdr:row>
      <xdr:rowOff>0</xdr:rowOff>
    </xdr:from>
    <xdr:to>
      <xdr:col>3</xdr:col>
      <xdr:colOff>336240</xdr:colOff>
      <xdr:row>39</xdr:row>
      <xdr:rowOff>131040</xdr:rowOff>
    </xdr:to>
    <xdr:sp>
      <xdr:nvSpPr>
        <xdr:cNvPr id="710" name="Shape 397"/>
        <xdr:cNvSpPr/>
      </xdr:nvSpPr>
      <xdr:spPr>
        <a:xfrm>
          <a:off x="1753200" y="5657760"/>
          <a:ext cx="759960" cy="588240"/>
        </a:xfrm>
        <a:prstGeom prst="triangle">
          <a:avLst>
            <a:gd name="adj" fmla="val 50000"/>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2</xdr:col>
      <xdr:colOff>104760</xdr:colOff>
      <xdr:row>41</xdr:row>
      <xdr:rowOff>142920</xdr:rowOff>
    </xdr:from>
    <xdr:to>
      <xdr:col>3</xdr:col>
      <xdr:colOff>431280</xdr:colOff>
      <xdr:row>46</xdr:row>
      <xdr:rowOff>140760</xdr:rowOff>
    </xdr:to>
    <xdr:sp>
      <xdr:nvSpPr>
        <xdr:cNvPr id="711" name="Shape 398"/>
        <xdr:cNvSpPr/>
      </xdr:nvSpPr>
      <xdr:spPr>
        <a:xfrm>
          <a:off x="1629360" y="6562800"/>
          <a:ext cx="978840" cy="75996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1</xdr:col>
      <xdr:colOff>616680</xdr:colOff>
      <xdr:row>29</xdr:row>
      <xdr:rowOff>0</xdr:rowOff>
    </xdr:from>
    <xdr:to>
      <xdr:col>3</xdr:col>
      <xdr:colOff>545760</xdr:colOff>
      <xdr:row>33</xdr:row>
      <xdr:rowOff>16920</xdr:rowOff>
    </xdr:to>
    <xdr:sp>
      <xdr:nvSpPr>
        <xdr:cNvPr id="712" name="Shape 399"/>
        <xdr:cNvSpPr/>
      </xdr:nvSpPr>
      <xdr:spPr>
        <a:xfrm>
          <a:off x="1515240" y="4591080"/>
          <a:ext cx="1207440" cy="6264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Downconverters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Mixers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IF</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Amplification</a:t>
          </a:r>
          <a:endParaRPr b="0" lang="en-US" sz="1000" strike="noStrike" u="none">
            <a:effectLst/>
            <a:uFillTx/>
            <a:latin typeface="Times New Roman"/>
          </a:endParaRPr>
        </a:p>
      </xdr:txBody>
    </xdr:sp>
    <xdr:clientData/>
  </xdr:twoCellAnchor>
  <xdr:twoCellAnchor editAs="oneCell">
    <xdr:from>
      <xdr:col>1</xdr:col>
      <xdr:colOff>616680</xdr:colOff>
      <xdr:row>50</xdr:row>
      <xdr:rowOff>123840</xdr:rowOff>
    </xdr:from>
    <xdr:to>
      <xdr:col>3</xdr:col>
      <xdr:colOff>669600</xdr:colOff>
      <xdr:row>54</xdr:row>
      <xdr:rowOff>7560</xdr:rowOff>
    </xdr:to>
    <xdr:sp>
      <xdr:nvSpPr>
        <xdr:cNvPr id="713" name="Shape 400"/>
        <xdr:cNvSpPr/>
      </xdr:nvSpPr>
      <xdr:spPr>
        <a:xfrm>
          <a:off x="1515240" y="7915320"/>
          <a:ext cx="1331280" cy="4932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Receiver Front End</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xdr:col>
      <xdr:colOff>533520</xdr:colOff>
      <xdr:row>55</xdr:row>
      <xdr:rowOff>142920</xdr:rowOff>
    </xdr:from>
    <xdr:to>
      <xdr:col>3</xdr:col>
      <xdr:colOff>586440</xdr:colOff>
      <xdr:row>59</xdr:row>
      <xdr:rowOff>16920</xdr:rowOff>
    </xdr:to>
    <xdr:sp>
      <xdr:nvSpPr>
        <xdr:cNvPr id="714" name="Shape 401"/>
        <xdr:cNvSpPr/>
      </xdr:nvSpPr>
      <xdr:spPr>
        <a:xfrm>
          <a:off x="1432080" y="8696520"/>
          <a:ext cx="1331280" cy="4834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2</xdr:col>
      <xdr:colOff>200160</xdr:colOff>
      <xdr:row>60</xdr:row>
      <xdr:rowOff>85680</xdr:rowOff>
    </xdr:from>
    <xdr:to>
      <xdr:col>3</xdr:col>
      <xdr:colOff>345960</xdr:colOff>
      <xdr:row>65</xdr:row>
      <xdr:rowOff>16560</xdr:rowOff>
    </xdr:to>
    <xdr:sp>
      <xdr:nvSpPr>
        <xdr:cNvPr id="715" name="Shape 402"/>
        <xdr:cNvSpPr/>
      </xdr:nvSpPr>
      <xdr:spPr>
        <a:xfrm>
          <a:off x="1724760" y="9401040"/>
          <a:ext cx="798120" cy="69300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2</xdr:col>
      <xdr:colOff>580680</xdr:colOff>
      <xdr:row>59</xdr:row>
      <xdr:rowOff>9000</xdr:rowOff>
    </xdr:from>
    <xdr:to>
      <xdr:col>2</xdr:col>
      <xdr:colOff>620640</xdr:colOff>
      <xdr:row>65</xdr:row>
      <xdr:rowOff>11160</xdr:rowOff>
    </xdr:to>
    <xdr:grpSp>
      <xdr:nvGrpSpPr>
        <xdr:cNvPr id="716" name="Shape 2"/>
        <xdr:cNvGrpSpPr/>
      </xdr:nvGrpSpPr>
      <xdr:grpSpPr>
        <a:xfrm>
          <a:off x="2105280" y="9172080"/>
          <a:ext cx="39960" cy="916560"/>
          <a:chOff x="2105280" y="9172080"/>
          <a:chExt cx="39960" cy="916560"/>
        </a:xfrm>
      </xdr:grpSpPr>
      <xdr:cxnSp>
        <xdr:nvCxnSpPr>
          <xdr:cNvPr id="717" name="Shape 403"/>
          <xdr:cNvCxnSpPr/>
        </xdr:nvCxnSpPr>
        <xdr:spPr>
          <a:xfrm flipH="1" flipV="1">
            <a:off x="2105280" y="9172080"/>
            <a:ext cx="40320" cy="916920"/>
          </a:xfrm>
          <a:prstGeom prst="straightConnector1">
            <a:avLst/>
          </a:prstGeom>
          <a:ln w="19050">
            <a:solidFill>
              <a:srgbClr val="000000"/>
            </a:solidFill>
            <a:miter/>
          </a:ln>
        </xdr:spPr>
      </xdr:cxnSp>
    </xdr:grpSp>
    <xdr:clientData/>
  </xdr:twoCellAnchor>
  <xdr:twoCellAnchor editAs="oneCell">
    <xdr:from>
      <xdr:col>2</xdr:col>
      <xdr:colOff>633240</xdr:colOff>
      <xdr:row>9</xdr:row>
      <xdr:rowOff>133200</xdr:rowOff>
    </xdr:from>
    <xdr:to>
      <xdr:col>2</xdr:col>
      <xdr:colOff>635040</xdr:colOff>
      <xdr:row>11</xdr:row>
      <xdr:rowOff>1440</xdr:rowOff>
    </xdr:to>
    <xdr:grpSp>
      <xdr:nvGrpSpPr>
        <xdr:cNvPr id="718" name="Shape 2"/>
        <xdr:cNvGrpSpPr/>
      </xdr:nvGrpSpPr>
      <xdr:grpSpPr>
        <a:xfrm>
          <a:off x="2157840" y="1657080"/>
          <a:ext cx="1800" cy="173160"/>
          <a:chOff x="2157840" y="1657080"/>
          <a:chExt cx="1800" cy="173160"/>
        </a:xfrm>
      </xdr:grpSpPr>
      <xdr:cxnSp>
        <xdr:nvCxnSpPr>
          <xdr:cNvPr id="719" name="Shape 404"/>
          <xdr:cNvCxnSpPr/>
        </xdr:nvCxnSpPr>
        <xdr:spPr>
          <a:xfrm flipV="1">
            <a:off x="2157840" y="1657080"/>
            <a:ext cx="2160" cy="173520"/>
          </a:xfrm>
          <a:prstGeom prst="straightConnector1">
            <a:avLst/>
          </a:prstGeom>
          <a:ln w="19050">
            <a:solidFill>
              <a:srgbClr val="000000"/>
            </a:solidFill>
            <a:miter/>
            <a:tailEnd len="med" type="triangle" w="med"/>
          </a:ln>
        </xdr:spPr>
      </xdr:cxnSp>
    </xdr:grpSp>
    <xdr:clientData/>
  </xdr:twoCellAnchor>
  <xdr:twoCellAnchor editAs="oneCell">
    <xdr:from>
      <xdr:col>2</xdr:col>
      <xdr:colOff>633240</xdr:colOff>
      <xdr:row>14</xdr:row>
      <xdr:rowOff>133200</xdr:rowOff>
    </xdr:from>
    <xdr:to>
      <xdr:col>2</xdr:col>
      <xdr:colOff>635040</xdr:colOff>
      <xdr:row>17</xdr:row>
      <xdr:rowOff>1800</xdr:rowOff>
    </xdr:to>
    <xdr:grpSp>
      <xdr:nvGrpSpPr>
        <xdr:cNvPr id="720" name="Shape 2"/>
        <xdr:cNvGrpSpPr/>
      </xdr:nvGrpSpPr>
      <xdr:grpSpPr>
        <a:xfrm>
          <a:off x="2157840" y="2438280"/>
          <a:ext cx="1800" cy="325800"/>
          <a:chOff x="2157840" y="2438280"/>
          <a:chExt cx="1800" cy="325800"/>
        </a:xfrm>
      </xdr:grpSpPr>
      <xdr:cxnSp>
        <xdr:nvCxnSpPr>
          <xdr:cNvPr id="721" name="Shape 405"/>
          <xdr:cNvCxnSpPr/>
        </xdr:nvCxnSpPr>
        <xdr:spPr>
          <a:xfrm>
            <a:off x="2157840" y="2438280"/>
            <a:ext cx="2160" cy="326160"/>
          </a:xfrm>
          <a:prstGeom prst="straightConnector1">
            <a:avLst/>
          </a:prstGeom>
          <a:ln w="19050">
            <a:solidFill>
              <a:srgbClr val="000000"/>
            </a:solidFill>
            <a:miter/>
          </a:ln>
        </xdr:spPr>
      </xdr:cxnSp>
    </xdr:grpSp>
    <xdr:clientData/>
  </xdr:twoCellAnchor>
  <xdr:twoCellAnchor editAs="oneCell">
    <xdr:from>
      <xdr:col>2</xdr:col>
      <xdr:colOff>633240</xdr:colOff>
      <xdr:row>33</xdr:row>
      <xdr:rowOff>9360</xdr:rowOff>
    </xdr:from>
    <xdr:to>
      <xdr:col>2</xdr:col>
      <xdr:colOff>635040</xdr:colOff>
      <xdr:row>36</xdr:row>
      <xdr:rowOff>11160</xdr:rowOff>
    </xdr:to>
    <xdr:grpSp>
      <xdr:nvGrpSpPr>
        <xdr:cNvPr id="722" name="Shape 2"/>
        <xdr:cNvGrpSpPr/>
      </xdr:nvGrpSpPr>
      <xdr:grpSpPr>
        <a:xfrm>
          <a:off x="2157840" y="5209920"/>
          <a:ext cx="1800" cy="459000"/>
          <a:chOff x="2157840" y="5209920"/>
          <a:chExt cx="1800" cy="459000"/>
        </a:xfrm>
      </xdr:grpSpPr>
      <xdr:cxnSp>
        <xdr:nvCxnSpPr>
          <xdr:cNvPr id="723" name="Shape 406"/>
          <xdr:cNvCxnSpPr/>
        </xdr:nvCxnSpPr>
        <xdr:spPr>
          <a:xfrm>
            <a:off x="2157840" y="5209920"/>
            <a:ext cx="2160" cy="459360"/>
          </a:xfrm>
          <a:prstGeom prst="straightConnector1">
            <a:avLst/>
          </a:prstGeom>
          <a:ln w="19050">
            <a:solidFill>
              <a:srgbClr val="000000"/>
            </a:solidFill>
            <a:miter/>
          </a:ln>
        </xdr:spPr>
      </xdr:cxnSp>
    </xdr:grpSp>
    <xdr:clientData/>
  </xdr:twoCellAnchor>
  <xdr:twoCellAnchor editAs="oneCell">
    <xdr:from>
      <xdr:col>2</xdr:col>
      <xdr:colOff>642600</xdr:colOff>
      <xdr:row>27</xdr:row>
      <xdr:rowOff>9360</xdr:rowOff>
    </xdr:from>
    <xdr:to>
      <xdr:col>2</xdr:col>
      <xdr:colOff>644400</xdr:colOff>
      <xdr:row>29</xdr:row>
      <xdr:rowOff>1440</xdr:rowOff>
    </xdr:to>
    <xdr:grpSp>
      <xdr:nvGrpSpPr>
        <xdr:cNvPr id="724" name="Shape 2"/>
        <xdr:cNvGrpSpPr/>
      </xdr:nvGrpSpPr>
      <xdr:grpSpPr>
        <a:xfrm>
          <a:off x="2167200" y="4295520"/>
          <a:ext cx="1800" cy="297000"/>
          <a:chOff x="2167200" y="4295520"/>
          <a:chExt cx="1800" cy="297000"/>
        </a:xfrm>
      </xdr:grpSpPr>
      <xdr:cxnSp>
        <xdr:nvCxnSpPr>
          <xdr:cNvPr id="725" name="Shape 407"/>
          <xdr:cNvCxnSpPr/>
        </xdr:nvCxnSpPr>
        <xdr:spPr>
          <a:xfrm>
            <a:off x="2167200" y="4295520"/>
            <a:ext cx="2160" cy="297360"/>
          </a:xfrm>
          <a:prstGeom prst="straightConnector1">
            <a:avLst/>
          </a:prstGeom>
          <a:ln w="19050">
            <a:solidFill>
              <a:srgbClr val="000000"/>
            </a:solidFill>
            <a:miter/>
          </a:ln>
        </xdr:spPr>
      </xdr:cxnSp>
    </xdr:grpSp>
    <xdr:clientData/>
  </xdr:twoCellAnchor>
  <xdr:twoCellAnchor editAs="oneCell">
    <xdr:from>
      <xdr:col>2</xdr:col>
      <xdr:colOff>633240</xdr:colOff>
      <xdr:row>21</xdr:row>
      <xdr:rowOff>9360</xdr:rowOff>
    </xdr:from>
    <xdr:to>
      <xdr:col>2</xdr:col>
      <xdr:colOff>635040</xdr:colOff>
      <xdr:row>23</xdr:row>
      <xdr:rowOff>20520</xdr:rowOff>
    </xdr:to>
    <xdr:grpSp>
      <xdr:nvGrpSpPr>
        <xdr:cNvPr id="726" name="Shape 2"/>
        <xdr:cNvGrpSpPr/>
      </xdr:nvGrpSpPr>
      <xdr:grpSpPr>
        <a:xfrm>
          <a:off x="2157840" y="3381120"/>
          <a:ext cx="1800" cy="316080"/>
          <a:chOff x="2157840" y="3381120"/>
          <a:chExt cx="1800" cy="316080"/>
        </a:xfrm>
      </xdr:grpSpPr>
      <xdr:cxnSp>
        <xdr:nvCxnSpPr>
          <xdr:cNvPr id="727" name="Shape 408"/>
          <xdr:cNvCxnSpPr/>
        </xdr:nvCxnSpPr>
        <xdr:spPr>
          <a:xfrm>
            <a:off x="2157840" y="3381120"/>
            <a:ext cx="2160" cy="316440"/>
          </a:xfrm>
          <a:prstGeom prst="straightConnector1">
            <a:avLst/>
          </a:prstGeom>
          <a:ln w="19050">
            <a:solidFill>
              <a:srgbClr val="000000"/>
            </a:solidFill>
            <a:miter/>
          </a:ln>
        </xdr:spPr>
      </xdr:cxnSp>
    </xdr:grpSp>
    <xdr:clientData/>
  </xdr:twoCellAnchor>
  <xdr:twoCellAnchor editAs="oneCell">
    <xdr:from>
      <xdr:col>2</xdr:col>
      <xdr:colOff>571320</xdr:colOff>
      <xdr:row>39</xdr:row>
      <xdr:rowOff>123480</xdr:rowOff>
    </xdr:from>
    <xdr:to>
      <xdr:col>2</xdr:col>
      <xdr:colOff>573120</xdr:colOff>
      <xdr:row>42</xdr:row>
      <xdr:rowOff>1800</xdr:rowOff>
    </xdr:to>
    <xdr:grpSp>
      <xdr:nvGrpSpPr>
        <xdr:cNvPr id="728" name="Shape 2"/>
        <xdr:cNvGrpSpPr/>
      </xdr:nvGrpSpPr>
      <xdr:grpSpPr>
        <a:xfrm>
          <a:off x="2095920" y="6238440"/>
          <a:ext cx="1800" cy="335520"/>
          <a:chOff x="2095920" y="6238440"/>
          <a:chExt cx="1800" cy="335520"/>
        </a:xfrm>
      </xdr:grpSpPr>
      <xdr:cxnSp>
        <xdr:nvCxnSpPr>
          <xdr:cNvPr id="729" name="Shape 409"/>
          <xdr:cNvCxnSpPr/>
        </xdr:nvCxnSpPr>
        <xdr:spPr>
          <a:xfrm>
            <a:off x="2095920" y="6238440"/>
            <a:ext cx="2160" cy="335880"/>
          </a:xfrm>
          <a:prstGeom prst="straightConnector1">
            <a:avLst/>
          </a:prstGeom>
          <a:ln w="19050">
            <a:solidFill>
              <a:srgbClr val="000000"/>
            </a:solidFill>
            <a:miter/>
          </a:ln>
        </xdr:spPr>
      </xdr:cxnSp>
    </xdr:grpSp>
    <xdr:clientData/>
  </xdr:twoCellAnchor>
  <xdr:twoCellAnchor editAs="oneCell">
    <xdr:from>
      <xdr:col>2</xdr:col>
      <xdr:colOff>633240</xdr:colOff>
      <xdr:row>46</xdr:row>
      <xdr:rowOff>133200</xdr:rowOff>
    </xdr:from>
    <xdr:to>
      <xdr:col>2</xdr:col>
      <xdr:colOff>635040</xdr:colOff>
      <xdr:row>50</xdr:row>
      <xdr:rowOff>135000</xdr:rowOff>
    </xdr:to>
    <xdr:grpSp>
      <xdr:nvGrpSpPr>
        <xdr:cNvPr id="730" name="Shape 2"/>
        <xdr:cNvGrpSpPr/>
      </xdr:nvGrpSpPr>
      <xdr:grpSpPr>
        <a:xfrm>
          <a:off x="2157840" y="7315200"/>
          <a:ext cx="1800" cy="611280"/>
          <a:chOff x="2157840" y="7315200"/>
          <a:chExt cx="1800" cy="611280"/>
        </a:xfrm>
      </xdr:grpSpPr>
      <xdr:cxnSp>
        <xdr:nvCxnSpPr>
          <xdr:cNvPr id="731" name="Shape 410"/>
          <xdr:cNvCxnSpPr/>
        </xdr:nvCxnSpPr>
        <xdr:spPr>
          <a:xfrm>
            <a:off x="2157840" y="7315200"/>
            <a:ext cx="2160" cy="611640"/>
          </a:xfrm>
          <a:prstGeom prst="straightConnector1">
            <a:avLst/>
          </a:prstGeom>
          <a:ln w="19050">
            <a:solidFill>
              <a:srgbClr val="000000"/>
            </a:solidFill>
            <a:miter/>
          </a:ln>
        </xdr:spPr>
      </xdr:cxnSp>
    </xdr:grpSp>
    <xdr:clientData/>
  </xdr:twoCellAnchor>
  <xdr:twoCellAnchor editAs="oneCell">
    <xdr:from>
      <xdr:col>2</xdr:col>
      <xdr:colOff>633240</xdr:colOff>
      <xdr:row>54</xdr:row>
      <xdr:rowOff>9360</xdr:rowOff>
    </xdr:from>
    <xdr:to>
      <xdr:col>2</xdr:col>
      <xdr:colOff>635040</xdr:colOff>
      <xdr:row>55</xdr:row>
      <xdr:rowOff>134640</xdr:rowOff>
    </xdr:to>
    <xdr:grpSp>
      <xdr:nvGrpSpPr>
        <xdr:cNvPr id="732" name="Shape 2"/>
        <xdr:cNvGrpSpPr/>
      </xdr:nvGrpSpPr>
      <xdr:grpSpPr>
        <a:xfrm>
          <a:off x="2157840" y="8410320"/>
          <a:ext cx="1800" cy="277920"/>
          <a:chOff x="2157840" y="8410320"/>
          <a:chExt cx="1800" cy="277920"/>
        </a:xfrm>
      </xdr:grpSpPr>
      <xdr:cxnSp>
        <xdr:nvCxnSpPr>
          <xdr:cNvPr id="733" name="Shape 411"/>
          <xdr:cNvCxnSpPr/>
        </xdr:nvCxnSpPr>
        <xdr:spPr>
          <a:xfrm>
            <a:off x="2157840" y="8410320"/>
            <a:ext cx="2160" cy="278280"/>
          </a:xfrm>
          <a:prstGeom prst="straightConnector1">
            <a:avLst/>
          </a:prstGeom>
          <a:ln w="19050">
            <a:solidFill>
              <a:srgbClr val="000000"/>
            </a:solidFill>
            <a:miter/>
          </a:ln>
        </xdr:spPr>
      </xdr:cxnSp>
    </xdr:grpSp>
    <xdr:clientData/>
  </xdr:twoCellAnchor>
  <xdr:twoCellAnchor editAs="oneCell">
    <xdr:from>
      <xdr:col>2</xdr:col>
      <xdr:colOff>211680</xdr:colOff>
      <xdr:row>75</xdr:row>
      <xdr:rowOff>126000</xdr:rowOff>
    </xdr:from>
    <xdr:to>
      <xdr:col>3</xdr:col>
      <xdr:colOff>357480</xdr:colOff>
      <xdr:row>80</xdr:row>
      <xdr:rowOff>56880</xdr:rowOff>
    </xdr:to>
    <xdr:sp>
      <xdr:nvSpPr>
        <xdr:cNvPr id="734" name="Shape 412"/>
        <xdr:cNvSpPr/>
      </xdr:nvSpPr>
      <xdr:spPr>
        <a:xfrm rot="10800000">
          <a:off x="1736280" y="11727360"/>
          <a:ext cx="798120" cy="69300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2</xdr:col>
      <xdr:colOff>633240</xdr:colOff>
      <xdr:row>75</xdr:row>
      <xdr:rowOff>133200</xdr:rowOff>
    </xdr:from>
    <xdr:to>
      <xdr:col>2</xdr:col>
      <xdr:colOff>635040</xdr:colOff>
      <xdr:row>85</xdr:row>
      <xdr:rowOff>10800</xdr:rowOff>
    </xdr:to>
    <xdr:grpSp>
      <xdr:nvGrpSpPr>
        <xdr:cNvPr id="735" name="Shape 2"/>
        <xdr:cNvGrpSpPr/>
      </xdr:nvGrpSpPr>
      <xdr:grpSpPr>
        <a:xfrm>
          <a:off x="2157840" y="11734560"/>
          <a:ext cx="1800" cy="1401840"/>
          <a:chOff x="2157840" y="11734560"/>
          <a:chExt cx="1800" cy="1401840"/>
        </a:xfrm>
      </xdr:grpSpPr>
      <xdr:cxnSp>
        <xdr:nvCxnSpPr>
          <xdr:cNvPr id="736" name="Shape 413"/>
          <xdr:cNvCxnSpPr/>
        </xdr:nvCxnSpPr>
        <xdr:spPr>
          <a:xfrm>
            <a:off x="2157840" y="11734560"/>
            <a:ext cx="2160" cy="1402200"/>
          </a:xfrm>
          <a:prstGeom prst="straightConnector1">
            <a:avLst/>
          </a:prstGeom>
          <a:ln w="19050">
            <a:solidFill>
              <a:srgbClr val="000000"/>
            </a:solidFill>
            <a:miter/>
          </a:ln>
        </xdr:spPr>
      </xdr:cxnSp>
    </xdr:grpSp>
    <xdr:clientData/>
  </xdr:twoCellAnchor>
  <xdr:twoCellAnchor editAs="oneCell">
    <xdr:from>
      <xdr:col>1</xdr:col>
      <xdr:colOff>616680</xdr:colOff>
      <xdr:row>85</xdr:row>
      <xdr:rowOff>0</xdr:rowOff>
    </xdr:from>
    <xdr:to>
      <xdr:col>3</xdr:col>
      <xdr:colOff>669600</xdr:colOff>
      <xdr:row>88</xdr:row>
      <xdr:rowOff>16920</xdr:rowOff>
    </xdr:to>
    <xdr:sp>
      <xdr:nvSpPr>
        <xdr:cNvPr id="737" name="Shape 414"/>
        <xdr:cNvSpPr/>
      </xdr:nvSpPr>
      <xdr:spPr>
        <a:xfrm>
          <a:off x="1515240" y="13125600"/>
          <a:ext cx="1331280" cy="4741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2</xdr:col>
      <xdr:colOff>0</xdr:colOff>
      <xdr:row>90</xdr:row>
      <xdr:rowOff>0</xdr:rowOff>
    </xdr:from>
    <xdr:to>
      <xdr:col>3</xdr:col>
      <xdr:colOff>678960</xdr:colOff>
      <xdr:row>93</xdr:row>
      <xdr:rowOff>26280</xdr:rowOff>
    </xdr:to>
    <xdr:sp>
      <xdr:nvSpPr>
        <xdr:cNvPr id="738" name="Shape 415"/>
        <xdr:cNvSpPr/>
      </xdr:nvSpPr>
      <xdr:spPr>
        <a:xfrm>
          <a:off x="1524600" y="13887360"/>
          <a:ext cx="1331280" cy="4834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2</xdr:col>
      <xdr:colOff>633240</xdr:colOff>
      <xdr:row>88</xdr:row>
      <xdr:rowOff>18720</xdr:rowOff>
    </xdr:from>
    <xdr:to>
      <xdr:col>2</xdr:col>
      <xdr:colOff>635040</xdr:colOff>
      <xdr:row>90</xdr:row>
      <xdr:rowOff>11520</xdr:rowOff>
    </xdr:to>
    <xdr:grpSp>
      <xdr:nvGrpSpPr>
        <xdr:cNvPr id="739" name="Shape 2"/>
        <xdr:cNvGrpSpPr/>
      </xdr:nvGrpSpPr>
      <xdr:grpSpPr>
        <a:xfrm>
          <a:off x="2157840" y="13601520"/>
          <a:ext cx="1800" cy="297360"/>
          <a:chOff x="2157840" y="13601520"/>
          <a:chExt cx="1800" cy="297360"/>
        </a:xfrm>
      </xdr:grpSpPr>
      <xdr:cxnSp>
        <xdr:nvCxnSpPr>
          <xdr:cNvPr id="740" name="Shape 407"/>
          <xdr:cNvCxnSpPr/>
        </xdr:nvCxnSpPr>
        <xdr:spPr>
          <a:xfrm>
            <a:off x="2157840" y="13601520"/>
            <a:ext cx="2160" cy="297720"/>
          </a:xfrm>
          <a:prstGeom prst="straightConnector1">
            <a:avLst/>
          </a:prstGeom>
          <a:ln w="19050">
            <a:solidFill>
              <a:srgbClr val="000000"/>
            </a:solidFill>
            <a:miter/>
          </a:ln>
        </xdr:spPr>
      </xdr:cxnSp>
    </xdr:grpSp>
    <xdr:clientData/>
  </xdr:twoCellAnchor>
  <xdr:twoCellAnchor editAs="oneCell">
    <xdr:from>
      <xdr:col>2</xdr:col>
      <xdr:colOff>133200</xdr:colOff>
      <xdr:row>94</xdr:row>
      <xdr:rowOff>123840</xdr:rowOff>
    </xdr:from>
    <xdr:to>
      <xdr:col>3</xdr:col>
      <xdr:colOff>459720</xdr:colOff>
      <xdr:row>99</xdr:row>
      <xdr:rowOff>141120</xdr:rowOff>
    </xdr:to>
    <xdr:sp>
      <xdr:nvSpPr>
        <xdr:cNvPr id="741" name="Shape 416"/>
        <xdr:cNvSpPr/>
      </xdr:nvSpPr>
      <xdr:spPr>
        <a:xfrm>
          <a:off x="1657800" y="14621040"/>
          <a:ext cx="978840" cy="77904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HPA</a:t>
          </a:r>
          <a:endParaRPr b="0" lang="en-US" sz="1000" strike="noStrike" u="none">
            <a:effectLst/>
            <a:uFillTx/>
            <a:latin typeface="Times New Roman"/>
          </a:endParaRPr>
        </a:p>
      </xdr:txBody>
    </xdr:sp>
    <xdr:clientData/>
  </xdr:twoCellAnchor>
  <xdr:twoCellAnchor editAs="oneCell">
    <xdr:from>
      <xdr:col>1</xdr:col>
      <xdr:colOff>552600</xdr:colOff>
      <xdr:row>101</xdr:row>
      <xdr:rowOff>142920</xdr:rowOff>
    </xdr:from>
    <xdr:to>
      <xdr:col>3</xdr:col>
      <xdr:colOff>529560</xdr:colOff>
      <xdr:row>105</xdr:row>
      <xdr:rowOff>16920</xdr:rowOff>
    </xdr:to>
    <xdr:sp>
      <xdr:nvSpPr>
        <xdr:cNvPr id="742" name="Shape 417"/>
        <xdr:cNvSpPr/>
      </xdr:nvSpPr>
      <xdr:spPr>
        <a:xfrm>
          <a:off x="1451160" y="15706800"/>
          <a:ext cx="1255320" cy="4834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Exciter/Modulator/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FEC Encoder</a:t>
          </a:r>
          <a:endParaRPr b="0" lang="en-US" sz="1000" strike="noStrike" u="none">
            <a:effectLst/>
            <a:uFillTx/>
            <a:latin typeface="Times New Roman"/>
          </a:endParaRPr>
        </a:p>
      </xdr:txBody>
    </xdr:sp>
    <xdr:clientData/>
  </xdr:twoCellAnchor>
  <xdr:twoCellAnchor editAs="oneCell">
    <xdr:from>
      <xdr:col>2</xdr:col>
      <xdr:colOff>580680</xdr:colOff>
      <xdr:row>93</xdr:row>
      <xdr:rowOff>9360</xdr:rowOff>
    </xdr:from>
    <xdr:to>
      <xdr:col>2</xdr:col>
      <xdr:colOff>620640</xdr:colOff>
      <xdr:row>94</xdr:row>
      <xdr:rowOff>134640</xdr:rowOff>
    </xdr:to>
    <xdr:grpSp>
      <xdr:nvGrpSpPr>
        <xdr:cNvPr id="743" name="Shape 2"/>
        <xdr:cNvGrpSpPr/>
      </xdr:nvGrpSpPr>
      <xdr:grpSpPr>
        <a:xfrm>
          <a:off x="2105280" y="14353920"/>
          <a:ext cx="39960" cy="277920"/>
          <a:chOff x="2105280" y="14353920"/>
          <a:chExt cx="39960" cy="277920"/>
        </a:xfrm>
      </xdr:grpSpPr>
      <xdr:cxnSp>
        <xdr:nvCxnSpPr>
          <xdr:cNvPr id="744" name="Shape 418"/>
          <xdr:cNvCxnSpPr/>
        </xdr:nvCxnSpPr>
        <xdr:spPr>
          <a:xfrm>
            <a:off x="2105280" y="14353920"/>
            <a:ext cx="40320" cy="278280"/>
          </a:xfrm>
          <a:prstGeom prst="straightConnector1">
            <a:avLst/>
          </a:prstGeom>
          <a:ln w="19050">
            <a:solidFill>
              <a:srgbClr val="000000"/>
            </a:solidFill>
            <a:miter/>
          </a:ln>
        </xdr:spPr>
      </xdr:cxnSp>
    </xdr:grpSp>
    <xdr:clientData/>
  </xdr:twoCellAnchor>
  <xdr:twoCellAnchor editAs="oneCell">
    <xdr:from>
      <xdr:col>2</xdr:col>
      <xdr:colOff>633240</xdr:colOff>
      <xdr:row>100</xdr:row>
      <xdr:rowOff>9360</xdr:rowOff>
    </xdr:from>
    <xdr:to>
      <xdr:col>2</xdr:col>
      <xdr:colOff>635040</xdr:colOff>
      <xdr:row>101</xdr:row>
      <xdr:rowOff>135000</xdr:rowOff>
    </xdr:to>
    <xdr:grpSp>
      <xdr:nvGrpSpPr>
        <xdr:cNvPr id="745" name="Shape 2"/>
        <xdr:cNvGrpSpPr/>
      </xdr:nvGrpSpPr>
      <xdr:grpSpPr>
        <a:xfrm>
          <a:off x="2157840" y="15420960"/>
          <a:ext cx="1800" cy="277920"/>
          <a:chOff x="2157840" y="15420960"/>
          <a:chExt cx="1800" cy="277920"/>
        </a:xfrm>
      </xdr:grpSpPr>
      <xdr:cxnSp>
        <xdr:nvCxnSpPr>
          <xdr:cNvPr id="746" name="Shape 411"/>
          <xdr:cNvCxnSpPr/>
        </xdr:nvCxnSpPr>
        <xdr:spPr>
          <a:xfrm>
            <a:off x="2157840" y="15420960"/>
            <a:ext cx="2160" cy="278280"/>
          </a:xfrm>
          <a:prstGeom prst="straightConnector1">
            <a:avLst/>
          </a:prstGeom>
          <a:ln w="19050">
            <a:solidFill>
              <a:srgbClr val="000000"/>
            </a:solidFill>
            <a:miter/>
          </a:ln>
        </xdr:spPr>
      </xdr:cxnSp>
    </xdr:grpSp>
    <xdr:clientData/>
  </xdr:twoCellAnchor>
  <xdr:twoCellAnchor editAs="oneCell">
    <xdr:from>
      <xdr:col>2</xdr:col>
      <xdr:colOff>571320</xdr:colOff>
      <xdr:row>105</xdr:row>
      <xdr:rowOff>9360</xdr:rowOff>
    </xdr:from>
    <xdr:to>
      <xdr:col>2</xdr:col>
      <xdr:colOff>573120</xdr:colOff>
      <xdr:row>108</xdr:row>
      <xdr:rowOff>10800</xdr:rowOff>
    </xdr:to>
    <xdr:grpSp>
      <xdr:nvGrpSpPr>
        <xdr:cNvPr id="747" name="Shape 2"/>
        <xdr:cNvGrpSpPr/>
      </xdr:nvGrpSpPr>
      <xdr:grpSpPr>
        <a:xfrm>
          <a:off x="2095920" y="16182720"/>
          <a:ext cx="1800" cy="487440"/>
          <a:chOff x="2095920" y="16182720"/>
          <a:chExt cx="1800" cy="487440"/>
        </a:xfrm>
      </xdr:grpSpPr>
      <xdr:cxnSp>
        <xdr:nvCxnSpPr>
          <xdr:cNvPr id="748" name="Shape 419"/>
          <xdr:cNvCxnSpPr/>
        </xdr:nvCxnSpPr>
        <xdr:spPr>
          <a:xfrm flipV="1">
            <a:off x="2095920" y="16182720"/>
            <a:ext cx="2160" cy="487800"/>
          </a:xfrm>
          <a:prstGeom prst="straightConnector1">
            <a:avLst/>
          </a:prstGeom>
          <a:ln w="19050">
            <a:solidFill>
              <a:srgbClr val="000000"/>
            </a:solidFill>
            <a:miter/>
            <a:tailEnd len="med" type="triangle" w="med"/>
          </a:ln>
        </xdr:spPr>
      </xdr:cxnSp>
    </xdr:grpSp>
    <xdr:clientData/>
  </xdr:twoCellAnchor>
  <xdr:twoCellAnchor editAs="oneCell">
    <xdr:from>
      <xdr:col>2</xdr:col>
      <xdr:colOff>542880</xdr:colOff>
      <xdr:row>65</xdr:row>
      <xdr:rowOff>66600</xdr:rowOff>
    </xdr:from>
    <xdr:to>
      <xdr:col>3</xdr:col>
      <xdr:colOff>12240</xdr:colOff>
      <xdr:row>75</xdr:row>
      <xdr:rowOff>74160</xdr:rowOff>
    </xdr:to>
    <xdr:sp>
      <xdr:nvSpPr>
        <xdr:cNvPr id="749" name="Shape 420"/>
        <xdr:cNvSpPr/>
      </xdr:nvSpPr>
      <xdr:spPr>
        <a:xfrm>
          <a:off x="2067480" y="10144080"/>
          <a:ext cx="121680" cy="1531440"/>
        </a:xfrm>
        <a:prstGeom prst="upArrow">
          <a:avLst>
            <a:gd name="adj1" fmla="val 50000"/>
            <a:gd name="adj2" fmla="val 50000"/>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2</xdr:col>
      <xdr:colOff>390600</xdr:colOff>
      <xdr:row>70</xdr:row>
      <xdr:rowOff>28440</xdr:rowOff>
    </xdr:from>
    <xdr:to>
      <xdr:col>3</xdr:col>
      <xdr:colOff>145800</xdr:colOff>
      <xdr:row>71</xdr:row>
      <xdr:rowOff>26280</xdr:rowOff>
    </xdr:to>
    <xdr:sp>
      <xdr:nvSpPr>
        <xdr:cNvPr id="750" name="Shape 421"/>
        <xdr:cNvSpPr/>
      </xdr:nvSpPr>
      <xdr:spPr>
        <a:xfrm>
          <a:off x="1915200" y="10868040"/>
          <a:ext cx="407520" cy="150120"/>
        </a:xfrm>
        <a:prstGeom prst="wave">
          <a:avLst>
            <a:gd name="adj1" fmla="val 12500"/>
            <a:gd name="adj2" fmla="val 0"/>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2</xdr:col>
      <xdr:colOff>324000</xdr:colOff>
      <xdr:row>70</xdr:row>
      <xdr:rowOff>9360</xdr:rowOff>
    </xdr:from>
    <xdr:to>
      <xdr:col>2</xdr:col>
      <xdr:colOff>407520</xdr:colOff>
      <xdr:row>70</xdr:row>
      <xdr:rowOff>150120</xdr:rowOff>
    </xdr:to>
    <xdr:sp>
      <xdr:nvSpPr>
        <xdr:cNvPr id="751" name="Shape 422"/>
        <xdr:cNvSpPr/>
      </xdr:nvSpPr>
      <xdr:spPr>
        <a:xfrm>
          <a:off x="1848600" y="10848960"/>
          <a:ext cx="83520" cy="14076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3</xdr:col>
      <xdr:colOff>152280</xdr:colOff>
      <xdr:row>70</xdr:row>
      <xdr:rowOff>38160</xdr:rowOff>
    </xdr:from>
    <xdr:to>
      <xdr:col>3</xdr:col>
      <xdr:colOff>235800</xdr:colOff>
      <xdr:row>71</xdr:row>
      <xdr:rowOff>26640</xdr:rowOff>
    </xdr:to>
    <xdr:sp>
      <xdr:nvSpPr>
        <xdr:cNvPr id="752" name="Shape 422"/>
        <xdr:cNvSpPr/>
      </xdr:nvSpPr>
      <xdr:spPr>
        <a:xfrm>
          <a:off x="2329200" y="10877760"/>
          <a:ext cx="83520" cy="14076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2</xdr:col>
      <xdr:colOff>352440</xdr:colOff>
      <xdr:row>37</xdr:row>
      <xdr:rowOff>47520</xdr:rowOff>
    </xdr:from>
    <xdr:to>
      <xdr:col>3</xdr:col>
      <xdr:colOff>231480</xdr:colOff>
      <xdr:row>39</xdr:row>
      <xdr:rowOff>74160</xdr:rowOff>
    </xdr:to>
    <xdr:sp>
      <xdr:nvSpPr>
        <xdr:cNvPr id="753" name="Shape 423"/>
        <xdr:cNvSpPr/>
      </xdr:nvSpPr>
      <xdr:spPr>
        <a:xfrm>
          <a:off x="1877040" y="5857920"/>
          <a:ext cx="531360" cy="331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2nd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Amplifier</a:t>
          </a:r>
          <a:endParaRPr b="0" lang="en-US" sz="1000" strike="noStrike" u="none">
            <a:effectLst/>
            <a:uFillTx/>
            <a:latin typeface="Times New Roman"/>
          </a:endParaRPr>
        </a:p>
      </xdr:txBody>
    </xdr:sp>
    <xdr:clientData/>
  </xdr:twoCellAnchor>
  <xdr:twoCellAnchor editAs="oneCell">
    <xdr:from>
      <xdr:col>2</xdr:col>
      <xdr:colOff>314280</xdr:colOff>
      <xdr:row>23</xdr:row>
      <xdr:rowOff>47520</xdr:rowOff>
    </xdr:from>
    <xdr:to>
      <xdr:col>3</xdr:col>
      <xdr:colOff>240840</xdr:colOff>
      <xdr:row>26</xdr:row>
      <xdr:rowOff>73800</xdr:rowOff>
    </xdr:to>
    <xdr:sp>
      <xdr:nvSpPr>
        <xdr:cNvPr id="754" name="Shape 424"/>
        <xdr:cNvSpPr/>
      </xdr:nvSpPr>
      <xdr:spPr>
        <a:xfrm>
          <a:off x="1838880" y="3724200"/>
          <a:ext cx="578880" cy="4834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2</xdr:col>
      <xdr:colOff>85680</xdr:colOff>
      <xdr:row>18</xdr:row>
      <xdr:rowOff>47520</xdr:rowOff>
    </xdr:from>
    <xdr:to>
      <xdr:col>3</xdr:col>
      <xdr:colOff>441000</xdr:colOff>
      <xdr:row>19</xdr:row>
      <xdr:rowOff>73800</xdr:rowOff>
    </xdr:to>
    <xdr:sp>
      <xdr:nvSpPr>
        <xdr:cNvPr id="755" name="Shape 425"/>
        <xdr:cNvSpPr/>
      </xdr:nvSpPr>
      <xdr:spPr>
        <a:xfrm>
          <a:off x="1610280" y="2962080"/>
          <a:ext cx="1007640" cy="178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Demodulator</a:t>
          </a:r>
          <a:endParaRPr b="0" lang="en-US" sz="1000" strike="noStrike" u="none">
            <a:effectLst/>
            <a:uFillTx/>
            <a:latin typeface="Times New Roman"/>
          </a:endParaRPr>
        </a:p>
      </xdr:txBody>
    </xdr:sp>
    <xdr:clientData/>
  </xdr:twoCellAnchor>
  <xdr:twoCellAnchor editAs="oneCell">
    <xdr:from>
      <xdr:col>2</xdr:col>
      <xdr:colOff>142920</xdr:colOff>
      <xdr:row>12</xdr:row>
      <xdr:rowOff>0</xdr:rowOff>
    </xdr:from>
    <xdr:to>
      <xdr:col>3</xdr:col>
      <xdr:colOff>479160</xdr:colOff>
      <xdr:row>13</xdr:row>
      <xdr:rowOff>16560</xdr:rowOff>
    </xdr:to>
    <xdr:sp>
      <xdr:nvSpPr>
        <xdr:cNvPr id="756" name="Shape 426"/>
        <xdr:cNvSpPr/>
      </xdr:nvSpPr>
      <xdr:spPr>
        <a:xfrm>
          <a:off x="1667520" y="2000160"/>
          <a:ext cx="988560" cy="169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Data FEC Decoder</a:t>
          </a:r>
          <a:endParaRPr b="0" lang="en-US" sz="1000" strike="noStrike" u="none">
            <a:effectLst/>
            <a:uFillTx/>
            <a:latin typeface="Times New Roman"/>
          </a:endParaRPr>
        </a:p>
      </xdr:txBody>
    </xdr:sp>
    <xdr:clientData/>
  </xdr:twoCellAnchor>
  <xdr:twoCellAnchor editAs="oneCell">
    <xdr:from>
      <xdr:col>0</xdr:col>
      <xdr:colOff>476280</xdr:colOff>
      <xdr:row>11</xdr:row>
      <xdr:rowOff>0</xdr:rowOff>
    </xdr:from>
    <xdr:to>
      <xdr:col>1</xdr:col>
      <xdr:colOff>90000</xdr:colOff>
      <xdr:row>65</xdr:row>
      <xdr:rowOff>26280</xdr:rowOff>
    </xdr:to>
    <xdr:sp>
      <xdr:nvSpPr>
        <xdr:cNvPr id="757" name="Shape 427"/>
        <xdr:cNvSpPr/>
      </xdr:nvSpPr>
      <xdr:spPr>
        <a:xfrm>
          <a:off x="476280" y="1828800"/>
          <a:ext cx="512280" cy="827496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1</xdr:col>
      <xdr:colOff>9360</xdr:colOff>
      <xdr:row>85</xdr:row>
      <xdr:rowOff>9360</xdr:rowOff>
    </xdr:from>
    <xdr:to>
      <xdr:col>1</xdr:col>
      <xdr:colOff>245160</xdr:colOff>
      <xdr:row>105</xdr:row>
      <xdr:rowOff>16920</xdr:rowOff>
    </xdr:to>
    <xdr:sp>
      <xdr:nvSpPr>
        <xdr:cNvPr id="758" name="Shape 428"/>
        <xdr:cNvSpPr/>
      </xdr:nvSpPr>
      <xdr:spPr>
        <a:xfrm>
          <a:off x="907920" y="13134960"/>
          <a:ext cx="235800" cy="305532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0</xdr:col>
      <xdr:colOff>104760</xdr:colOff>
      <xdr:row>37</xdr:row>
      <xdr:rowOff>114480</xdr:rowOff>
    </xdr:from>
    <xdr:to>
      <xdr:col>0</xdr:col>
      <xdr:colOff>312120</xdr:colOff>
      <xdr:row>38</xdr:row>
      <xdr:rowOff>131400</xdr:rowOff>
    </xdr:to>
    <xdr:sp>
      <xdr:nvSpPr>
        <xdr:cNvPr id="759" name="Shape 429"/>
        <xdr:cNvSpPr/>
      </xdr:nvSpPr>
      <xdr:spPr>
        <a:xfrm>
          <a:off x="104760" y="5924880"/>
          <a:ext cx="207360" cy="169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S/C</a:t>
          </a:r>
          <a:endParaRPr b="0" lang="en-US" sz="1000" strike="noStrike" u="none">
            <a:effectLst/>
            <a:uFillTx/>
            <a:latin typeface="Times New Roman"/>
          </a:endParaRPr>
        </a:p>
      </xdr:txBody>
    </xdr:sp>
    <xdr:clientData/>
  </xdr:twoCellAnchor>
  <xdr:twoCellAnchor editAs="oneCell">
    <xdr:from>
      <xdr:col>0</xdr:col>
      <xdr:colOff>0</xdr:colOff>
      <xdr:row>94</xdr:row>
      <xdr:rowOff>0</xdr:rowOff>
    </xdr:from>
    <xdr:to>
      <xdr:col>0</xdr:col>
      <xdr:colOff>426600</xdr:colOff>
      <xdr:row>96</xdr:row>
      <xdr:rowOff>26640</xdr:rowOff>
    </xdr:to>
    <xdr:sp>
      <xdr:nvSpPr>
        <xdr:cNvPr id="760" name="Shape 430"/>
        <xdr:cNvSpPr/>
      </xdr:nvSpPr>
      <xdr:spPr>
        <a:xfrm>
          <a:off x="0" y="14497200"/>
          <a:ext cx="42660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Ground</a:t>
          </a:r>
          <a:endParaRPr b="0" lang="en-US" sz="1000" strike="noStrike" u="none">
            <a:effectLst/>
            <a:uFillTx/>
            <a:latin typeface="Times New Roman"/>
          </a:endParaRPr>
        </a:p>
        <a:p>
          <a:pPr>
            <a:lnSpc>
              <a:spcPct val="100000"/>
            </a:lnSpc>
            <a:tabLst>
              <a:tab algn="l" pos="0"/>
            </a:tabLst>
          </a:pPr>
          <a:r>
            <a:rPr b="1" lang="en-US" sz="1000" strike="noStrike" u="none">
              <a:solidFill>
                <a:srgbClr val="000000"/>
              </a:solidFill>
              <a:effectLst/>
              <a:uFillTx/>
              <a:latin typeface="Arial"/>
              <a:ea typeface="Arial"/>
            </a:rPr>
            <a:t>Station</a:t>
          </a:r>
          <a:endParaRPr b="0" lang="en-US" sz="1000" strike="noStrike" u="none">
            <a:effectLst/>
            <a:uFillTx/>
            <a:latin typeface="Times New Roman"/>
          </a:endParaRPr>
        </a:p>
      </xdr:txBody>
    </xdr:sp>
    <xdr:clientData/>
  </xdr:twoCellAnchor>
  <xdr:twoCellAnchor editAs="oneCell">
    <xdr:from>
      <xdr:col>3</xdr:col>
      <xdr:colOff>0</xdr:colOff>
      <xdr:row>4</xdr:row>
      <xdr:rowOff>47520</xdr:rowOff>
    </xdr:from>
    <xdr:to>
      <xdr:col>3</xdr:col>
      <xdr:colOff>649440</xdr:colOff>
      <xdr:row>4</xdr:row>
      <xdr:rowOff>49320</xdr:rowOff>
    </xdr:to>
    <xdr:grpSp>
      <xdr:nvGrpSpPr>
        <xdr:cNvPr id="761" name="Shape 2"/>
        <xdr:cNvGrpSpPr/>
      </xdr:nvGrpSpPr>
      <xdr:grpSpPr>
        <a:xfrm>
          <a:off x="2176920" y="780840"/>
          <a:ext cx="649440" cy="1800"/>
          <a:chOff x="2176920" y="780840"/>
          <a:chExt cx="649440" cy="1800"/>
        </a:xfrm>
      </xdr:grpSpPr>
      <xdr:cxnSp>
        <xdr:nvCxnSpPr>
          <xdr:cNvPr id="762" name="Shape 431"/>
          <xdr:cNvCxnSpPr/>
        </xdr:nvCxnSpPr>
        <xdr:spPr>
          <a:xfrm>
            <a:off x="2176920" y="780840"/>
            <a:ext cx="649800" cy="2160"/>
          </a:xfrm>
          <a:prstGeom prst="straightConnector1">
            <a:avLst/>
          </a:prstGeom>
          <a:ln w="9525">
            <a:solidFill>
              <a:srgbClr val="000000"/>
            </a:solidFill>
            <a:miter/>
            <a:tailEnd len="med" type="triangle" w="med"/>
          </a:ln>
        </xdr:spPr>
      </xdr:cxnSp>
    </xdr:grpSp>
    <xdr:clientData/>
  </xdr:twoCellAnchor>
  <xdr:twoCellAnchor editAs="oneCell">
    <xdr:from>
      <xdr:col>3</xdr:col>
      <xdr:colOff>9360</xdr:colOff>
      <xdr:row>6</xdr:row>
      <xdr:rowOff>66600</xdr:rowOff>
    </xdr:from>
    <xdr:to>
      <xdr:col>3</xdr:col>
      <xdr:colOff>658800</xdr:colOff>
      <xdr:row>6</xdr:row>
      <xdr:rowOff>68400</xdr:rowOff>
    </xdr:to>
    <xdr:grpSp>
      <xdr:nvGrpSpPr>
        <xdr:cNvPr id="763" name="Shape 2"/>
        <xdr:cNvGrpSpPr/>
      </xdr:nvGrpSpPr>
      <xdr:grpSpPr>
        <a:xfrm>
          <a:off x="2186280" y="1123920"/>
          <a:ext cx="649440" cy="1800"/>
          <a:chOff x="2186280" y="1123920"/>
          <a:chExt cx="649440" cy="1800"/>
        </a:xfrm>
      </xdr:grpSpPr>
      <xdr:cxnSp>
        <xdr:nvCxnSpPr>
          <xdr:cNvPr id="764" name="Shape 431"/>
          <xdr:cNvCxnSpPr/>
        </xdr:nvCxnSpPr>
        <xdr:spPr>
          <a:xfrm>
            <a:off x="2186280" y="1123920"/>
            <a:ext cx="649800" cy="2160"/>
          </a:xfrm>
          <a:prstGeom prst="straightConnector1">
            <a:avLst/>
          </a:prstGeom>
          <a:ln w="9525">
            <a:solidFill>
              <a:srgbClr val="000000"/>
            </a:solidFill>
            <a:miter/>
            <a:tailEnd len="med" type="triangle" w="med"/>
          </a:ln>
        </xdr:spPr>
      </xdr:cxnSp>
    </xdr:grpSp>
    <xdr:clientData/>
  </xdr:twoCellAnchor>
  <xdr:twoCellAnchor editAs="oneCell">
    <xdr:from>
      <xdr:col>0</xdr:col>
      <xdr:colOff>343080</xdr:colOff>
      <xdr:row>70</xdr:row>
      <xdr:rowOff>9360</xdr:rowOff>
    </xdr:from>
    <xdr:to>
      <xdr:col>0</xdr:col>
      <xdr:colOff>740880</xdr:colOff>
      <xdr:row>72</xdr:row>
      <xdr:rowOff>36000</xdr:rowOff>
    </xdr:to>
    <xdr:sp>
      <xdr:nvSpPr>
        <xdr:cNvPr id="765" name="Shape 432"/>
        <xdr:cNvSpPr/>
      </xdr:nvSpPr>
      <xdr:spPr>
        <a:xfrm>
          <a:off x="343080" y="10848960"/>
          <a:ext cx="397800" cy="331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RADIO</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LINK</a:t>
          </a:r>
          <a:endParaRPr b="0" lang="en-US" sz="1000" strike="noStrike" u="none">
            <a:effectLst/>
            <a:uFillTx/>
            <a:latin typeface="Times New Roman"/>
          </a:endParaRPr>
        </a:p>
      </xdr:txBody>
    </xdr:sp>
    <xdr:clientData/>
  </xdr:twoCellAnchor>
  <xdr:twoCellAnchor editAs="oneCell">
    <xdr:from>
      <xdr:col>9</xdr:col>
      <xdr:colOff>651960</xdr:colOff>
      <xdr:row>5</xdr:row>
      <xdr:rowOff>133200</xdr:rowOff>
    </xdr:from>
    <xdr:to>
      <xdr:col>11</xdr:col>
      <xdr:colOff>628560</xdr:colOff>
      <xdr:row>9</xdr:row>
      <xdr:rowOff>7200</xdr:rowOff>
    </xdr:to>
    <xdr:sp>
      <xdr:nvSpPr>
        <xdr:cNvPr id="766" name="Shape 433"/>
        <xdr:cNvSpPr/>
      </xdr:nvSpPr>
      <xdr:spPr>
        <a:xfrm>
          <a:off x="6397920" y="1028520"/>
          <a:ext cx="1369440" cy="50256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211680</xdr:colOff>
      <xdr:row>11</xdr:row>
      <xdr:rowOff>2160</xdr:rowOff>
    </xdr:from>
    <xdr:to>
      <xdr:col>11</xdr:col>
      <xdr:colOff>439920</xdr:colOff>
      <xdr:row>16</xdr:row>
      <xdr:rowOff>19080</xdr:rowOff>
    </xdr:to>
    <xdr:sp>
      <xdr:nvSpPr>
        <xdr:cNvPr id="767" name="Shape 434"/>
        <xdr:cNvSpPr/>
      </xdr:nvSpPr>
      <xdr:spPr>
        <a:xfrm rot="10800000">
          <a:off x="6618960" y="1830960"/>
          <a:ext cx="959760" cy="79812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HPA</a:t>
          </a:r>
          <a:endParaRPr b="0" lang="en-US" sz="1000" strike="noStrike" u="none">
            <a:effectLst/>
            <a:uFillTx/>
            <a:latin typeface="Times New Roman"/>
          </a:endParaRPr>
        </a:p>
      </xdr:txBody>
    </xdr:sp>
    <xdr:clientData/>
  </xdr:twoCellAnchor>
  <xdr:twoCellAnchor editAs="oneCell">
    <xdr:from>
      <xdr:col>10</xdr:col>
      <xdr:colOff>0</xdr:colOff>
      <xdr:row>22</xdr:row>
      <xdr:rowOff>142920</xdr:rowOff>
    </xdr:from>
    <xdr:to>
      <xdr:col>11</xdr:col>
      <xdr:colOff>571320</xdr:colOff>
      <xdr:row>26</xdr:row>
      <xdr:rowOff>93240</xdr:rowOff>
    </xdr:to>
    <xdr:sp>
      <xdr:nvSpPr>
        <xdr:cNvPr id="768" name="Shape 435"/>
        <xdr:cNvSpPr/>
      </xdr:nvSpPr>
      <xdr:spPr>
        <a:xfrm>
          <a:off x="6407280" y="3667320"/>
          <a:ext cx="1302840" cy="5598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9360</xdr:colOff>
      <xdr:row>18</xdr:row>
      <xdr:rowOff>0</xdr:rowOff>
    </xdr:from>
    <xdr:to>
      <xdr:col>11</xdr:col>
      <xdr:colOff>618840</xdr:colOff>
      <xdr:row>21</xdr:row>
      <xdr:rowOff>16920</xdr:rowOff>
    </xdr:to>
    <xdr:sp>
      <xdr:nvSpPr>
        <xdr:cNvPr id="769" name="Shape 436"/>
        <xdr:cNvSpPr/>
      </xdr:nvSpPr>
      <xdr:spPr>
        <a:xfrm>
          <a:off x="6416640" y="2914560"/>
          <a:ext cx="1341000" cy="4741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712440</xdr:colOff>
      <xdr:row>21</xdr:row>
      <xdr:rowOff>18720</xdr:rowOff>
    </xdr:from>
    <xdr:to>
      <xdr:col>10</xdr:col>
      <xdr:colOff>714240</xdr:colOff>
      <xdr:row>23</xdr:row>
      <xdr:rowOff>11160</xdr:rowOff>
    </xdr:to>
    <xdr:grpSp>
      <xdr:nvGrpSpPr>
        <xdr:cNvPr id="770" name="Shape 2"/>
        <xdr:cNvGrpSpPr/>
      </xdr:nvGrpSpPr>
      <xdr:grpSpPr>
        <a:xfrm>
          <a:off x="7119720" y="3390480"/>
          <a:ext cx="1800" cy="297360"/>
          <a:chOff x="7119720" y="3390480"/>
          <a:chExt cx="1800" cy="297360"/>
        </a:xfrm>
      </xdr:grpSpPr>
      <xdr:cxnSp>
        <xdr:nvCxnSpPr>
          <xdr:cNvPr id="771" name="Shape 407"/>
          <xdr:cNvCxnSpPr/>
        </xdr:nvCxnSpPr>
        <xdr:spPr>
          <a:xfrm>
            <a:off x="7119720" y="3390480"/>
            <a:ext cx="2160" cy="297720"/>
          </a:xfrm>
          <a:prstGeom prst="straightConnector1">
            <a:avLst/>
          </a:prstGeom>
          <a:ln w="19050">
            <a:solidFill>
              <a:srgbClr val="000000"/>
            </a:solidFill>
            <a:miter/>
          </a:ln>
        </xdr:spPr>
      </xdr:cxnSp>
    </xdr:grpSp>
    <xdr:clientData/>
  </xdr:twoCellAnchor>
  <xdr:twoCellAnchor editAs="oneCell">
    <xdr:from>
      <xdr:col>10</xdr:col>
      <xdr:colOff>712440</xdr:colOff>
      <xdr:row>16</xdr:row>
      <xdr:rowOff>18720</xdr:rowOff>
    </xdr:from>
    <xdr:to>
      <xdr:col>10</xdr:col>
      <xdr:colOff>714240</xdr:colOff>
      <xdr:row>18</xdr:row>
      <xdr:rowOff>11520</xdr:rowOff>
    </xdr:to>
    <xdr:grpSp>
      <xdr:nvGrpSpPr>
        <xdr:cNvPr id="772" name="Shape 2"/>
        <xdr:cNvGrpSpPr/>
      </xdr:nvGrpSpPr>
      <xdr:grpSpPr>
        <a:xfrm>
          <a:off x="7119720" y="2628720"/>
          <a:ext cx="1800" cy="297360"/>
          <a:chOff x="7119720" y="2628720"/>
          <a:chExt cx="1800" cy="297360"/>
        </a:xfrm>
      </xdr:grpSpPr>
      <xdr:cxnSp>
        <xdr:nvCxnSpPr>
          <xdr:cNvPr id="773" name="Shape 407"/>
          <xdr:cNvCxnSpPr/>
        </xdr:nvCxnSpPr>
        <xdr:spPr>
          <a:xfrm>
            <a:off x="7119720" y="2628720"/>
            <a:ext cx="2160" cy="297720"/>
          </a:xfrm>
          <a:prstGeom prst="straightConnector1">
            <a:avLst/>
          </a:prstGeom>
          <a:ln w="19050">
            <a:solidFill>
              <a:srgbClr val="000000"/>
            </a:solidFill>
            <a:miter/>
          </a:ln>
        </xdr:spPr>
      </xdr:cxnSp>
    </xdr:grpSp>
    <xdr:clientData/>
  </xdr:twoCellAnchor>
  <xdr:twoCellAnchor editAs="oneCell">
    <xdr:from>
      <xdr:col>10</xdr:col>
      <xdr:colOff>712440</xdr:colOff>
      <xdr:row>9</xdr:row>
      <xdr:rowOff>0</xdr:rowOff>
    </xdr:from>
    <xdr:to>
      <xdr:col>10</xdr:col>
      <xdr:colOff>714240</xdr:colOff>
      <xdr:row>11</xdr:row>
      <xdr:rowOff>1440</xdr:rowOff>
    </xdr:to>
    <xdr:grpSp>
      <xdr:nvGrpSpPr>
        <xdr:cNvPr id="774" name="Shape 2"/>
        <xdr:cNvGrpSpPr/>
      </xdr:nvGrpSpPr>
      <xdr:grpSpPr>
        <a:xfrm>
          <a:off x="7119720" y="1523880"/>
          <a:ext cx="1800" cy="306360"/>
          <a:chOff x="7119720" y="1523880"/>
          <a:chExt cx="1800" cy="306360"/>
        </a:xfrm>
      </xdr:grpSpPr>
      <xdr:cxnSp>
        <xdr:nvCxnSpPr>
          <xdr:cNvPr id="775" name="Shape 437"/>
          <xdr:cNvCxnSpPr/>
        </xdr:nvCxnSpPr>
        <xdr:spPr>
          <a:xfrm>
            <a:off x="7119720" y="1523880"/>
            <a:ext cx="2160" cy="306720"/>
          </a:xfrm>
          <a:prstGeom prst="straightConnector1">
            <a:avLst/>
          </a:prstGeom>
          <a:ln w="19050">
            <a:solidFill>
              <a:srgbClr val="000000"/>
            </a:solidFill>
            <a:miter/>
          </a:ln>
        </xdr:spPr>
      </xdr:cxnSp>
    </xdr:grpSp>
    <xdr:clientData/>
  </xdr:twoCellAnchor>
  <xdr:twoCellAnchor editAs="oneCell">
    <xdr:from>
      <xdr:col>10</xdr:col>
      <xdr:colOff>28440</xdr:colOff>
      <xdr:row>6</xdr:row>
      <xdr:rowOff>0</xdr:rowOff>
    </xdr:from>
    <xdr:to>
      <xdr:col>11</xdr:col>
      <xdr:colOff>304560</xdr:colOff>
      <xdr:row>9</xdr:row>
      <xdr:rowOff>16920</xdr:rowOff>
    </xdr:to>
    <xdr:sp>
      <xdr:nvSpPr>
        <xdr:cNvPr id="776" name="Shape 438"/>
        <xdr:cNvSpPr/>
      </xdr:nvSpPr>
      <xdr:spPr>
        <a:xfrm>
          <a:off x="6435720" y="1057320"/>
          <a:ext cx="1007640" cy="4834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Exciter/Modulator/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FEC Encoder</a:t>
          </a:r>
          <a:endParaRPr b="0" lang="en-US" sz="1000" strike="noStrike" u="none">
            <a:effectLst/>
            <a:uFillTx/>
            <a:latin typeface="Times New Roman"/>
          </a:endParaRPr>
        </a:p>
      </xdr:txBody>
    </xdr:sp>
    <xdr:clientData/>
  </xdr:twoCellAnchor>
  <xdr:twoCellAnchor editAs="oneCell">
    <xdr:from>
      <xdr:col>10</xdr:col>
      <xdr:colOff>712440</xdr:colOff>
      <xdr:row>5</xdr:row>
      <xdr:rowOff>0</xdr:rowOff>
    </xdr:from>
    <xdr:to>
      <xdr:col>10</xdr:col>
      <xdr:colOff>714240</xdr:colOff>
      <xdr:row>6</xdr:row>
      <xdr:rowOff>1440</xdr:rowOff>
    </xdr:to>
    <xdr:grpSp>
      <xdr:nvGrpSpPr>
        <xdr:cNvPr id="777" name="Shape 2"/>
        <xdr:cNvGrpSpPr/>
      </xdr:nvGrpSpPr>
      <xdr:grpSpPr>
        <a:xfrm>
          <a:off x="7119720" y="895320"/>
          <a:ext cx="1800" cy="163440"/>
          <a:chOff x="7119720" y="895320"/>
          <a:chExt cx="1800" cy="163440"/>
        </a:xfrm>
      </xdr:grpSpPr>
      <xdr:cxnSp>
        <xdr:nvCxnSpPr>
          <xdr:cNvPr id="778" name="Shape 439"/>
          <xdr:cNvCxnSpPr/>
        </xdr:nvCxnSpPr>
        <xdr:spPr>
          <a:xfrm>
            <a:off x="7119720" y="895320"/>
            <a:ext cx="2160" cy="163800"/>
          </a:xfrm>
          <a:prstGeom prst="straightConnector1">
            <a:avLst/>
          </a:prstGeom>
          <a:ln w="19050">
            <a:solidFill>
              <a:srgbClr val="000000"/>
            </a:solidFill>
            <a:miter/>
            <a:tailEnd len="med" type="triangle" w="med"/>
          </a:ln>
        </xdr:spPr>
      </xdr:cxnSp>
    </xdr:grpSp>
    <xdr:clientData/>
  </xdr:twoCellAnchor>
  <xdr:twoCellAnchor editAs="oneCell">
    <xdr:from>
      <xdr:col>10</xdr:col>
      <xdr:colOff>295200</xdr:colOff>
      <xdr:row>31</xdr:row>
      <xdr:rowOff>85680</xdr:rowOff>
    </xdr:from>
    <xdr:to>
      <xdr:col>11</xdr:col>
      <xdr:colOff>352080</xdr:colOff>
      <xdr:row>36</xdr:row>
      <xdr:rowOff>7560</xdr:rowOff>
    </xdr:to>
    <xdr:sp>
      <xdr:nvSpPr>
        <xdr:cNvPr id="779" name="Shape 440"/>
        <xdr:cNvSpPr/>
      </xdr:nvSpPr>
      <xdr:spPr>
        <a:xfrm>
          <a:off x="6702480" y="4981680"/>
          <a:ext cx="788400" cy="68364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10</xdr:col>
      <xdr:colOff>712440</xdr:colOff>
      <xdr:row>26</xdr:row>
      <xdr:rowOff>75960</xdr:rowOff>
    </xdr:from>
    <xdr:to>
      <xdr:col>10</xdr:col>
      <xdr:colOff>714240</xdr:colOff>
      <xdr:row>36</xdr:row>
      <xdr:rowOff>1800</xdr:rowOff>
    </xdr:to>
    <xdr:grpSp>
      <xdr:nvGrpSpPr>
        <xdr:cNvPr id="780" name="Shape 2"/>
        <xdr:cNvGrpSpPr/>
      </xdr:nvGrpSpPr>
      <xdr:grpSpPr>
        <a:xfrm>
          <a:off x="7119720" y="4209840"/>
          <a:ext cx="1800" cy="1449720"/>
          <a:chOff x="7119720" y="4209840"/>
          <a:chExt cx="1800" cy="1449720"/>
        </a:xfrm>
      </xdr:grpSpPr>
      <xdr:cxnSp>
        <xdr:nvCxnSpPr>
          <xdr:cNvPr id="781" name="Shape 441"/>
          <xdr:cNvCxnSpPr/>
        </xdr:nvCxnSpPr>
        <xdr:spPr>
          <a:xfrm flipV="1">
            <a:off x="7119720" y="4209840"/>
            <a:ext cx="2160" cy="1450080"/>
          </a:xfrm>
          <a:prstGeom prst="straightConnector1">
            <a:avLst/>
          </a:prstGeom>
          <a:ln w="19050">
            <a:solidFill>
              <a:srgbClr val="000000"/>
            </a:solidFill>
            <a:miter/>
          </a:ln>
        </xdr:spPr>
      </xdr:cxnSp>
    </xdr:grpSp>
    <xdr:clientData/>
  </xdr:twoCellAnchor>
  <xdr:twoCellAnchor editAs="oneCell">
    <xdr:from>
      <xdr:col>10</xdr:col>
      <xdr:colOff>297360</xdr:colOff>
      <xdr:row>45</xdr:row>
      <xdr:rowOff>145080</xdr:rowOff>
    </xdr:from>
    <xdr:to>
      <xdr:col>11</xdr:col>
      <xdr:colOff>354240</xdr:colOff>
      <xdr:row>50</xdr:row>
      <xdr:rowOff>57240</xdr:rowOff>
    </xdr:to>
    <xdr:sp>
      <xdr:nvSpPr>
        <xdr:cNvPr id="782" name="Shape 442"/>
        <xdr:cNvSpPr/>
      </xdr:nvSpPr>
      <xdr:spPr>
        <a:xfrm rot="10800000">
          <a:off x="6704640" y="7174440"/>
          <a:ext cx="788400" cy="674280"/>
        </a:xfrm>
        <a:prstGeom prst="triangle">
          <a:avLst>
            <a:gd name="adj" fmla="val 50000"/>
          </a:avLst>
        </a:prstGeom>
        <a:noFill/>
        <a:ln w="19050">
          <a:solidFill>
            <a:srgbClr val="000000"/>
          </a:solidFill>
          <a:miter/>
        </a:ln>
      </xdr:spPr>
      <xdr:style>
        <a:lnRef idx="0"/>
        <a:fillRef idx="0"/>
        <a:effectRef idx="0"/>
        <a:fontRef idx="minor"/>
      </xdr:style>
    </xdr:sp>
    <xdr:clientData/>
  </xdr:twoCellAnchor>
  <xdr:twoCellAnchor editAs="oneCell">
    <xdr:from>
      <xdr:col>10</xdr:col>
      <xdr:colOff>712440</xdr:colOff>
      <xdr:row>46</xdr:row>
      <xdr:rowOff>0</xdr:rowOff>
    </xdr:from>
    <xdr:to>
      <xdr:col>10</xdr:col>
      <xdr:colOff>714240</xdr:colOff>
      <xdr:row>55</xdr:row>
      <xdr:rowOff>20520</xdr:rowOff>
    </xdr:to>
    <xdr:grpSp>
      <xdr:nvGrpSpPr>
        <xdr:cNvPr id="783" name="Shape 2"/>
        <xdr:cNvGrpSpPr/>
      </xdr:nvGrpSpPr>
      <xdr:grpSpPr>
        <a:xfrm>
          <a:off x="7119720" y="7182000"/>
          <a:ext cx="1800" cy="1392120"/>
          <a:chOff x="7119720" y="7182000"/>
          <a:chExt cx="1800" cy="1392120"/>
        </a:xfrm>
      </xdr:grpSpPr>
      <xdr:cxnSp>
        <xdr:nvCxnSpPr>
          <xdr:cNvPr id="784" name="Shape 443"/>
          <xdr:cNvCxnSpPr/>
        </xdr:nvCxnSpPr>
        <xdr:spPr>
          <a:xfrm>
            <a:off x="7119720" y="7182000"/>
            <a:ext cx="2160" cy="1392480"/>
          </a:xfrm>
          <a:prstGeom prst="straightConnector1">
            <a:avLst/>
          </a:prstGeom>
          <a:ln w="19050">
            <a:solidFill>
              <a:srgbClr val="000000"/>
            </a:solidFill>
            <a:miter/>
          </a:ln>
        </xdr:spPr>
      </xdr:cxnSp>
    </xdr:grpSp>
    <xdr:clientData/>
  </xdr:twoCellAnchor>
  <xdr:twoCellAnchor editAs="oneCell">
    <xdr:from>
      <xdr:col>10</xdr:col>
      <xdr:colOff>0</xdr:colOff>
      <xdr:row>54</xdr:row>
      <xdr:rowOff>143280</xdr:rowOff>
    </xdr:from>
    <xdr:to>
      <xdr:col>11</xdr:col>
      <xdr:colOff>628560</xdr:colOff>
      <xdr:row>58</xdr:row>
      <xdr:rowOff>16920</xdr:rowOff>
    </xdr:to>
    <xdr:sp>
      <xdr:nvSpPr>
        <xdr:cNvPr id="785" name="Shape 444"/>
        <xdr:cNvSpPr/>
      </xdr:nvSpPr>
      <xdr:spPr>
        <a:xfrm>
          <a:off x="6407280" y="8544240"/>
          <a:ext cx="1360080" cy="48348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Other</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In-Line</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Device</a:t>
          </a:r>
          <a:endParaRPr b="0" lang="en-US" sz="1000" strike="noStrike" u="none">
            <a:effectLst/>
            <a:uFillTx/>
            <a:latin typeface="Times New Roman"/>
          </a:endParaRPr>
        </a:p>
      </xdr:txBody>
    </xdr:sp>
    <xdr:clientData/>
  </xdr:twoCellAnchor>
  <xdr:twoCellAnchor editAs="oneCell">
    <xdr:from>
      <xdr:col>10</xdr:col>
      <xdr:colOff>0</xdr:colOff>
      <xdr:row>60</xdr:row>
      <xdr:rowOff>0</xdr:rowOff>
    </xdr:from>
    <xdr:to>
      <xdr:col>11</xdr:col>
      <xdr:colOff>571320</xdr:colOff>
      <xdr:row>63</xdr:row>
      <xdr:rowOff>16920</xdr:rowOff>
    </xdr:to>
    <xdr:sp>
      <xdr:nvSpPr>
        <xdr:cNvPr id="786" name="Shape 445"/>
        <xdr:cNvSpPr/>
      </xdr:nvSpPr>
      <xdr:spPr>
        <a:xfrm>
          <a:off x="6407280" y="9315360"/>
          <a:ext cx="1302840" cy="47412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Receiver Front End</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712440</xdr:colOff>
      <xdr:row>58</xdr:row>
      <xdr:rowOff>9360</xdr:rowOff>
    </xdr:from>
    <xdr:to>
      <xdr:col>10</xdr:col>
      <xdr:colOff>714240</xdr:colOff>
      <xdr:row>60</xdr:row>
      <xdr:rowOff>11520</xdr:rowOff>
    </xdr:to>
    <xdr:grpSp>
      <xdr:nvGrpSpPr>
        <xdr:cNvPr id="787" name="Shape 2"/>
        <xdr:cNvGrpSpPr/>
      </xdr:nvGrpSpPr>
      <xdr:grpSpPr>
        <a:xfrm>
          <a:off x="7119720" y="9020160"/>
          <a:ext cx="1800" cy="306720"/>
          <a:chOff x="7119720" y="9020160"/>
          <a:chExt cx="1800" cy="306720"/>
        </a:xfrm>
      </xdr:grpSpPr>
      <xdr:cxnSp>
        <xdr:nvCxnSpPr>
          <xdr:cNvPr id="788" name="Shape 437"/>
          <xdr:cNvCxnSpPr/>
        </xdr:nvCxnSpPr>
        <xdr:spPr>
          <a:xfrm>
            <a:off x="7119720" y="9020160"/>
            <a:ext cx="2160" cy="307080"/>
          </a:xfrm>
          <a:prstGeom prst="straightConnector1">
            <a:avLst/>
          </a:prstGeom>
          <a:ln w="19050">
            <a:solidFill>
              <a:srgbClr val="000000"/>
            </a:solidFill>
            <a:miter/>
          </a:ln>
        </xdr:spPr>
      </xdr:cxnSp>
    </xdr:grpSp>
    <xdr:clientData/>
  </xdr:twoCellAnchor>
  <xdr:twoCellAnchor editAs="oneCell">
    <xdr:from>
      <xdr:col>10</xdr:col>
      <xdr:colOff>712440</xdr:colOff>
      <xdr:row>63</xdr:row>
      <xdr:rowOff>9360</xdr:rowOff>
    </xdr:from>
    <xdr:to>
      <xdr:col>10</xdr:col>
      <xdr:colOff>714240</xdr:colOff>
      <xdr:row>66</xdr:row>
      <xdr:rowOff>1800</xdr:rowOff>
    </xdr:to>
    <xdr:grpSp>
      <xdr:nvGrpSpPr>
        <xdr:cNvPr id="789" name="Shape 2"/>
        <xdr:cNvGrpSpPr/>
      </xdr:nvGrpSpPr>
      <xdr:grpSpPr>
        <a:xfrm>
          <a:off x="7119720" y="9781920"/>
          <a:ext cx="1800" cy="449640"/>
          <a:chOff x="7119720" y="9781920"/>
          <a:chExt cx="1800" cy="449640"/>
        </a:xfrm>
      </xdr:grpSpPr>
      <xdr:cxnSp>
        <xdr:nvCxnSpPr>
          <xdr:cNvPr id="790" name="Shape 446"/>
          <xdr:cNvCxnSpPr/>
        </xdr:nvCxnSpPr>
        <xdr:spPr>
          <a:xfrm>
            <a:off x="7119720" y="9781920"/>
            <a:ext cx="2160" cy="450000"/>
          </a:xfrm>
          <a:prstGeom prst="straightConnector1">
            <a:avLst/>
          </a:prstGeom>
          <a:ln w="19050">
            <a:solidFill>
              <a:srgbClr val="000000"/>
            </a:solidFill>
            <a:miter/>
          </a:ln>
        </xdr:spPr>
      </xdr:cxnSp>
    </xdr:grpSp>
    <xdr:clientData/>
  </xdr:twoCellAnchor>
  <xdr:twoCellAnchor editAs="oneCell">
    <xdr:from>
      <xdr:col>10</xdr:col>
      <xdr:colOff>211680</xdr:colOff>
      <xdr:row>65</xdr:row>
      <xdr:rowOff>144720</xdr:rowOff>
    </xdr:from>
    <xdr:to>
      <xdr:col>11</xdr:col>
      <xdr:colOff>439920</xdr:colOff>
      <xdr:row>70</xdr:row>
      <xdr:rowOff>142560</xdr:rowOff>
    </xdr:to>
    <xdr:sp>
      <xdr:nvSpPr>
        <xdr:cNvPr id="791" name="Shape 447"/>
        <xdr:cNvSpPr/>
      </xdr:nvSpPr>
      <xdr:spPr>
        <a:xfrm rot="10800000">
          <a:off x="6618960" y="10222200"/>
          <a:ext cx="959760" cy="759960"/>
        </a:xfrm>
        <a:prstGeom prst="triangle">
          <a:avLst>
            <a:gd name="adj" fmla="val 50000"/>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LNA</a:t>
          </a:r>
          <a:endParaRPr b="0" lang="en-US" sz="1000" strike="noStrike" u="none">
            <a:effectLst/>
            <a:uFillTx/>
            <a:latin typeface="Times New Roman"/>
          </a:endParaRPr>
        </a:p>
      </xdr:txBody>
    </xdr:sp>
    <xdr:clientData/>
  </xdr:twoCellAnchor>
  <xdr:twoCellAnchor editAs="oneCell">
    <xdr:from>
      <xdr:col>10</xdr:col>
      <xdr:colOff>630720</xdr:colOff>
      <xdr:row>36</xdr:row>
      <xdr:rowOff>116280</xdr:rowOff>
    </xdr:from>
    <xdr:to>
      <xdr:col>11</xdr:col>
      <xdr:colOff>20880</xdr:colOff>
      <xdr:row>45</xdr:row>
      <xdr:rowOff>47520</xdr:rowOff>
    </xdr:to>
    <xdr:sp>
      <xdr:nvSpPr>
        <xdr:cNvPr id="792" name="Shape 448"/>
        <xdr:cNvSpPr/>
      </xdr:nvSpPr>
      <xdr:spPr>
        <a:xfrm rot="10800000">
          <a:off x="7038000" y="5774040"/>
          <a:ext cx="121680" cy="1302840"/>
        </a:xfrm>
        <a:prstGeom prst="upArrow">
          <a:avLst>
            <a:gd name="adj1" fmla="val 50000"/>
            <a:gd name="adj2" fmla="val 50000"/>
          </a:avLst>
        </a:prstGeom>
        <a:solidFill>
          <a:srgbClr val="ff0000"/>
        </a:solidFill>
        <a:ln w="9525">
          <a:solidFill>
            <a:srgbClr val="ff0000"/>
          </a:solidFill>
          <a:miter/>
        </a:ln>
      </xdr:spPr>
      <xdr:style>
        <a:lnRef idx="0"/>
        <a:fillRef idx="0"/>
        <a:effectRef idx="0"/>
        <a:fontRef idx="minor"/>
      </xdr:style>
    </xdr:sp>
    <xdr:clientData/>
  </xdr:twoCellAnchor>
  <xdr:twoCellAnchor editAs="oneCell">
    <xdr:from>
      <xdr:col>10</xdr:col>
      <xdr:colOff>478080</xdr:colOff>
      <xdr:row>40</xdr:row>
      <xdr:rowOff>87840</xdr:rowOff>
    </xdr:from>
    <xdr:to>
      <xdr:col>11</xdr:col>
      <xdr:colOff>154080</xdr:colOff>
      <xdr:row>41</xdr:row>
      <xdr:rowOff>123840</xdr:rowOff>
    </xdr:to>
    <xdr:sp>
      <xdr:nvSpPr>
        <xdr:cNvPr id="793" name="Shape 449"/>
        <xdr:cNvSpPr/>
      </xdr:nvSpPr>
      <xdr:spPr>
        <a:xfrm rot="11220000">
          <a:off x="6885360" y="6355080"/>
          <a:ext cx="407520" cy="188280"/>
        </a:xfrm>
        <a:prstGeom prst="wave">
          <a:avLst>
            <a:gd name="adj1" fmla="val 12500"/>
            <a:gd name="adj2" fmla="val 0"/>
          </a:avLst>
        </a:prstGeom>
        <a:solidFill>
          <a:srgbClr val="c0c0c0"/>
        </a:solidFill>
        <a:ln w="9525">
          <a:solidFill>
            <a:srgbClr val="000000"/>
          </a:solidFill>
          <a:miter/>
        </a:ln>
      </xdr:spPr>
      <xdr:style>
        <a:lnRef idx="0"/>
        <a:fillRef idx="0"/>
        <a:effectRef idx="0"/>
        <a:fontRef idx="minor"/>
      </xdr:style>
    </xdr:sp>
    <xdr:clientData/>
  </xdr:twoCellAnchor>
  <xdr:twoCellAnchor editAs="oneCell">
    <xdr:from>
      <xdr:col>10</xdr:col>
      <xdr:colOff>411840</xdr:colOff>
      <xdr:row>40</xdr:row>
      <xdr:rowOff>78840</xdr:rowOff>
    </xdr:from>
    <xdr:to>
      <xdr:col>10</xdr:col>
      <xdr:colOff>514440</xdr:colOff>
      <xdr:row>41</xdr:row>
      <xdr:rowOff>76680</xdr:rowOff>
    </xdr:to>
    <xdr:sp>
      <xdr:nvSpPr>
        <xdr:cNvPr id="794" name="Shape 450"/>
        <xdr:cNvSpPr/>
      </xdr:nvSpPr>
      <xdr:spPr>
        <a:xfrm rot="11340000">
          <a:off x="6818760" y="6346080"/>
          <a:ext cx="102600" cy="15012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11</xdr:col>
      <xdr:colOff>145440</xdr:colOff>
      <xdr:row>40</xdr:row>
      <xdr:rowOff>125640</xdr:rowOff>
    </xdr:from>
    <xdr:to>
      <xdr:col>11</xdr:col>
      <xdr:colOff>228960</xdr:colOff>
      <xdr:row>41</xdr:row>
      <xdr:rowOff>95040</xdr:rowOff>
    </xdr:to>
    <xdr:sp>
      <xdr:nvSpPr>
        <xdr:cNvPr id="795" name="Shape 451"/>
        <xdr:cNvSpPr/>
      </xdr:nvSpPr>
      <xdr:spPr>
        <a:xfrm rot="11340000">
          <a:off x="7283880" y="6392880"/>
          <a:ext cx="83520" cy="121680"/>
        </a:xfrm>
        <a:prstGeom prst="rect">
          <a:avLst/>
        </a:prstGeom>
        <a:solidFill>
          <a:srgbClr val="c0c0c0"/>
        </a:solidFill>
        <a:ln w="9525">
          <a:solidFill>
            <a:srgbClr val="c0c0c0"/>
          </a:solidFill>
          <a:miter/>
        </a:ln>
      </xdr:spPr>
      <xdr:style>
        <a:lnRef idx="0"/>
        <a:fillRef idx="0"/>
        <a:effectRef idx="0"/>
        <a:fontRef idx="minor"/>
      </xdr:style>
    </xdr:sp>
    <xdr:clientData/>
  </xdr:twoCellAnchor>
  <xdr:twoCellAnchor editAs="oneCell">
    <xdr:from>
      <xdr:col>10</xdr:col>
      <xdr:colOff>316440</xdr:colOff>
      <xdr:row>73</xdr:row>
      <xdr:rowOff>2160</xdr:rowOff>
    </xdr:from>
    <xdr:to>
      <xdr:col>11</xdr:col>
      <xdr:colOff>325800</xdr:colOff>
      <xdr:row>76</xdr:row>
      <xdr:rowOff>114480</xdr:rowOff>
    </xdr:to>
    <xdr:sp>
      <xdr:nvSpPr>
        <xdr:cNvPr id="796" name="Shape 452"/>
        <xdr:cNvSpPr/>
      </xdr:nvSpPr>
      <xdr:spPr>
        <a:xfrm rot="10800000">
          <a:off x="6723720" y="11298960"/>
          <a:ext cx="740880" cy="569520"/>
        </a:xfrm>
        <a:prstGeom prst="triangle">
          <a:avLst>
            <a:gd name="adj" fmla="val 50000"/>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2160</xdr:colOff>
      <xdr:row>80</xdr:row>
      <xdr:rowOff>2160</xdr:rowOff>
    </xdr:from>
    <xdr:to>
      <xdr:col>11</xdr:col>
      <xdr:colOff>621000</xdr:colOff>
      <xdr:row>84</xdr:row>
      <xdr:rowOff>19080</xdr:rowOff>
    </xdr:to>
    <xdr:sp>
      <xdr:nvSpPr>
        <xdr:cNvPr id="797" name="Shape 453"/>
        <xdr:cNvSpPr/>
      </xdr:nvSpPr>
      <xdr:spPr>
        <a:xfrm rot="10800000">
          <a:off x="6409440" y="12365640"/>
          <a:ext cx="1350360" cy="62640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Downconverters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Mixers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IF</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Amplification</a:t>
          </a:r>
          <a:endParaRPr b="0" lang="en-US" sz="1000" strike="noStrike" u="none">
            <a:effectLst/>
            <a:uFillTx/>
            <a:latin typeface="Times New Roman"/>
          </a:endParaRPr>
        </a:p>
      </xdr:txBody>
    </xdr:sp>
    <xdr:clientData/>
  </xdr:twoCellAnchor>
  <xdr:twoCellAnchor editAs="oneCell">
    <xdr:from>
      <xdr:col>10</xdr:col>
      <xdr:colOff>666720</xdr:colOff>
      <xdr:row>76</xdr:row>
      <xdr:rowOff>133200</xdr:rowOff>
    </xdr:from>
    <xdr:to>
      <xdr:col>10</xdr:col>
      <xdr:colOff>706320</xdr:colOff>
      <xdr:row>80</xdr:row>
      <xdr:rowOff>1800</xdr:rowOff>
    </xdr:to>
    <xdr:grpSp>
      <xdr:nvGrpSpPr>
        <xdr:cNvPr id="798" name="Shape 2"/>
        <xdr:cNvGrpSpPr/>
      </xdr:nvGrpSpPr>
      <xdr:grpSpPr>
        <a:xfrm>
          <a:off x="7074000" y="11887200"/>
          <a:ext cx="39600" cy="478080"/>
          <a:chOff x="7074000" y="11887200"/>
          <a:chExt cx="39600" cy="478080"/>
        </a:xfrm>
      </xdr:grpSpPr>
      <xdr:cxnSp>
        <xdr:nvCxnSpPr>
          <xdr:cNvPr id="799" name="Shape 454"/>
          <xdr:cNvCxnSpPr/>
        </xdr:nvCxnSpPr>
        <xdr:spPr>
          <a:xfrm flipV="1">
            <a:off x="7074000" y="11887200"/>
            <a:ext cx="39960" cy="478440"/>
          </a:xfrm>
          <a:prstGeom prst="straightConnector1">
            <a:avLst/>
          </a:prstGeom>
          <a:ln w="19050">
            <a:solidFill>
              <a:srgbClr val="000000"/>
            </a:solidFill>
            <a:miter/>
          </a:ln>
        </xdr:spPr>
      </xdr:cxnSp>
    </xdr:grpSp>
    <xdr:clientData/>
  </xdr:twoCellAnchor>
  <xdr:twoCellAnchor editAs="oneCell">
    <xdr:from>
      <xdr:col>10</xdr:col>
      <xdr:colOff>712440</xdr:colOff>
      <xdr:row>84</xdr:row>
      <xdr:rowOff>9360</xdr:rowOff>
    </xdr:from>
    <xdr:to>
      <xdr:col>10</xdr:col>
      <xdr:colOff>714240</xdr:colOff>
      <xdr:row>86</xdr:row>
      <xdr:rowOff>30240</xdr:rowOff>
    </xdr:to>
    <xdr:grpSp>
      <xdr:nvGrpSpPr>
        <xdr:cNvPr id="800" name="Shape 2"/>
        <xdr:cNvGrpSpPr/>
      </xdr:nvGrpSpPr>
      <xdr:grpSpPr>
        <a:xfrm>
          <a:off x="7119720" y="12982320"/>
          <a:ext cx="1800" cy="325800"/>
          <a:chOff x="7119720" y="12982320"/>
          <a:chExt cx="1800" cy="325800"/>
        </a:xfrm>
      </xdr:grpSpPr>
      <xdr:cxnSp>
        <xdr:nvCxnSpPr>
          <xdr:cNvPr id="801" name="Shape 455"/>
          <xdr:cNvCxnSpPr/>
        </xdr:nvCxnSpPr>
        <xdr:spPr>
          <a:xfrm flipV="1">
            <a:off x="7119720" y="12982320"/>
            <a:ext cx="2160" cy="326160"/>
          </a:xfrm>
          <a:prstGeom prst="straightConnector1">
            <a:avLst/>
          </a:prstGeom>
          <a:ln w="19050">
            <a:solidFill>
              <a:srgbClr val="000000"/>
            </a:solidFill>
            <a:miter/>
          </a:ln>
        </xdr:spPr>
      </xdr:cxnSp>
    </xdr:grpSp>
    <xdr:clientData/>
  </xdr:twoCellAnchor>
  <xdr:twoCellAnchor editAs="oneCell">
    <xdr:from>
      <xdr:col>10</xdr:col>
      <xdr:colOff>371520</xdr:colOff>
      <xdr:row>73</xdr:row>
      <xdr:rowOff>0</xdr:rowOff>
    </xdr:from>
    <xdr:to>
      <xdr:col>11</xdr:col>
      <xdr:colOff>276120</xdr:colOff>
      <xdr:row>75</xdr:row>
      <xdr:rowOff>45720</xdr:rowOff>
    </xdr:to>
    <xdr:sp>
      <xdr:nvSpPr>
        <xdr:cNvPr id="802" name="Shape 456"/>
        <xdr:cNvSpPr/>
      </xdr:nvSpPr>
      <xdr:spPr>
        <a:xfrm>
          <a:off x="6778800" y="11296800"/>
          <a:ext cx="636120" cy="3502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2nd </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Amp.</a:t>
          </a:r>
          <a:endParaRPr b="0" lang="en-US" sz="1000" strike="noStrike" u="none">
            <a:effectLst/>
            <a:uFillTx/>
            <a:latin typeface="Times New Roman"/>
          </a:endParaRPr>
        </a:p>
      </xdr:txBody>
    </xdr:sp>
    <xdr:clientData/>
  </xdr:twoCellAnchor>
  <xdr:twoCellAnchor editAs="oneCell">
    <xdr:from>
      <xdr:col>10</xdr:col>
      <xdr:colOff>712440</xdr:colOff>
      <xdr:row>70</xdr:row>
      <xdr:rowOff>132840</xdr:rowOff>
    </xdr:from>
    <xdr:to>
      <xdr:col>10</xdr:col>
      <xdr:colOff>714240</xdr:colOff>
      <xdr:row>73</xdr:row>
      <xdr:rowOff>1800</xdr:rowOff>
    </xdr:to>
    <xdr:grpSp>
      <xdr:nvGrpSpPr>
        <xdr:cNvPr id="803" name="Shape 2"/>
        <xdr:cNvGrpSpPr/>
      </xdr:nvGrpSpPr>
      <xdr:grpSpPr>
        <a:xfrm>
          <a:off x="7119720" y="10972440"/>
          <a:ext cx="1800" cy="326160"/>
          <a:chOff x="7119720" y="10972440"/>
          <a:chExt cx="1800" cy="326160"/>
        </a:xfrm>
      </xdr:grpSpPr>
      <xdr:cxnSp>
        <xdr:nvCxnSpPr>
          <xdr:cNvPr id="804" name="Shape 455"/>
          <xdr:cNvCxnSpPr/>
        </xdr:nvCxnSpPr>
        <xdr:spPr>
          <a:xfrm flipV="1">
            <a:off x="7119720" y="10972440"/>
            <a:ext cx="2160" cy="326520"/>
          </a:xfrm>
          <a:prstGeom prst="straightConnector1">
            <a:avLst/>
          </a:prstGeom>
          <a:ln w="19050">
            <a:solidFill>
              <a:srgbClr val="000000"/>
            </a:solidFill>
            <a:miter/>
          </a:ln>
        </xdr:spPr>
      </xdr:cxnSp>
    </xdr:grpSp>
    <xdr:clientData/>
  </xdr:twoCellAnchor>
  <xdr:twoCellAnchor editAs="oneCell">
    <xdr:from>
      <xdr:col>10</xdr:col>
      <xdr:colOff>0</xdr:colOff>
      <xdr:row>85</xdr:row>
      <xdr:rowOff>142920</xdr:rowOff>
    </xdr:from>
    <xdr:to>
      <xdr:col>11</xdr:col>
      <xdr:colOff>571320</xdr:colOff>
      <xdr:row>90</xdr:row>
      <xdr:rowOff>7560</xdr:rowOff>
    </xdr:to>
    <xdr:sp>
      <xdr:nvSpPr>
        <xdr:cNvPr id="805" name="Shape 457"/>
        <xdr:cNvSpPr/>
      </xdr:nvSpPr>
      <xdr:spPr>
        <a:xfrm>
          <a:off x="6407280" y="13268520"/>
          <a:ext cx="1302840" cy="62640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0</xdr:colOff>
      <xdr:row>92</xdr:row>
      <xdr:rowOff>0</xdr:rowOff>
    </xdr:from>
    <xdr:to>
      <xdr:col>11</xdr:col>
      <xdr:colOff>571320</xdr:colOff>
      <xdr:row>96</xdr:row>
      <xdr:rowOff>16920</xdr:rowOff>
    </xdr:to>
    <xdr:sp>
      <xdr:nvSpPr>
        <xdr:cNvPr id="806" name="Shape 457"/>
        <xdr:cNvSpPr/>
      </xdr:nvSpPr>
      <xdr:spPr>
        <a:xfrm>
          <a:off x="6407280" y="14192280"/>
          <a:ext cx="1302840" cy="626400"/>
        </a:xfrm>
        <a:prstGeom prst="rect">
          <a:avLst/>
        </a:prstGeom>
        <a:solidFill>
          <a:srgbClr val="99ccff"/>
        </a:solidFill>
        <a:ln w="19050">
          <a:solidFill>
            <a:srgbClr val="000000"/>
          </a:solidFill>
          <a:miter/>
        </a:ln>
      </xdr:spPr>
      <xdr:style>
        <a:lnRef idx="0"/>
        <a:fillRef idx="0"/>
        <a:effectRef idx="0"/>
        <a:fontRef idx="minor"/>
      </xdr:style>
    </xdr:sp>
    <xdr:clientData/>
  </xdr:twoCellAnchor>
  <xdr:twoCellAnchor editAs="oneCell">
    <xdr:from>
      <xdr:col>10</xdr:col>
      <xdr:colOff>9360</xdr:colOff>
      <xdr:row>98</xdr:row>
      <xdr:rowOff>0</xdr:rowOff>
    </xdr:from>
    <xdr:to>
      <xdr:col>11</xdr:col>
      <xdr:colOff>561600</xdr:colOff>
      <xdr:row>102</xdr:row>
      <xdr:rowOff>7560</xdr:rowOff>
    </xdr:to>
    <xdr:sp>
      <xdr:nvSpPr>
        <xdr:cNvPr id="807" name="Shape 458"/>
        <xdr:cNvSpPr/>
      </xdr:nvSpPr>
      <xdr:spPr>
        <a:xfrm>
          <a:off x="6416640" y="15106680"/>
          <a:ext cx="1283760" cy="617040"/>
        </a:xfrm>
        <a:prstGeom prst="rect">
          <a:avLst/>
        </a:prstGeom>
        <a:solidFill>
          <a:srgbClr val="99ccff"/>
        </a:solidFill>
        <a:ln w="19050">
          <a:solidFill>
            <a:srgbClr val="000000"/>
          </a:solidFill>
          <a:miter/>
        </a:ln>
      </xdr:spPr>
      <xdr:style>
        <a:lnRef idx="0"/>
        <a:fillRef idx="0"/>
        <a:effectRef idx="0"/>
        <a:fontRef idx="minor"/>
      </xdr:style>
      <xdr:txBody>
        <a:bodyPr lIns="90000" rIns="90000" tIns="45000" bIns="45000" anchor="t">
          <a:noAutofit/>
        </a:bodyPr>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a:p>
          <a:pPr algn="ctr">
            <a:lnSpc>
              <a:spcPct val="100000"/>
            </a:lnSpc>
            <a:tabLst>
              <a:tab algn="l" pos="0"/>
            </a:tabLst>
          </a:pPr>
          <a:endParaRPr b="0" lang="en-US" sz="1400" strike="noStrike" u="none">
            <a:effectLst/>
            <a:uFillTx/>
            <a:latin typeface="Times New Roman"/>
          </a:endParaRPr>
        </a:p>
      </xdr:txBody>
    </xdr:sp>
    <xdr:clientData/>
  </xdr:twoCellAnchor>
  <xdr:twoCellAnchor editAs="oneCell">
    <xdr:from>
      <xdr:col>10</xdr:col>
      <xdr:colOff>712440</xdr:colOff>
      <xdr:row>90</xdr:row>
      <xdr:rowOff>9360</xdr:rowOff>
    </xdr:from>
    <xdr:to>
      <xdr:col>10</xdr:col>
      <xdr:colOff>714240</xdr:colOff>
      <xdr:row>92</xdr:row>
      <xdr:rowOff>11160</xdr:rowOff>
    </xdr:to>
    <xdr:grpSp>
      <xdr:nvGrpSpPr>
        <xdr:cNvPr id="808" name="Shape 2"/>
        <xdr:cNvGrpSpPr/>
      </xdr:nvGrpSpPr>
      <xdr:grpSpPr>
        <a:xfrm>
          <a:off x="7119720" y="13896720"/>
          <a:ext cx="1800" cy="306720"/>
          <a:chOff x="7119720" y="13896720"/>
          <a:chExt cx="1800" cy="306720"/>
        </a:xfrm>
      </xdr:grpSpPr>
      <xdr:cxnSp>
        <xdr:nvCxnSpPr>
          <xdr:cNvPr id="809" name="Shape 437"/>
          <xdr:cNvCxnSpPr/>
        </xdr:nvCxnSpPr>
        <xdr:spPr>
          <a:xfrm>
            <a:off x="7119720" y="13896720"/>
            <a:ext cx="2160" cy="307080"/>
          </a:xfrm>
          <a:prstGeom prst="straightConnector1">
            <a:avLst/>
          </a:prstGeom>
          <a:ln w="19050">
            <a:solidFill>
              <a:srgbClr val="000000"/>
            </a:solidFill>
            <a:miter/>
          </a:ln>
        </xdr:spPr>
      </xdr:cxnSp>
    </xdr:grpSp>
    <xdr:clientData/>
  </xdr:twoCellAnchor>
  <xdr:twoCellAnchor editAs="oneCell">
    <xdr:from>
      <xdr:col>10</xdr:col>
      <xdr:colOff>712440</xdr:colOff>
      <xdr:row>102</xdr:row>
      <xdr:rowOff>0</xdr:rowOff>
    </xdr:from>
    <xdr:to>
      <xdr:col>10</xdr:col>
      <xdr:colOff>714240</xdr:colOff>
      <xdr:row>104</xdr:row>
      <xdr:rowOff>11160</xdr:rowOff>
    </xdr:to>
    <xdr:grpSp>
      <xdr:nvGrpSpPr>
        <xdr:cNvPr id="810" name="Shape 2"/>
        <xdr:cNvGrpSpPr/>
      </xdr:nvGrpSpPr>
      <xdr:grpSpPr>
        <a:xfrm>
          <a:off x="7119720" y="15716160"/>
          <a:ext cx="1800" cy="316080"/>
          <a:chOff x="7119720" y="15716160"/>
          <a:chExt cx="1800" cy="316080"/>
        </a:xfrm>
      </xdr:grpSpPr>
      <xdr:cxnSp>
        <xdr:nvCxnSpPr>
          <xdr:cNvPr id="811" name="Shape 459"/>
          <xdr:cNvCxnSpPr/>
        </xdr:nvCxnSpPr>
        <xdr:spPr>
          <a:xfrm>
            <a:off x="7119720" y="15716160"/>
            <a:ext cx="2160" cy="316440"/>
          </a:xfrm>
          <a:prstGeom prst="straightConnector1">
            <a:avLst/>
          </a:prstGeom>
          <a:ln w="19050">
            <a:solidFill>
              <a:srgbClr val="000000"/>
            </a:solidFill>
            <a:miter/>
            <a:tailEnd len="med" type="triangle" w="med"/>
          </a:ln>
        </xdr:spPr>
      </xdr:cxnSp>
    </xdr:grpSp>
    <xdr:clientData/>
  </xdr:twoCellAnchor>
  <xdr:twoCellAnchor editAs="oneCell">
    <xdr:from>
      <xdr:col>10</xdr:col>
      <xdr:colOff>712440</xdr:colOff>
      <xdr:row>96</xdr:row>
      <xdr:rowOff>9360</xdr:rowOff>
    </xdr:from>
    <xdr:to>
      <xdr:col>10</xdr:col>
      <xdr:colOff>714240</xdr:colOff>
      <xdr:row>98</xdr:row>
      <xdr:rowOff>20520</xdr:rowOff>
    </xdr:to>
    <xdr:grpSp>
      <xdr:nvGrpSpPr>
        <xdr:cNvPr id="812" name="Shape 2"/>
        <xdr:cNvGrpSpPr/>
      </xdr:nvGrpSpPr>
      <xdr:grpSpPr>
        <a:xfrm>
          <a:off x="7119720" y="14811120"/>
          <a:ext cx="1800" cy="316080"/>
          <a:chOff x="7119720" y="14811120"/>
          <a:chExt cx="1800" cy="316080"/>
        </a:xfrm>
      </xdr:grpSpPr>
      <xdr:cxnSp>
        <xdr:nvCxnSpPr>
          <xdr:cNvPr id="813" name="Shape 408"/>
          <xdr:cNvCxnSpPr/>
        </xdr:nvCxnSpPr>
        <xdr:spPr>
          <a:xfrm>
            <a:off x="7119720" y="14811120"/>
            <a:ext cx="2160" cy="316440"/>
          </a:xfrm>
          <a:prstGeom prst="straightConnector1">
            <a:avLst/>
          </a:prstGeom>
          <a:ln w="19050">
            <a:solidFill>
              <a:srgbClr val="000000"/>
            </a:solidFill>
            <a:miter/>
          </a:ln>
        </xdr:spPr>
      </xdr:cxnSp>
    </xdr:grpSp>
    <xdr:clientData/>
  </xdr:twoCellAnchor>
  <xdr:twoCellAnchor editAs="oneCell">
    <xdr:from>
      <xdr:col>10</xdr:col>
      <xdr:colOff>409680</xdr:colOff>
      <xdr:row>86</xdr:row>
      <xdr:rowOff>9360</xdr:rowOff>
    </xdr:from>
    <xdr:to>
      <xdr:col>11</xdr:col>
      <xdr:colOff>257040</xdr:colOff>
      <xdr:row>89</xdr:row>
      <xdr:rowOff>35640</xdr:rowOff>
    </xdr:to>
    <xdr:sp>
      <xdr:nvSpPr>
        <xdr:cNvPr id="814" name="Shape 460"/>
        <xdr:cNvSpPr/>
      </xdr:nvSpPr>
      <xdr:spPr>
        <a:xfrm>
          <a:off x="6816960" y="13287240"/>
          <a:ext cx="578880" cy="48348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Bandpass</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Filter</a:t>
          </a:r>
          <a:endParaRPr b="0" lang="en-US" sz="1000" strike="noStrike" u="none">
            <a:effectLst/>
            <a:uFillTx/>
            <a:latin typeface="Times New Roman"/>
          </a:endParaRPr>
        </a:p>
      </xdr:txBody>
    </xdr:sp>
    <xdr:clientData/>
  </xdr:twoCellAnchor>
  <xdr:twoCellAnchor editAs="oneCell">
    <xdr:from>
      <xdr:col>10</xdr:col>
      <xdr:colOff>171360</xdr:colOff>
      <xdr:row>93</xdr:row>
      <xdr:rowOff>47520</xdr:rowOff>
    </xdr:from>
    <xdr:to>
      <xdr:col>11</xdr:col>
      <xdr:colOff>456840</xdr:colOff>
      <xdr:row>94</xdr:row>
      <xdr:rowOff>73800</xdr:rowOff>
    </xdr:to>
    <xdr:sp>
      <xdr:nvSpPr>
        <xdr:cNvPr id="815" name="Shape 461"/>
        <xdr:cNvSpPr/>
      </xdr:nvSpPr>
      <xdr:spPr>
        <a:xfrm>
          <a:off x="6578640" y="14392080"/>
          <a:ext cx="1017000" cy="178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Data</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Demodulator</a:t>
          </a:r>
          <a:endParaRPr b="0" lang="en-US" sz="1000" strike="noStrike" u="none">
            <a:effectLst/>
            <a:uFillTx/>
            <a:latin typeface="Times New Roman"/>
          </a:endParaRPr>
        </a:p>
      </xdr:txBody>
    </xdr:sp>
    <xdr:clientData/>
  </xdr:twoCellAnchor>
  <xdr:twoCellAnchor editAs="oneCell">
    <xdr:from>
      <xdr:col>10</xdr:col>
      <xdr:colOff>171360</xdr:colOff>
      <xdr:row>99</xdr:row>
      <xdr:rowOff>38160</xdr:rowOff>
    </xdr:from>
    <xdr:to>
      <xdr:col>11</xdr:col>
      <xdr:colOff>428400</xdr:colOff>
      <xdr:row>100</xdr:row>
      <xdr:rowOff>54720</xdr:rowOff>
    </xdr:to>
    <xdr:sp>
      <xdr:nvSpPr>
        <xdr:cNvPr id="816" name="Shape 462"/>
        <xdr:cNvSpPr/>
      </xdr:nvSpPr>
      <xdr:spPr>
        <a:xfrm>
          <a:off x="6578640" y="15297120"/>
          <a:ext cx="988560" cy="169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Data FEC Decoder</a:t>
          </a:r>
          <a:endParaRPr b="0" lang="en-US" sz="1000" strike="noStrike" u="none">
            <a:effectLst/>
            <a:uFillTx/>
            <a:latin typeface="Times New Roman"/>
          </a:endParaRPr>
        </a:p>
      </xdr:txBody>
    </xdr:sp>
    <xdr:clientData/>
  </xdr:twoCellAnchor>
  <xdr:twoCellAnchor editAs="oneCell">
    <xdr:from>
      <xdr:col>12</xdr:col>
      <xdr:colOff>0</xdr:colOff>
      <xdr:row>106</xdr:row>
      <xdr:rowOff>66600</xdr:rowOff>
    </xdr:from>
    <xdr:to>
      <xdr:col>12</xdr:col>
      <xdr:colOff>687600</xdr:colOff>
      <xdr:row>106</xdr:row>
      <xdr:rowOff>68400</xdr:rowOff>
    </xdr:to>
    <xdr:grpSp>
      <xdr:nvGrpSpPr>
        <xdr:cNvPr id="817" name="Shape 2"/>
        <xdr:cNvGrpSpPr/>
      </xdr:nvGrpSpPr>
      <xdr:grpSpPr>
        <a:xfrm>
          <a:off x="7825680" y="16401960"/>
          <a:ext cx="687600" cy="1800"/>
          <a:chOff x="7825680" y="16401960"/>
          <a:chExt cx="687600" cy="1800"/>
        </a:xfrm>
      </xdr:grpSpPr>
      <xdr:cxnSp>
        <xdr:nvCxnSpPr>
          <xdr:cNvPr id="818" name="Shape 463"/>
          <xdr:cNvCxnSpPr/>
        </xdr:nvCxnSpPr>
        <xdr:spPr>
          <a:xfrm>
            <a:off x="7825680" y="16401960"/>
            <a:ext cx="687960" cy="2160"/>
          </a:xfrm>
          <a:prstGeom prst="straightConnector1">
            <a:avLst/>
          </a:prstGeom>
          <a:ln w="9525">
            <a:solidFill>
              <a:srgbClr val="000000"/>
            </a:solidFill>
            <a:miter/>
            <a:tailEnd len="med" type="triangle" w="med"/>
          </a:ln>
        </xdr:spPr>
      </xdr:cxnSp>
    </xdr:grpSp>
    <xdr:clientData/>
  </xdr:twoCellAnchor>
  <xdr:twoCellAnchor editAs="oneCell">
    <xdr:from>
      <xdr:col>12</xdr:col>
      <xdr:colOff>9360</xdr:colOff>
      <xdr:row>108</xdr:row>
      <xdr:rowOff>47520</xdr:rowOff>
    </xdr:from>
    <xdr:to>
      <xdr:col>12</xdr:col>
      <xdr:colOff>696960</xdr:colOff>
      <xdr:row>108</xdr:row>
      <xdr:rowOff>49320</xdr:rowOff>
    </xdr:to>
    <xdr:grpSp>
      <xdr:nvGrpSpPr>
        <xdr:cNvPr id="819" name="Shape 2"/>
        <xdr:cNvGrpSpPr/>
      </xdr:nvGrpSpPr>
      <xdr:grpSpPr>
        <a:xfrm>
          <a:off x="7835040" y="16706880"/>
          <a:ext cx="687600" cy="1800"/>
          <a:chOff x="7835040" y="16706880"/>
          <a:chExt cx="687600" cy="1800"/>
        </a:xfrm>
      </xdr:grpSpPr>
      <xdr:cxnSp>
        <xdr:nvCxnSpPr>
          <xdr:cNvPr id="820" name="Shape 463"/>
          <xdr:cNvCxnSpPr/>
        </xdr:nvCxnSpPr>
        <xdr:spPr>
          <a:xfrm>
            <a:off x="7835040" y="16706880"/>
            <a:ext cx="687960" cy="2160"/>
          </a:xfrm>
          <a:prstGeom prst="straightConnector1">
            <a:avLst/>
          </a:prstGeom>
          <a:ln w="9525">
            <a:solidFill>
              <a:srgbClr val="000000"/>
            </a:solidFill>
            <a:miter/>
            <a:tailEnd len="med" type="triangle" w="med"/>
          </a:ln>
        </xdr:spPr>
      </xdr:cxnSp>
    </xdr:grpSp>
    <xdr:clientData/>
  </xdr:twoCellAnchor>
  <xdr:twoCellAnchor editAs="oneCell">
    <xdr:from>
      <xdr:col>9</xdr:col>
      <xdr:colOff>237960</xdr:colOff>
      <xdr:row>45</xdr:row>
      <xdr:rowOff>123840</xdr:rowOff>
    </xdr:from>
    <xdr:to>
      <xdr:col>9</xdr:col>
      <xdr:colOff>607320</xdr:colOff>
      <xdr:row>102</xdr:row>
      <xdr:rowOff>36000</xdr:rowOff>
    </xdr:to>
    <xdr:sp>
      <xdr:nvSpPr>
        <xdr:cNvPr id="821" name="Shape 464"/>
        <xdr:cNvSpPr/>
      </xdr:nvSpPr>
      <xdr:spPr>
        <a:xfrm>
          <a:off x="5983920" y="7153200"/>
          <a:ext cx="369360" cy="859896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8</xdr:col>
      <xdr:colOff>19080</xdr:colOff>
      <xdr:row>73</xdr:row>
      <xdr:rowOff>38160</xdr:rowOff>
    </xdr:from>
    <xdr:to>
      <xdr:col>9</xdr:col>
      <xdr:colOff>172080</xdr:colOff>
      <xdr:row>75</xdr:row>
      <xdr:rowOff>64800</xdr:rowOff>
    </xdr:to>
    <xdr:sp>
      <xdr:nvSpPr>
        <xdr:cNvPr id="822" name="Shape 465"/>
        <xdr:cNvSpPr/>
      </xdr:nvSpPr>
      <xdr:spPr>
        <a:xfrm>
          <a:off x="5491440" y="11334960"/>
          <a:ext cx="42660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Ground</a:t>
          </a:r>
          <a:endParaRPr b="0" lang="en-US" sz="1000" strike="noStrike" u="none">
            <a:effectLst/>
            <a:uFillTx/>
            <a:latin typeface="Times New Roman"/>
          </a:endParaRPr>
        </a:p>
        <a:p>
          <a:pPr>
            <a:lnSpc>
              <a:spcPct val="100000"/>
            </a:lnSpc>
            <a:tabLst>
              <a:tab algn="l" pos="0"/>
            </a:tabLst>
          </a:pPr>
          <a:r>
            <a:rPr b="1" lang="en-US" sz="1000" strike="noStrike" u="none">
              <a:solidFill>
                <a:srgbClr val="000000"/>
              </a:solidFill>
              <a:effectLst/>
              <a:uFillTx/>
              <a:latin typeface="Arial"/>
              <a:ea typeface="Arial"/>
            </a:rPr>
            <a:t>Station</a:t>
          </a:r>
          <a:endParaRPr b="0" lang="en-US" sz="1000" strike="noStrike" u="none">
            <a:effectLst/>
            <a:uFillTx/>
            <a:latin typeface="Times New Roman"/>
          </a:endParaRPr>
        </a:p>
      </xdr:txBody>
    </xdr:sp>
    <xdr:clientData/>
  </xdr:twoCellAnchor>
  <xdr:twoCellAnchor editAs="oneCell">
    <xdr:from>
      <xdr:col>9</xdr:col>
      <xdr:colOff>324000</xdr:colOff>
      <xdr:row>6</xdr:row>
      <xdr:rowOff>0</xdr:rowOff>
    </xdr:from>
    <xdr:to>
      <xdr:col>9</xdr:col>
      <xdr:colOff>559800</xdr:colOff>
      <xdr:row>36</xdr:row>
      <xdr:rowOff>45720</xdr:rowOff>
    </xdr:to>
    <xdr:sp>
      <xdr:nvSpPr>
        <xdr:cNvPr id="823" name="Shape 466"/>
        <xdr:cNvSpPr/>
      </xdr:nvSpPr>
      <xdr:spPr>
        <a:xfrm>
          <a:off x="6069960" y="1057320"/>
          <a:ext cx="235800" cy="4646160"/>
        </a:xfrm>
        <a:prstGeom prst="leftBrace">
          <a:avLst>
            <a:gd name="adj1" fmla="val 8333"/>
            <a:gd name="adj2" fmla="val 50000"/>
          </a:avLst>
        </a:prstGeom>
        <a:noFill/>
        <a:ln w="9525">
          <a:solidFill>
            <a:srgbClr val="000000"/>
          </a:solidFill>
          <a:miter/>
        </a:ln>
      </xdr:spPr>
      <xdr:style>
        <a:lnRef idx="0"/>
        <a:fillRef idx="0"/>
        <a:effectRef idx="0"/>
        <a:fontRef idx="minor"/>
      </xdr:style>
    </xdr:sp>
    <xdr:clientData/>
  </xdr:twoCellAnchor>
  <xdr:twoCellAnchor editAs="oneCell">
    <xdr:from>
      <xdr:col>9</xdr:col>
      <xdr:colOff>66600</xdr:colOff>
      <xdr:row>20</xdr:row>
      <xdr:rowOff>85680</xdr:rowOff>
    </xdr:from>
    <xdr:to>
      <xdr:col>9</xdr:col>
      <xdr:colOff>264600</xdr:colOff>
      <xdr:row>21</xdr:row>
      <xdr:rowOff>112320</xdr:rowOff>
    </xdr:to>
    <xdr:sp>
      <xdr:nvSpPr>
        <xdr:cNvPr id="824" name="Shape 467"/>
        <xdr:cNvSpPr/>
      </xdr:nvSpPr>
      <xdr:spPr>
        <a:xfrm>
          <a:off x="5812560" y="3305160"/>
          <a:ext cx="1980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S/C</a:t>
          </a:r>
          <a:endParaRPr b="0" lang="en-US" sz="1000" strike="noStrike" u="none">
            <a:effectLst/>
            <a:uFillTx/>
            <a:latin typeface="Times New Roman"/>
          </a:endParaRPr>
        </a:p>
      </xdr:txBody>
    </xdr:sp>
    <xdr:clientData/>
  </xdr:twoCellAnchor>
  <xdr:twoCellAnchor editAs="oneCell">
    <xdr:from>
      <xdr:col>9</xdr:col>
      <xdr:colOff>295200</xdr:colOff>
      <xdr:row>39</xdr:row>
      <xdr:rowOff>76320</xdr:rowOff>
    </xdr:from>
    <xdr:to>
      <xdr:col>10</xdr:col>
      <xdr:colOff>31680</xdr:colOff>
      <xdr:row>41</xdr:row>
      <xdr:rowOff>102600</xdr:rowOff>
    </xdr:to>
    <xdr:sp>
      <xdr:nvSpPr>
        <xdr:cNvPr id="825" name="Shape 468"/>
        <xdr:cNvSpPr/>
      </xdr:nvSpPr>
      <xdr:spPr>
        <a:xfrm>
          <a:off x="6041160" y="6191280"/>
          <a:ext cx="397800" cy="331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1000" strike="noStrike" u="none">
              <a:solidFill>
                <a:srgbClr val="000000"/>
              </a:solidFill>
              <a:effectLst/>
              <a:uFillTx/>
              <a:latin typeface="Arial"/>
              <a:ea typeface="Arial"/>
            </a:rPr>
            <a:t>RADIO</a:t>
          </a:r>
          <a:endParaRPr b="0" lang="en-US" sz="1000" strike="noStrike" u="none">
            <a:effectLst/>
            <a:uFillTx/>
            <a:latin typeface="Times New Roman"/>
          </a:endParaRPr>
        </a:p>
        <a:p>
          <a:pPr algn="ctr">
            <a:lnSpc>
              <a:spcPct val="100000"/>
            </a:lnSpc>
            <a:tabLst>
              <a:tab algn="l" pos="0"/>
            </a:tabLst>
          </a:pPr>
          <a:r>
            <a:rPr b="1" lang="en-US" sz="1000" strike="noStrike" u="none">
              <a:solidFill>
                <a:srgbClr val="000000"/>
              </a:solidFill>
              <a:effectLst/>
              <a:uFillTx/>
              <a:latin typeface="Arial"/>
              <a:ea typeface="Arial"/>
            </a:rPr>
            <a:t>LINK</a:t>
          </a:r>
          <a:endParaRPr b="0" lang="en-US" sz="1000" strike="noStrike" u="none">
            <a:effectLst/>
            <a:uFillTx/>
            <a:latin typeface="Times New Roman"/>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0</xdr:colOff>
      <xdr:row>96</xdr:row>
      <xdr:rowOff>0</xdr:rowOff>
    </xdr:from>
    <xdr:to>
      <xdr:col>19</xdr:col>
      <xdr:colOff>71640</xdr:colOff>
      <xdr:row>133</xdr:row>
      <xdr:rowOff>45360</xdr:rowOff>
    </xdr:to>
    <xdr:graphicFrame>
      <xdr:nvGraphicFramePr>
        <xdr:cNvPr id="826" name="Chart 3"/>
        <xdr:cNvGraphicFramePr/>
      </xdr:nvGraphicFramePr>
      <xdr:xfrm>
        <a:off x="6679080" y="14716080"/>
        <a:ext cx="8836920" cy="58366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9360</xdr:colOff>
      <xdr:row>213</xdr:row>
      <xdr:rowOff>9360</xdr:rowOff>
    </xdr:from>
    <xdr:to>
      <xdr:col>15</xdr:col>
      <xdr:colOff>527760</xdr:colOff>
      <xdr:row>248</xdr:row>
      <xdr:rowOff>7200</xdr:rowOff>
    </xdr:to>
    <xdr:graphicFrame>
      <xdr:nvGraphicFramePr>
        <xdr:cNvPr id="827" name="Chart 4"/>
        <xdr:cNvGraphicFramePr/>
      </xdr:nvGraphicFramePr>
      <xdr:xfrm>
        <a:off x="6688440" y="32708520"/>
        <a:ext cx="6779520" cy="53510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495360</xdr:colOff>
      <xdr:row>178</xdr:row>
      <xdr:rowOff>85680</xdr:rowOff>
    </xdr:from>
    <xdr:to>
      <xdr:col>9</xdr:col>
      <xdr:colOff>200520</xdr:colOff>
      <xdr:row>179</xdr:row>
      <xdr:rowOff>150480</xdr:rowOff>
    </xdr:to>
    <xdr:sp>
      <xdr:nvSpPr>
        <xdr:cNvPr id="828" name="Shape 469"/>
        <xdr:cNvSpPr/>
      </xdr:nvSpPr>
      <xdr:spPr>
        <a:xfrm>
          <a:off x="9052560" y="27451080"/>
          <a:ext cx="331200" cy="217080"/>
        </a:xfrm>
        <a:prstGeom prst="rect">
          <a:avLst/>
        </a:prstGeom>
        <a:solidFill>
          <a:srgbClr val="ffffff"/>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200" strike="noStrike" u="none">
              <a:solidFill>
                <a:srgbClr val="000000"/>
              </a:solidFill>
              <a:effectLst/>
              <a:uFillTx/>
              <a:latin typeface="Arial"/>
              <a:ea typeface="Arial"/>
            </a:rPr>
            <a:t>0 dBi</a:t>
          </a:r>
          <a:endParaRPr b="0" lang="en-US" sz="1200" strike="noStrike" u="none">
            <a:effectLst/>
            <a:uFillTx/>
            <a:latin typeface="Times New Roman"/>
          </a:endParaRPr>
        </a:p>
      </xdr:txBody>
    </xdr:sp>
    <xdr:clientData/>
  </xdr:twoCellAnchor>
  <xdr:twoCellAnchor editAs="oneCell">
    <xdr:from>
      <xdr:col>7</xdr:col>
      <xdr:colOff>228600</xdr:colOff>
      <xdr:row>227</xdr:row>
      <xdr:rowOff>104760</xdr:rowOff>
    </xdr:from>
    <xdr:to>
      <xdr:col>9</xdr:col>
      <xdr:colOff>473400</xdr:colOff>
      <xdr:row>233</xdr:row>
      <xdr:rowOff>87480</xdr:rowOff>
    </xdr:to>
    <xdr:grpSp>
      <xdr:nvGrpSpPr>
        <xdr:cNvPr id="829" name="Shape 2"/>
        <xdr:cNvGrpSpPr/>
      </xdr:nvGrpSpPr>
      <xdr:grpSpPr>
        <a:xfrm>
          <a:off x="8159760" y="34947360"/>
          <a:ext cx="1496880" cy="897120"/>
          <a:chOff x="8159760" y="34947360"/>
          <a:chExt cx="1496880" cy="897120"/>
        </a:xfrm>
      </xdr:grpSpPr>
      <xdr:cxnSp>
        <xdr:nvCxnSpPr>
          <xdr:cNvPr id="830" name="Shape 470"/>
          <xdr:cNvCxnSpPr/>
        </xdr:nvCxnSpPr>
        <xdr:spPr>
          <a:xfrm flipH="1" flipV="1">
            <a:off x="8159760" y="34947360"/>
            <a:ext cx="1497240" cy="897480"/>
          </a:xfrm>
          <a:prstGeom prst="straightConnector1">
            <a:avLst/>
          </a:prstGeom>
          <a:ln w="19050">
            <a:solidFill>
              <a:srgbClr val="ff00ff"/>
            </a:solidFill>
            <a:miter/>
          </a:ln>
        </xdr:spPr>
      </xdr:cxnSp>
    </xdr:grpSp>
    <xdr:clientData/>
  </xdr:twoCellAnchor>
  <xdr:twoCellAnchor editAs="oneCell">
    <xdr:from>
      <xdr:col>9</xdr:col>
      <xdr:colOff>533160</xdr:colOff>
      <xdr:row>227</xdr:row>
      <xdr:rowOff>104760</xdr:rowOff>
    </xdr:from>
    <xdr:to>
      <xdr:col>12</xdr:col>
      <xdr:colOff>180720</xdr:colOff>
      <xdr:row>233</xdr:row>
      <xdr:rowOff>87480</xdr:rowOff>
    </xdr:to>
    <xdr:grpSp>
      <xdr:nvGrpSpPr>
        <xdr:cNvPr id="831" name="Shape 2"/>
        <xdr:cNvGrpSpPr/>
      </xdr:nvGrpSpPr>
      <xdr:grpSpPr>
        <a:xfrm>
          <a:off x="9716400" y="34947360"/>
          <a:ext cx="1526040" cy="897120"/>
          <a:chOff x="9716400" y="34947360"/>
          <a:chExt cx="1526040" cy="897120"/>
        </a:xfrm>
      </xdr:grpSpPr>
      <xdr:cxnSp>
        <xdr:nvCxnSpPr>
          <xdr:cNvPr id="832" name="Shape 471"/>
          <xdr:cNvCxnSpPr/>
        </xdr:nvCxnSpPr>
        <xdr:spPr>
          <a:xfrm flipV="1">
            <a:off x="9716400" y="34947360"/>
            <a:ext cx="1526400" cy="897480"/>
          </a:xfrm>
          <a:prstGeom prst="straightConnector1">
            <a:avLst/>
          </a:prstGeom>
          <a:ln w="19050">
            <a:solidFill>
              <a:srgbClr val="ff00ff"/>
            </a:solidFill>
            <a:miter/>
          </a:ln>
        </xdr:spPr>
      </xdr:cxnSp>
    </xdr:grpSp>
    <xdr:clientData/>
  </xdr:twoCellAnchor>
  <xdr:twoCellAnchor editAs="oneCell">
    <xdr:from>
      <xdr:col>5</xdr:col>
      <xdr:colOff>142560</xdr:colOff>
      <xdr:row>186</xdr:row>
      <xdr:rowOff>47520</xdr:rowOff>
    </xdr:from>
    <xdr:to>
      <xdr:col>8</xdr:col>
      <xdr:colOff>304560</xdr:colOff>
      <xdr:row>186</xdr:row>
      <xdr:rowOff>144360</xdr:rowOff>
    </xdr:to>
    <xdr:grpSp>
      <xdr:nvGrpSpPr>
        <xdr:cNvPr id="833" name="Shape 2"/>
        <xdr:cNvGrpSpPr/>
      </xdr:nvGrpSpPr>
      <xdr:grpSpPr>
        <a:xfrm>
          <a:off x="6821640" y="28631880"/>
          <a:ext cx="2040120" cy="96840"/>
          <a:chOff x="6821640" y="28631880"/>
          <a:chExt cx="2040120" cy="96840"/>
        </a:xfrm>
      </xdr:grpSpPr>
      <xdr:cxnSp>
        <xdr:nvCxnSpPr>
          <xdr:cNvPr id="834" name="Shape 472"/>
          <xdr:cNvCxnSpPr/>
        </xdr:nvCxnSpPr>
        <xdr:spPr>
          <a:xfrm flipH="1" flipV="1">
            <a:off x="6821640" y="28631880"/>
            <a:ext cx="2040480" cy="97200"/>
          </a:xfrm>
          <a:prstGeom prst="straightConnector1">
            <a:avLst/>
          </a:prstGeom>
          <a:ln w="19050">
            <a:solidFill>
              <a:srgbClr val="ff00ff"/>
            </a:solidFill>
            <a:miter/>
          </a:ln>
        </xdr:spPr>
      </xdr:cxnSp>
    </xdr:grpSp>
    <xdr:clientData/>
  </xdr:twoCellAnchor>
  <xdr:twoCellAnchor editAs="oneCell">
    <xdr:from>
      <xdr:col>8</xdr:col>
      <xdr:colOff>399960</xdr:colOff>
      <xdr:row>185</xdr:row>
      <xdr:rowOff>141840</xdr:rowOff>
    </xdr:from>
    <xdr:to>
      <xdr:col>11</xdr:col>
      <xdr:colOff>561600</xdr:colOff>
      <xdr:row>186</xdr:row>
      <xdr:rowOff>144360</xdr:rowOff>
    </xdr:to>
    <xdr:grpSp>
      <xdr:nvGrpSpPr>
        <xdr:cNvPr id="835" name="Shape 2"/>
        <xdr:cNvGrpSpPr/>
      </xdr:nvGrpSpPr>
      <xdr:grpSpPr>
        <a:xfrm>
          <a:off x="8957160" y="28573920"/>
          <a:ext cx="2040120" cy="154800"/>
          <a:chOff x="8957160" y="28573920"/>
          <a:chExt cx="2040120" cy="154800"/>
        </a:xfrm>
      </xdr:grpSpPr>
      <xdr:cxnSp>
        <xdr:nvCxnSpPr>
          <xdr:cNvPr id="836" name="Shape 473"/>
          <xdr:cNvCxnSpPr/>
        </xdr:nvCxnSpPr>
        <xdr:spPr>
          <a:xfrm flipV="1">
            <a:off x="8957160" y="28573920"/>
            <a:ext cx="2040480" cy="155160"/>
          </a:xfrm>
          <a:prstGeom prst="straightConnector1">
            <a:avLst/>
          </a:prstGeom>
          <a:ln w="19050">
            <a:solidFill>
              <a:srgbClr val="ff00ff"/>
            </a:solidFill>
            <a:miter/>
          </a:ln>
        </xdr:spPr>
      </xdr:cxnSp>
    </xdr:grpSp>
    <xdr:clientData/>
  </xdr:twoCellAnchor>
  <xdr:twoCellAnchor editAs="oneCell">
    <xdr:from>
      <xdr:col>6</xdr:col>
      <xdr:colOff>485640</xdr:colOff>
      <xdr:row>179</xdr:row>
      <xdr:rowOff>47520</xdr:rowOff>
    </xdr:from>
    <xdr:to>
      <xdr:col>10</xdr:col>
      <xdr:colOff>179280</xdr:colOff>
      <xdr:row>194</xdr:row>
      <xdr:rowOff>73800</xdr:rowOff>
    </xdr:to>
    <xdr:sp>
      <xdr:nvSpPr>
        <xdr:cNvPr id="837" name="Shape 474"/>
        <xdr:cNvSpPr/>
      </xdr:nvSpPr>
      <xdr:spPr>
        <a:xfrm>
          <a:off x="7790760" y="27565200"/>
          <a:ext cx="2198160" cy="2312280"/>
        </a:xfrm>
        <a:prstGeom prst="ellipse">
          <a:avLst/>
        </a:prstGeom>
        <a:noFill/>
        <a:ln w="9525">
          <a:solidFill>
            <a:srgbClr val="0000ff"/>
          </a:solidFill>
          <a:miter/>
        </a:ln>
      </xdr:spPr>
      <xdr:style>
        <a:lnRef idx="0"/>
        <a:fillRef idx="0"/>
        <a:effectRef idx="0"/>
        <a:fontRef idx="minor"/>
      </xdr:style>
    </xdr:sp>
    <xdr:clientData/>
  </xdr:twoCellAnchor>
  <xdr:twoCellAnchor editAs="oneCell">
    <xdr:from>
      <xdr:col>7</xdr:col>
      <xdr:colOff>561960</xdr:colOff>
      <xdr:row>224</xdr:row>
      <xdr:rowOff>104760</xdr:rowOff>
    </xdr:from>
    <xdr:to>
      <xdr:col>11</xdr:col>
      <xdr:colOff>407880</xdr:colOff>
      <xdr:row>242</xdr:row>
      <xdr:rowOff>45720</xdr:rowOff>
    </xdr:to>
    <xdr:sp>
      <xdr:nvSpPr>
        <xdr:cNvPr id="838" name="Shape 475"/>
        <xdr:cNvSpPr/>
      </xdr:nvSpPr>
      <xdr:spPr>
        <a:xfrm>
          <a:off x="8493120" y="34490160"/>
          <a:ext cx="2350440" cy="2693520"/>
        </a:xfrm>
        <a:prstGeom prst="ellipse">
          <a:avLst/>
        </a:prstGeom>
        <a:noFill/>
        <a:ln w="19050">
          <a:solidFill>
            <a:srgbClr val="00ff00"/>
          </a:solidFill>
          <a:miter/>
        </a:ln>
      </xdr:spPr>
      <xdr:style>
        <a:lnRef idx="0"/>
        <a:fillRef idx="0"/>
        <a:effectRef idx="0"/>
        <a:fontRef idx="minor"/>
      </xdr:style>
    </xdr:sp>
    <xdr:clientData/>
  </xdr:twoCellAnchor>
  <xdr:twoCellAnchor editAs="oneCell">
    <xdr:from>
      <xdr:col>9</xdr:col>
      <xdr:colOff>333360</xdr:colOff>
      <xdr:row>241</xdr:row>
      <xdr:rowOff>85680</xdr:rowOff>
    </xdr:from>
    <xdr:to>
      <xdr:col>10</xdr:col>
      <xdr:colOff>19080</xdr:colOff>
      <xdr:row>242</xdr:row>
      <xdr:rowOff>112320</xdr:rowOff>
    </xdr:to>
    <xdr:sp>
      <xdr:nvSpPr>
        <xdr:cNvPr id="839" name="Shape 476"/>
        <xdr:cNvSpPr/>
      </xdr:nvSpPr>
      <xdr:spPr>
        <a:xfrm>
          <a:off x="9516600" y="37071360"/>
          <a:ext cx="312120" cy="178920"/>
        </a:xfrm>
        <a:prstGeom prst="rect">
          <a:avLst/>
        </a:prstGeom>
        <a:solidFill>
          <a:srgbClr val="c0c0c0"/>
        </a:solid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0 dBi</a:t>
          </a:r>
          <a:endParaRPr b="0" lang="en-US" sz="1000" strike="noStrike" u="none">
            <a:effectLst/>
            <a:uFillTx/>
            <a:latin typeface="Times New Roman"/>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552600</xdr:colOff>
      <xdr:row>23</xdr:row>
      <xdr:rowOff>66600</xdr:rowOff>
    </xdr:from>
    <xdr:to>
      <xdr:col>12</xdr:col>
      <xdr:colOff>10080</xdr:colOff>
      <xdr:row>24</xdr:row>
      <xdr:rowOff>111960</xdr:rowOff>
    </xdr:to>
    <xdr:sp>
      <xdr:nvSpPr>
        <xdr:cNvPr id="840" name="Shape 261"/>
        <xdr:cNvSpPr/>
      </xdr:nvSpPr>
      <xdr:spPr>
        <a:xfrm>
          <a:off x="9577080" y="3857400"/>
          <a:ext cx="83880" cy="198000"/>
        </a:xfrm>
        <a:prstGeom prst="rect">
          <a:avLst/>
        </a:prstGeom>
        <a:noFill/>
        <a:ln w="0">
          <a:noFill/>
        </a:ln>
      </xdr:spPr>
      <xdr:style>
        <a:lnRef idx="0"/>
        <a:fillRef idx="0"/>
        <a:effectRef idx="0"/>
        <a:fontRef idx="minor"/>
      </xdr:style>
    </xdr:sp>
    <xdr:clientData/>
  </xdr:twoCellAnchor>
  <xdr:twoCellAnchor editAs="oneCell">
    <xdr:from>
      <xdr:col>12</xdr:col>
      <xdr:colOff>0</xdr:colOff>
      <xdr:row>18</xdr:row>
      <xdr:rowOff>85680</xdr:rowOff>
    </xdr:from>
    <xdr:to>
      <xdr:col>12</xdr:col>
      <xdr:colOff>74160</xdr:colOff>
      <xdr:row>19</xdr:row>
      <xdr:rowOff>131400</xdr:rowOff>
    </xdr:to>
    <xdr:sp>
      <xdr:nvSpPr>
        <xdr:cNvPr id="841" name="Shape 244"/>
        <xdr:cNvSpPr/>
      </xdr:nvSpPr>
      <xdr:spPr>
        <a:xfrm>
          <a:off x="9650880" y="3114720"/>
          <a:ext cx="74160" cy="198000"/>
        </a:xfrm>
        <a:prstGeom prst="rect">
          <a:avLst/>
        </a:prstGeom>
        <a:noFill/>
        <a:ln w="0">
          <a:noFill/>
        </a:ln>
      </xdr:spPr>
      <xdr:style>
        <a:lnRef idx="0"/>
        <a:fillRef idx="0"/>
        <a:effectRef idx="0"/>
        <a:fontRef idx="minor"/>
      </xdr:style>
    </xdr:sp>
    <xdr:clientData/>
  </xdr:twoCellAnchor>
  <xdr:twoCellAnchor editAs="oneCell">
    <xdr:from>
      <xdr:col>1</xdr:col>
      <xdr:colOff>295200</xdr:colOff>
      <xdr:row>13</xdr:row>
      <xdr:rowOff>0</xdr:rowOff>
    </xdr:from>
    <xdr:to>
      <xdr:col>1</xdr:col>
      <xdr:colOff>297000</xdr:colOff>
      <xdr:row>14</xdr:row>
      <xdr:rowOff>11520</xdr:rowOff>
    </xdr:to>
    <xdr:grpSp>
      <xdr:nvGrpSpPr>
        <xdr:cNvPr id="842" name="Shape 2"/>
        <xdr:cNvGrpSpPr/>
      </xdr:nvGrpSpPr>
      <xdr:grpSpPr>
        <a:xfrm>
          <a:off x="1502280" y="2257560"/>
          <a:ext cx="1800" cy="173160"/>
          <a:chOff x="1502280" y="2257560"/>
          <a:chExt cx="1800" cy="173160"/>
        </a:xfrm>
      </xdr:grpSpPr>
      <xdr:cxnSp>
        <xdr:nvCxnSpPr>
          <xdr:cNvPr id="843" name="Shape 477"/>
          <xdr:cNvCxnSpPr/>
        </xdr:nvCxnSpPr>
        <xdr:spPr>
          <a:xfrm>
            <a:off x="1502280" y="2257560"/>
            <a:ext cx="2160" cy="173520"/>
          </a:xfrm>
          <a:prstGeom prst="straightConnector1">
            <a:avLst/>
          </a:prstGeom>
          <a:ln w="9525">
            <a:solidFill>
              <a:srgbClr val="000000"/>
            </a:solidFill>
            <a:miter/>
            <a:tailEnd len="med" type="triangle" w="med"/>
          </a:ln>
        </xdr:spPr>
      </xdr:cxnSp>
    </xdr:grpSp>
    <xdr:clientData/>
  </xdr:twoCellAnchor>
  <xdr:twoCellAnchor editAs="oneCell">
    <xdr:from>
      <xdr:col>2</xdr:col>
      <xdr:colOff>295200</xdr:colOff>
      <xdr:row>13</xdr:row>
      <xdr:rowOff>0</xdr:rowOff>
    </xdr:from>
    <xdr:to>
      <xdr:col>2</xdr:col>
      <xdr:colOff>297000</xdr:colOff>
      <xdr:row>14</xdr:row>
      <xdr:rowOff>11520</xdr:rowOff>
    </xdr:to>
    <xdr:grpSp>
      <xdr:nvGrpSpPr>
        <xdr:cNvPr id="844" name="Shape 2"/>
        <xdr:cNvGrpSpPr/>
      </xdr:nvGrpSpPr>
      <xdr:grpSpPr>
        <a:xfrm>
          <a:off x="2136600" y="2257560"/>
          <a:ext cx="1800" cy="173160"/>
          <a:chOff x="2136600" y="2257560"/>
          <a:chExt cx="1800" cy="173160"/>
        </a:xfrm>
      </xdr:grpSpPr>
      <xdr:cxnSp>
        <xdr:nvCxnSpPr>
          <xdr:cNvPr id="845" name="Shape 477"/>
          <xdr:cNvCxnSpPr/>
        </xdr:nvCxnSpPr>
        <xdr:spPr>
          <a:xfrm>
            <a:off x="2136600" y="2257560"/>
            <a:ext cx="2160" cy="173520"/>
          </a:xfrm>
          <a:prstGeom prst="straightConnector1">
            <a:avLst/>
          </a:prstGeom>
          <a:ln w="9525">
            <a:solidFill>
              <a:srgbClr val="000000"/>
            </a:solidFill>
            <a:miter/>
            <a:tailEnd len="med" type="triangle" w="med"/>
          </a:ln>
        </xdr:spPr>
      </xdr:cxnSp>
    </xdr:grpSp>
    <xdr:clientData/>
  </xdr:twoCellAnchor>
  <xdr:twoCellAnchor editAs="oneCell">
    <xdr:from>
      <xdr:col>3</xdr:col>
      <xdr:colOff>333360</xdr:colOff>
      <xdr:row>13</xdr:row>
      <xdr:rowOff>0</xdr:rowOff>
    </xdr:from>
    <xdr:to>
      <xdr:col>3</xdr:col>
      <xdr:colOff>335160</xdr:colOff>
      <xdr:row>14</xdr:row>
      <xdr:rowOff>11520</xdr:rowOff>
    </xdr:to>
    <xdr:grpSp>
      <xdr:nvGrpSpPr>
        <xdr:cNvPr id="846" name="Shape 2"/>
        <xdr:cNvGrpSpPr/>
      </xdr:nvGrpSpPr>
      <xdr:grpSpPr>
        <a:xfrm>
          <a:off x="3038400" y="2257560"/>
          <a:ext cx="1800" cy="173160"/>
          <a:chOff x="3038400" y="2257560"/>
          <a:chExt cx="1800" cy="173160"/>
        </a:xfrm>
      </xdr:grpSpPr>
      <xdr:cxnSp>
        <xdr:nvCxnSpPr>
          <xdr:cNvPr id="847" name="Shape 477"/>
          <xdr:cNvCxnSpPr/>
        </xdr:nvCxnSpPr>
        <xdr:spPr>
          <a:xfrm>
            <a:off x="3038400" y="2257560"/>
            <a:ext cx="2160" cy="173520"/>
          </a:xfrm>
          <a:prstGeom prst="straightConnector1">
            <a:avLst/>
          </a:prstGeom>
          <a:ln w="9525">
            <a:solidFill>
              <a:srgbClr val="000000"/>
            </a:solidFill>
            <a:miter/>
            <a:tailEnd len="med" type="triangle" w="med"/>
          </a:ln>
        </xdr:spPr>
      </xdr:cxnSp>
    </xdr:grpSp>
    <xdr:clientData/>
  </xdr:twoCellAnchor>
  <xdr:twoCellAnchor editAs="oneCell">
    <xdr:from>
      <xdr:col>4</xdr:col>
      <xdr:colOff>475920</xdr:colOff>
      <xdr:row>13</xdr:row>
      <xdr:rowOff>0</xdr:rowOff>
    </xdr:from>
    <xdr:to>
      <xdr:col>4</xdr:col>
      <xdr:colOff>477720</xdr:colOff>
      <xdr:row>14</xdr:row>
      <xdr:rowOff>11520</xdr:rowOff>
    </xdr:to>
    <xdr:grpSp>
      <xdr:nvGrpSpPr>
        <xdr:cNvPr id="848" name="Shape 2"/>
        <xdr:cNvGrpSpPr/>
      </xdr:nvGrpSpPr>
      <xdr:grpSpPr>
        <a:xfrm>
          <a:off x="3948120" y="2257560"/>
          <a:ext cx="1800" cy="173160"/>
          <a:chOff x="3948120" y="2257560"/>
          <a:chExt cx="1800" cy="173160"/>
        </a:xfrm>
      </xdr:grpSpPr>
      <xdr:cxnSp>
        <xdr:nvCxnSpPr>
          <xdr:cNvPr id="849" name="Shape 477"/>
          <xdr:cNvCxnSpPr/>
        </xdr:nvCxnSpPr>
        <xdr:spPr>
          <a:xfrm>
            <a:off x="3948120" y="2257560"/>
            <a:ext cx="2160" cy="173520"/>
          </a:xfrm>
          <a:prstGeom prst="straightConnector1">
            <a:avLst/>
          </a:prstGeom>
          <a:ln w="9525">
            <a:solidFill>
              <a:srgbClr val="000000"/>
            </a:solidFill>
            <a:miter/>
            <a:tailEnd len="med" type="triangle" w="med"/>
          </a:ln>
        </xdr:spPr>
      </xdr:cxnSp>
    </xdr:grp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11</xdr:col>
      <xdr:colOff>898920</xdr:colOff>
      <xdr:row>29</xdr:row>
      <xdr:rowOff>150120</xdr:rowOff>
    </xdr:to>
    <xdr:graphicFrame>
      <xdr:nvGraphicFramePr>
        <xdr:cNvPr id="850" name="Chart 5"/>
        <xdr:cNvGraphicFramePr/>
      </xdr:nvGraphicFramePr>
      <xdr:xfrm>
        <a:off x="0" y="0"/>
        <a:ext cx="9722880" cy="4569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561960</xdr:colOff>
      <xdr:row>17</xdr:row>
      <xdr:rowOff>0</xdr:rowOff>
    </xdr:from>
    <xdr:to>
      <xdr:col>4</xdr:col>
      <xdr:colOff>526680</xdr:colOff>
      <xdr:row>20</xdr:row>
      <xdr:rowOff>150120</xdr:rowOff>
    </xdr:to>
    <xdr:sp>
      <xdr:nvSpPr>
        <xdr:cNvPr id="851" name="Shape 478"/>
        <xdr:cNvSpPr/>
      </xdr:nvSpPr>
      <xdr:spPr>
        <a:xfrm>
          <a:off x="1814040" y="2666880"/>
          <a:ext cx="1217160" cy="60732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8</xdr:col>
      <xdr:colOff>47520</xdr:colOff>
      <xdr:row>19</xdr:row>
      <xdr:rowOff>133200</xdr:rowOff>
    </xdr:from>
    <xdr:to>
      <xdr:col>8</xdr:col>
      <xdr:colOff>611280</xdr:colOff>
      <xdr:row>22</xdr:row>
      <xdr:rowOff>30240</xdr:rowOff>
    </xdr:to>
    <xdr:grpSp>
      <xdr:nvGrpSpPr>
        <xdr:cNvPr id="852" name="Shape 2"/>
        <xdr:cNvGrpSpPr/>
      </xdr:nvGrpSpPr>
      <xdr:grpSpPr>
        <a:xfrm>
          <a:off x="5056560" y="3105000"/>
          <a:ext cx="563760" cy="354240"/>
          <a:chOff x="5056560" y="3105000"/>
          <a:chExt cx="563760" cy="354240"/>
        </a:xfrm>
      </xdr:grpSpPr>
      <xdr:cxnSp>
        <xdr:nvCxnSpPr>
          <xdr:cNvPr id="853" name="Shape 479"/>
          <xdr:cNvCxnSpPr/>
        </xdr:nvCxnSpPr>
        <xdr:spPr>
          <a:xfrm>
            <a:off x="5056560" y="3105000"/>
            <a:ext cx="564120" cy="354600"/>
          </a:xfrm>
          <a:prstGeom prst="straightConnector1">
            <a:avLst/>
          </a:prstGeom>
          <a:ln w="38100">
            <a:solidFill>
              <a:srgbClr val="000000"/>
            </a:solidFill>
            <a:miter/>
          </a:ln>
        </xdr:spPr>
      </xdr:cxnSp>
    </xdr:grpSp>
    <xdr:clientData/>
  </xdr:twoCellAnchor>
  <xdr:twoCellAnchor editAs="oneCell">
    <xdr:from>
      <xdr:col>8</xdr:col>
      <xdr:colOff>0</xdr:colOff>
      <xdr:row>17</xdr:row>
      <xdr:rowOff>0</xdr:rowOff>
    </xdr:from>
    <xdr:to>
      <xdr:col>8</xdr:col>
      <xdr:colOff>83520</xdr:colOff>
      <xdr:row>21</xdr:row>
      <xdr:rowOff>26280</xdr:rowOff>
    </xdr:to>
    <xdr:sp>
      <xdr:nvSpPr>
        <xdr:cNvPr id="854" name="Shape 480"/>
        <xdr:cNvSpPr/>
      </xdr:nvSpPr>
      <xdr:spPr>
        <a:xfrm>
          <a:off x="5009040" y="2666880"/>
          <a:ext cx="83520" cy="63612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8</xdr:col>
      <xdr:colOff>56880</xdr:colOff>
      <xdr:row>15</xdr:row>
      <xdr:rowOff>114120</xdr:rowOff>
    </xdr:from>
    <xdr:to>
      <xdr:col>8</xdr:col>
      <xdr:colOff>620640</xdr:colOff>
      <xdr:row>18</xdr:row>
      <xdr:rowOff>20520</xdr:rowOff>
    </xdr:to>
    <xdr:grpSp>
      <xdr:nvGrpSpPr>
        <xdr:cNvPr id="855" name="Shape 2"/>
        <xdr:cNvGrpSpPr/>
      </xdr:nvGrpSpPr>
      <xdr:grpSpPr>
        <a:xfrm>
          <a:off x="5065920" y="2476440"/>
          <a:ext cx="563760" cy="363600"/>
          <a:chOff x="5065920" y="2476440"/>
          <a:chExt cx="563760" cy="363600"/>
        </a:xfrm>
      </xdr:grpSpPr>
      <xdr:cxnSp>
        <xdr:nvCxnSpPr>
          <xdr:cNvPr id="856" name="Shape 481"/>
          <xdr:cNvCxnSpPr/>
        </xdr:nvCxnSpPr>
        <xdr:spPr>
          <a:xfrm flipV="1">
            <a:off x="5065920" y="2476440"/>
            <a:ext cx="564120" cy="363960"/>
          </a:xfrm>
          <a:prstGeom prst="straightConnector1">
            <a:avLst/>
          </a:prstGeom>
          <a:ln w="38100">
            <a:solidFill>
              <a:srgbClr val="000000"/>
            </a:solidFill>
            <a:miter/>
          </a:ln>
        </xdr:spPr>
      </xdr:cxnSp>
    </xdr:grpSp>
    <xdr:clientData/>
  </xdr:twoCellAnchor>
  <xdr:twoCellAnchor editAs="oneCell">
    <xdr:from>
      <xdr:col>6</xdr:col>
      <xdr:colOff>428760</xdr:colOff>
      <xdr:row>17</xdr:row>
      <xdr:rowOff>123840</xdr:rowOff>
    </xdr:from>
    <xdr:to>
      <xdr:col>7</xdr:col>
      <xdr:colOff>410040</xdr:colOff>
      <xdr:row>20</xdr:row>
      <xdr:rowOff>7560</xdr:rowOff>
    </xdr:to>
    <xdr:sp>
      <xdr:nvSpPr>
        <xdr:cNvPr id="857" name="Shape 482"/>
        <xdr:cNvSpPr/>
      </xdr:nvSpPr>
      <xdr:spPr>
        <a:xfrm>
          <a:off x="4185360" y="2790720"/>
          <a:ext cx="607320" cy="34092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7</xdr:col>
      <xdr:colOff>447480</xdr:colOff>
      <xdr:row>18</xdr:row>
      <xdr:rowOff>133200</xdr:rowOff>
    </xdr:from>
    <xdr:to>
      <xdr:col>7</xdr:col>
      <xdr:colOff>563760</xdr:colOff>
      <xdr:row>18</xdr:row>
      <xdr:rowOff>135000</xdr:rowOff>
    </xdr:to>
    <xdr:grpSp>
      <xdr:nvGrpSpPr>
        <xdr:cNvPr id="858" name="Shape 2"/>
        <xdr:cNvGrpSpPr/>
      </xdr:nvGrpSpPr>
      <xdr:grpSpPr>
        <a:xfrm>
          <a:off x="4830120" y="2952720"/>
          <a:ext cx="116280" cy="1800"/>
          <a:chOff x="4830120" y="2952720"/>
          <a:chExt cx="116280" cy="1800"/>
        </a:xfrm>
      </xdr:grpSpPr>
      <xdr:cxnSp>
        <xdr:nvCxnSpPr>
          <xdr:cNvPr id="859" name="Shape 483"/>
          <xdr:cNvCxnSpPr/>
        </xdr:nvCxnSpPr>
        <xdr:spPr>
          <a:xfrm flipH="1">
            <a:off x="4830120" y="2952720"/>
            <a:ext cx="116640" cy="2160"/>
          </a:xfrm>
          <a:prstGeom prst="straightConnector1">
            <a:avLst/>
          </a:prstGeom>
          <a:ln w="19050">
            <a:solidFill>
              <a:srgbClr val="000000"/>
            </a:solidFill>
            <a:miter/>
          </a:ln>
        </xdr:spPr>
      </xdr:cxnSp>
    </xdr:grpSp>
    <xdr:clientData/>
  </xdr:twoCellAnchor>
  <xdr:twoCellAnchor editAs="oneCell">
    <xdr:from>
      <xdr:col>5</xdr:col>
      <xdr:colOff>266400</xdr:colOff>
      <xdr:row>18</xdr:row>
      <xdr:rowOff>114120</xdr:rowOff>
    </xdr:from>
    <xdr:to>
      <xdr:col>6</xdr:col>
      <xdr:colOff>394920</xdr:colOff>
      <xdr:row>18</xdr:row>
      <xdr:rowOff>115920</xdr:rowOff>
    </xdr:to>
    <xdr:grpSp>
      <xdr:nvGrpSpPr>
        <xdr:cNvPr id="860" name="Shape 2"/>
        <xdr:cNvGrpSpPr/>
      </xdr:nvGrpSpPr>
      <xdr:grpSpPr>
        <a:xfrm>
          <a:off x="3396960" y="2933640"/>
          <a:ext cx="754560" cy="1800"/>
          <a:chOff x="3396960" y="2933640"/>
          <a:chExt cx="754560" cy="1800"/>
        </a:xfrm>
      </xdr:grpSpPr>
      <xdr:cxnSp>
        <xdr:nvCxnSpPr>
          <xdr:cNvPr id="861" name="Shape 484"/>
          <xdr:cNvCxnSpPr/>
        </xdr:nvCxnSpPr>
        <xdr:spPr>
          <a:xfrm flipH="1">
            <a:off x="3396960" y="2933640"/>
            <a:ext cx="754920" cy="2160"/>
          </a:xfrm>
          <a:prstGeom prst="straightConnector1">
            <a:avLst/>
          </a:prstGeom>
          <a:ln w="19050">
            <a:solidFill>
              <a:srgbClr val="000000"/>
            </a:solidFill>
            <a:miter/>
          </a:ln>
        </xdr:spPr>
      </xdr:cxnSp>
    </xdr:grpSp>
    <xdr:clientData/>
  </xdr:twoCellAnchor>
  <xdr:twoCellAnchor editAs="oneCell">
    <xdr:from>
      <xdr:col>5</xdr:col>
      <xdr:colOff>190440</xdr:colOff>
      <xdr:row>18</xdr:row>
      <xdr:rowOff>68760</xdr:rowOff>
    </xdr:from>
    <xdr:to>
      <xdr:col>5</xdr:col>
      <xdr:colOff>273960</xdr:colOff>
      <xdr:row>19</xdr:row>
      <xdr:rowOff>38160</xdr:rowOff>
    </xdr:to>
    <xdr:sp>
      <xdr:nvSpPr>
        <xdr:cNvPr id="862" name="Shape 485"/>
        <xdr:cNvSpPr/>
      </xdr:nvSpPr>
      <xdr:spPr>
        <a:xfrm rot="16200000">
          <a:off x="3301920" y="2907360"/>
          <a:ext cx="121680" cy="83520"/>
        </a:xfrm>
        <a:custGeom>
          <a:avLst/>
          <a:gdLst>
            <a:gd name="textAreaLeft" fmla="*/ 0 w 121680"/>
            <a:gd name="textAreaRight" fmla="*/ 123840 w 121680"/>
            <a:gd name="textAreaTop" fmla="*/ 0 h 83520"/>
            <a:gd name="textAreaBottom" fmla="*/ 85680 h 8352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5</xdr:col>
      <xdr:colOff>9360</xdr:colOff>
      <xdr:row>18</xdr:row>
      <xdr:rowOff>85680</xdr:rowOff>
    </xdr:from>
    <xdr:to>
      <xdr:col>5</xdr:col>
      <xdr:colOff>83520</xdr:colOff>
      <xdr:row>19</xdr:row>
      <xdr:rowOff>16920</xdr:rowOff>
    </xdr:to>
    <xdr:sp>
      <xdr:nvSpPr>
        <xdr:cNvPr id="863" name="Shape 486"/>
        <xdr:cNvSpPr/>
      </xdr:nvSpPr>
      <xdr:spPr>
        <a:xfrm>
          <a:off x="3139920" y="2905200"/>
          <a:ext cx="74160" cy="83520"/>
        </a:xfrm>
        <a:prstGeom prst="rect">
          <a:avLst/>
        </a:prstGeom>
        <a:solidFill>
          <a:srgbClr val="0000ff"/>
        </a:solidFill>
        <a:ln w="9525">
          <a:solidFill>
            <a:srgbClr val="000000"/>
          </a:solidFill>
          <a:miter/>
        </a:ln>
      </xdr:spPr>
      <xdr:style>
        <a:lnRef idx="0"/>
        <a:fillRef idx="0"/>
        <a:effectRef idx="0"/>
        <a:fontRef idx="minor"/>
      </xdr:style>
    </xdr:sp>
    <xdr:clientData/>
  </xdr:twoCellAnchor>
  <xdr:twoCellAnchor editAs="oneCell">
    <xdr:from>
      <xdr:col>8</xdr:col>
      <xdr:colOff>390600</xdr:colOff>
      <xdr:row>18</xdr:row>
      <xdr:rowOff>47520</xdr:rowOff>
    </xdr:from>
    <xdr:to>
      <xdr:col>9</xdr:col>
      <xdr:colOff>210240</xdr:colOff>
      <xdr:row>19</xdr:row>
      <xdr:rowOff>74160</xdr:rowOff>
    </xdr:to>
    <xdr:sp>
      <xdr:nvSpPr>
        <xdr:cNvPr id="864" name="Shape 487"/>
        <xdr:cNvSpPr/>
      </xdr:nvSpPr>
      <xdr:spPr>
        <a:xfrm>
          <a:off x="5399640" y="2867040"/>
          <a:ext cx="445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Antenna</a:t>
          </a:r>
          <a:endParaRPr b="0" lang="en-US" sz="1000" strike="noStrike" u="none">
            <a:effectLst/>
            <a:uFillTx/>
            <a:latin typeface="Times New Roman"/>
          </a:endParaRPr>
        </a:p>
      </xdr:txBody>
    </xdr:sp>
    <xdr:clientData/>
  </xdr:twoCellAnchor>
  <xdr:twoCellAnchor editAs="oneCell">
    <xdr:from>
      <xdr:col>6</xdr:col>
      <xdr:colOff>409680</xdr:colOff>
      <xdr:row>17</xdr:row>
      <xdr:rowOff>123840</xdr:rowOff>
    </xdr:from>
    <xdr:to>
      <xdr:col>7</xdr:col>
      <xdr:colOff>286200</xdr:colOff>
      <xdr:row>20</xdr:row>
      <xdr:rowOff>7560</xdr:rowOff>
    </xdr:to>
    <xdr:sp>
      <xdr:nvSpPr>
        <xdr:cNvPr id="865" name="Shape 488"/>
        <xdr:cNvSpPr/>
      </xdr:nvSpPr>
      <xdr:spPr>
        <a:xfrm>
          <a:off x="4166280" y="2790720"/>
          <a:ext cx="502560" cy="34092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Matching</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Network</a:t>
          </a:r>
          <a:endParaRPr b="0" lang="en-US" sz="1000" strike="noStrike" u="none">
            <a:effectLst/>
            <a:uFillTx/>
            <a:latin typeface="Times New Roman"/>
          </a:endParaRPr>
        </a:p>
      </xdr:txBody>
    </xdr:sp>
    <xdr:clientData/>
  </xdr:twoCellAnchor>
  <xdr:twoCellAnchor editAs="oneCell">
    <xdr:from>
      <xdr:col>9</xdr:col>
      <xdr:colOff>9360</xdr:colOff>
      <xdr:row>11</xdr:row>
      <xdr:rowOff>56880</xdr:rowOff>
    </xdr:from>
    <xdr:to>
      <xdr:col>9</xdr:col>
      <xdr:colOff>592200</xdr:colOff>
      <xdr:row>11</xdr:row>
      <xdr:rowOff>58680</xdr:rowOff>
    </xdr:to>
    <xdr:grpSp>
      <xdr:nvGrpSpPr>
        <xdr:cNvPr id="866" name="Shape 2"/>
        <xdr:cNvGrpSpPr/>
      </xdr:nvGrpSpPr>
      <xdr:grpSpPr>
        <a:xfrm>
          <a:off x="5644440" y="1809360"/>
          <a:ext cx="582840" cy="1800"/>
          <a:chOff x="5644440" y="1809360"/>
          <a:chExt cx="582840" cy="1800"/>
        </a:xfrm>
      </xdr:grpSpPr>
      <xdr:cxnSp>
        <xdr:nvCxnSpPr>
          <xdr:cNvPr id="867" name="Shape 489"/>
          <xdr:cNvCxnSpPr/>
        </xdr:nvCxnSpPr>
        <xdr:spPr>
          <a:xfrm>
            <a:off x="5644440" y="1809360"/>
            <a:ext cx="583200" cy="2160"/>
          </a:xfrm>
          <a:prstGeom prst="straightConnector1">
            <a:avLst/>
          </a:prstGeom>
          <a:ln w="9525">
            <a:solidFill>
              <a:srgbClr val="000000"/>
            </a:solidFill>
            <a:miter/>
            <a:tailEnd len="med" type="triangle" w="med"/>
          </a:ln>
        </xdr:spPr>
      </xdr:cxnSp>
    </xdr:grpSp>
    <xdr:clientData/>
  </xdr:twoCellAnchor>
  <xdr:twoCellAnchor editAs="oneCell">
    <xdr:from>
      <xdr:col>3</xdr:col>
      <xdr:colOff>209520</xdr:colOff>
      <xdr:row>18</xdr:row>
      <xdr:rowOff>38160</xdr:rowOff>
    </xdr:from>
    <xdr:to>
      <xdr:col>4</xdr:col>
      <xdr:colOff>181440</xdr:colOff>
      <xdr:row>19</xdr:row>
      <xdr:rowOff>55080</xdr:rowOff>
    </xdr:to>
    <xdr:sp>
      <xdr:nvSpPr>
        <xdr:cNvPr id="868" name="Shape 490"/>
        <xdr:cNvSpPr/>
      </xdr:nvSpPr>
      <xdr:spPr>
        <a:xfrm>
          <a:off x="2088000" y="2857680"/>
          <a:ext cx="597960" cy="169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xdr:txBody>
    </xdr:sp>
    <xdr:clientData/>
  </xdr:twoCellAnchor>
  <xdr:twoCellAnchor editAs="oneCell">
    <xdr:from>
      <xdr:col>6</xdr:col>
      <xdr:colOff>438120</xdr:colOff>
      <xdr:row>22</xdr:row>
      <xdr:rowOff>123840</xdr:rowOff>
    </xdr:from>
    <xdr:to>
      <xdr:col>10</xdr:col>
      <xdr:colOff>169920</xdr:colOff>
      <xdr:row>25</xdr:row>
      <xdr:rowOff>7560</xdr:rowOff>
    </xdr:to>
    <xdr:sp>
      <xdr:nvSpPr>
        <xdr:cNvPr id="869" name="Shape 491"/>
        <xdr:cNvSpPr/>
      </xdr:nvSpPr>
      <xdr:spPr>
        <a:xfrm>
          <a:off x="4194720" y="3552840"/>
          <a:ext cx="2236320" cy="340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  </a:t>
          </a:r>
          <a:r>
            <a:rPr b="1" lang="en-US" sz="1000" strike="noStrike" u="none">
              <a:solidFill>
                <a:srgbClr val="000000"/>
              </a:solidFill>
              <a:effectLst/>
              <a:uFillTx/>
              <a:latin typeface="Arial"/>
              <a:ea typeface="Arial"/>
            </a:rPr>
            <a:t>Z</a:t>
          </a:r>
          <a:r>
            <a:rPr b="1" lang="en-US" sz="800" strike="noStrike" u="none">
              <a:solidFill>
                <a:srgbClr val="000000"/>
              </a:solidFill>
              <a:effectLst/>
              <a:uFillTx/>
              <a:latin typeface="Arial"/>
              <a:ea typeface="Arial"/>
            </a:rPr>
            <a:t>sys </a:t>
          </a:r>
          <a:r>
            <a:rPr b="0" lang="en-US" sz="1000" strike="noStrike" u="none">
              <a:solidFill>
                <a:srgbClr val="000000"/>
              </a:solidFill>
              <a:effectLst/>
              <a:uFillTx/>
              <a:latin typeface="Arial"/>
              <a:ea typeface="Arial"/>
            </a:rPr>
            <a:t> here using Network Analyzer</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or Impedance Bridge.</a:t>
          </a:r>
          <a:endParaRPr b="0" lang="en-US" sz="1000" strike="noStrike" u="none">
            <a:effectLst/>
            <a:uFillTx/>
            <a:latin typeface="Times New Roman"/>
          </a:endParaRPr>
        </a:p>
      </xdr:txBody>
    </xdr:sp>
    <xdr:clientData/>
  </xdr:twoCellAnchor>
  <xdr:twoCellAnchor editAs="oneCell">
    <xdr:from>
      <xdr:col>5</xdr:col>
      <xdr:colOff>237960</xdr:colOff>
      <xdr:row>19</xdr:row>
      <xdr:rowOff>37800</xdr:rowOff>
    </xdr:from>
    <xdr:to>
      <xdr:col>6</xdr:col>
      <xdr:colOff>366120</xdr:colOff>
      <xdr:row>23</xdr:row>
      <xdr:rowOff>49320</xdr:rowOff>
    </xdr:to>
    <xdr:grpSp>
      <xdr:nvGrpSpPr>
        <xdr:cNvPr id="870" name="Shape 2"/>
        <xdr:cNvGrpSpPr/>
      </xdr:nvGrpSpPr>
      <xdr:grpSpPr>
        <a:xfrm>
          <a:off x="3368520" y="3009600"/>
          <a:ext cx="754200" cy="621000"/>
          <a:chOff x="3368520" y="3009600"/>
          <a:chExt cx="754200" cy="621000"/>
        </a:xfrm>
      </xdr:grpSpPr>
      <xdr:cxnSp>
        <xdr:nvCxnSpPr>
          <xdr:cNvPr id="871" name="Shape 492"/>
          <xdr:cNvCxnSpPr/>
        </xdr:nvCxnSpPr>
        <xdr:spPr>
          <a:xfrm flipH="1" flipV="1">
            <a:off x="3368520" y="3009600"/>
            <a:ext cx="754560" cy="621360"/>
          </a:xfrm>
          <a:prstGeom prst="straightConnector1">
            <a:avLst/>
          </a:prstGeom>
          <a:ln w="9525">
            <a:solidFill>
              <a:srgbClr val="000000"/>
            </a:solidFill>
            <a:miter/>
            <a:tailEnd len="med" type="triangle" w="med"/>
          </a:ln>
        </xdr:spPr>
      </xdr:cxnSp>
    </xdr:grpSp>
    <xdr:clientData/>
  </xdr:twoCellAnchor>
  <xdr:twoCellAnchor editAs="oneCell">
    <xdr:from>
      <xdr:col>5</xdr:col>
      <xdr:colOff>409680</xdr:colOff>
      <xdr:row>25</xdr:row>
      <xdr:rowOff>85680</xdr:rowOff>
    </xdr:from>
    <xdr:to>
      <xdr:col>9</xdr:col>
      <xdr:colOff>65160</xdr:colOff>
      <xdr:row>27</xdr:row>
      <xdr:rowOff>111960</xdr:rowOff>
    </xdr:to>
    <xdr:sp>
      <xdr:nvSpPr>
        <xdr:cNvPr id="872" name="Shape 493"/>
        <xdr:cNvSpPr/>
      </xdr:nvSpPr>
      <xdr:spPr>
        <a:xfrm>
          <a:off x="3540240" y="3971880"/>
          <a:ext cx="2160000" cy="331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  </a:t>
          </a:r>
          <a:r>
            <a:rPr b="1" lang="en-US" sz="1000" strike="noStrike" u="none">
              <a:solidFill>
                <a:srgbClr val="000000"/>
              </a:solidFill>
              <a:effectLst/>
              <a:uFillTx/>
              <a:latin typeface="Arial"/>
              <a:ea typeface="Arial"/>
            </a:rPr>
            <a:t>Z</a:t>
          </a:r>
          <a:r>
            <a:rPr b="1" lang="en-US" sz="800" strike="noStrike" u="none">
              <a:solidFill>
                <a:srgbClr val="000000"/>
              </a:solidFill>
              <a:effectLst/>
              <a:uFillTx/>
              <a:latin typeface="Arial"/>
              <a:ea typeface="Arial"/>
            </a:rPr>
            <a:t>tx  </a:t>
          </a:r>
          <a:r>
            <a:rPr b="0" lang="en-US" sz="1000" strike="noStrike" u="none">
              <a:solidFill>
                <a:srgbClr val="000000"/>
              </a:solidFill>
              <a:effectLst/>
              <a:uFillTx/>
              <a:latin typeface="Arial"/>
              <a:ea typeface="Arial"/>
            </a:rPr>
            <a:t>here using Network Analyzer </a:t>
          </a:r>
          <a:endParaRPr b="0" lang="en-US" sz="1000" strike="noStrike" u="none">
            <a:effectLst/>
            <a:uFillTx/>
            <a:latin typeface="Times New Roman"/>
          </a:endParaRPr>
        </a:p>
        <a:p>
          <a:pPr>
            <a:lnSpc>
              <a:spcPct val="100000"/>
            </a:lnSpc>
            <a:tabLst>
              <a:tab algn="l" pos="0"/>
            </a:tabLst>
          </a:pPr>
          <a:r>
            <a:rPr b="0" lang="en-US" sz="1000" strike="noStrike" u="none">
              <a:solidFill>
                <a:srgbClr val="000000"/>
              </a:solidFill>
              <a:effectLst/>
              <a:uFillTx/>
              <a:latin typeface="Arial"/>
              <a:ea typeface="Arial"/>
            </a:rPr>
            <a:t>or Impedance Bridge.</a:t>
          </a:r>
          <a:endParaRPr b="0" lang="en-US" sz="1000" strike="noStrike" u="none">
            <a:effectLst/>
            <a:uFillTx/>
            <a:latin typeface="Times New Roman"/>
          </a:endParaRPr>
        </a:p>
      </xdr:txBody>
    </xdr:sp>
    <xdr:clientData/>
  </xdr:twoCellAnchor>
  <xdr:twoCellAnchor editAs="oneCell">
    <xdr:from>
      <xdr:col>5</xdr:col>
      <xdr:colOff>56880</xdr:colOff>
      <xdr:row>19</xdr:row>
      <xdr:rowOff>66600</xdr:rowOff>
    </xdr:from>
    <xdr:to>
      <xdr:col>5</xdr:col>
      <xdr:colOff>297000</xdr:colOff>
      <xdr:row>26</xdr:row>
      <xdr:rowOff>59040</xdr:rowOff>
    </xdr:to>
    <xdr:grpSp>
      <xdr:nvGrpSpPr>
        <xdr:cNvPr id="873" name="Shape 2"/>
        <xdr:cNvGrpSpPr/>
      </xdr:nvGrpSpPr>
      <xdr:grpSpPr>
        <a:xfrm>
          <a:off x="3187440" y="3038400"/>
          <a:ext cx="240120" cy="1059120"/>
          <a:chOff x="3187440" y="3038400"/>
          <a:chExt cx="240120" cy="1059120"/>
        </a:xfrm>
      </xdr:grpSpPr>
      <xdr:cxnSp>
        <xdr:nvCxnSpPr>
          <xdr:cNvPr id="874" name="Shape 494"/>
          <xdr:cNvCxnSpPr/>
        </xdr:nvCxnSpPr>
        <xdr:spPr>
          <a:xfrm flipH="1" flipV="1">
            <a:off x="3187440" y="3038400"/>
            <a:ext cx="240480" cy="1059480"/>
          </a:xfrm>
          <a:prstGeom prst="straightConnector1">
            <a:avLst/>
          </a:prstGeom>
          <a:ln w="9525">
            <a:solidFill>
              <a:srgbClr val="000000"/>
            </a:solidFill>
            <a:miter/>
            <a:tailEnd len="med" type="triangle" w="med"/>
          </a:ln>
        </xdr:spPr>
      </xdr:cxnSp>
    </xdr:grpSp>
    <xdr:clientData/>
  </xdr:twoCellAnchor>
  <xdr:twoCellAnchor editAs="oneCell">
    <xdr:from>
      <xdr:col>5</xdr:col>
      <xdr:colOff>295200</xdr:colOff>
      <xdr:row>26</xdr:row>
      <xdr:rowOff>28440</xdr:rowOff>
    </xdr:from>
    <xdr:to>
      <xdr:col>5</xdr:col>
      <xdr:colOff>401760</xdr:colOff>
      <xdr:row>26</xdr:row>
      <xdr:rowOff>30240</xdr:rowOff>
    </xdr:to>
    <xdr:grpSp>
      <xdr:nvGrpSpPr>
        <xdr:cNvPr id="875" name="Shape 2"/>
        <xdr:cNvGrpSpPr/>
      </xdr:nvGrpSpPr>
      <xdr:grpSpPr>
        <a:xfrm>
          <a:off x="3425760" y="4066920"/>
          <a:ext cx="106560" cy="1800"/>
          <a:chOff x="3425760" y="4066920"/>
          <a:chExt cx="106560" cy="1800"/>
        </a:xfrm>
      </xdr:grpSpPr>
      <xdr:cxnSp>
        <xdr:nvCxnSpPr>
          <xdr:cNvPr id="876" name="Shape 495"/>
          <xdr:cNvCxnSpPr/>
        </xdr:nvCxnSpPr>
        <xdr:spPr>
          <a:xfrm>
            <a:off x="3425760" y="4066920"/>
            <a:ext cx="106920" cy="2160"/>
          </a:xfrm>
          <a:prstGeom prst="straightConnector1">
            <a:avLst/>
          </a:prstGeom>
          <a:ln w="9525">
            <a:solidFill>
              <a:srgbClr val="000000"/>
            </a:solidFill>
            <a:miter/>
          </a:ln>
        </xdr:spPr>
      </xdr:cxnSp>
    </xdr:grpSp>
    <xdr:clientData/>
  </xdr:twoCellAnchor>
  <xdr:twoCellAnchor editAs="oneCell">
    <xdr:from>
      <xdr:col>2</xdr:col>
      <xdr:colOff>237960</xdr:colOff>
      <xdr:row>33</xdr:row>
      <xdr:rowOff>0</xdr:rowOff>
    </xdr:from>
    <xdr:to>
      <xdr:col>4</xdr:col>
      <xdr:colOff>192960</xdr:colOff>
      <xdr:row>36</xdr:row>
      <xdr:rowOff>140760</xdr:rowOff>
    </xdr:to>
    <xdr:sp>
      <xdr:nvSpPr>
        <xdr:cNvPr id="877" name="Shape 496"/>
        <xdr:cNvSpPr/>
      </xdr:nvSpPr>
      <xdr:spPr>
        <a:xfrm>
          <a:off x="1490040" y="5105520"/>
          <a:ext cx="1207440" cy="59796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2</xdr:col>
      <xdr:colOff>476280</xdr:colOff>
      <xdr:row>34</xdr:row>
      <xdr:rowOff>38160</xdr:rowOff>
    </xdr:from>
    <xdr:to>
      <xdr:col>3</xdr:col>
      <xdr:colOff>438120</xdr:colOff>
      <xdr:row>35</xdr:row>
      <xdr:rowOff>64800</xdr:rowOff>
    </xdr:to>
    <xdr:sp>
      <xdr:nvSpPr>
        <xdr:cNvPr id="878" name="Shape 497"/>
        <xdr:cNvSpPr/>
      </xdr:nvSpPr>
      <xdr:spPr>
        <a:xfrm>
          <a:off x="1728360" y="5295960"/>
          <a:ext cx="58824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Transmitter</a:t>
          </a:r>
          <a:endParaRPr b="0" lang="en-US" sz="1000" strike="noStrike" u="none">
            <a:effectLst/>
            <a:uFillTx/>
            <a:latin typeface="Times New Roman"/>
          </a:endParaRPr>
        </a:p>
      </xdr:txBody>
    </xdr:sp>
    <xdr:clientData/>
  </xdr:twoCellAnchor>
  <xdr:twoCellAnchor editAs="oneCell">
    <xdr:from>
      <xdr:col>9</xdr:col>
      <xdr:colOff>399960</xdr:colOff>
      <xdr:row>33</xdr:row>
      <xdr:rowOff>0</xdr:rowOff>
    </xdr:from>
    <xdr:to>
      <xdr:col>9</xdr:col>
      <xdr:colOff>483480</xdr:colOff>
      <xdr:row>37</xdr:row>
      <xdr:rowOff>26640</xdr:rowOff>
    </xdr:to>
    <xdr:sp>
      <xdr:nvSpPr>
        <xdr:cNvPr id="879" name="Shape 480"/>
        <xdr:cNvSpPr/>
      </xdr:nvSpPr>
      <xdr:spPr>
        <a:xfrm>
          <a:off x="6035040" y="5105520"/>
          <a:ext cx="83520" cy="63612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9</xdr:col>
      <xdr:colOff>457200</xdr:colOff>
      <xdr:row>35</xdr:row>
      <xdr:rowOff>142920</xdr:rowOff>
    </xdr:from>
    <xdr:to>
      <xdr:col>10</xdr:col>
      <xdr:colOff>404280</xdr:colOff>
      <xdr:row>38</xdr:row>
      <xdr:rowOff>39960</xdr:rowOff>
    </xdr:to>
    <xdr:grpSp>
      <xdr:nvGrpSpPr>
        <xdr:cNvPr id="880" name="Shape 2"/>
        <xdr:cNvGrpSpPr/>
      </xdr:nvGrpSpPr>
      <xdr:grpSpPr>
        <a:xfrm>
          <a:off x="6092280" y="5553000"/>
          <a:ext cx="573120" cy="354240"/>
          <a:chOff x="6092280" y="5553000"/>
          <a:chExt cx="573120" cy="354240"/>
        </a:xfrm>
      </xdr:grpSpPr>
      <xdr:cxnSp>
        <xdr:nvCxnSpPr>
          <xdr:cNvPr id="881" name="Shape 498"/>
          <xdr:cNvCxnSpPr/>
        </xdr:nvCxnSpPr>
        <xdr:spPr>
          <a:xfrm>
            <a:off x="6092280" y="5553000"/>
            <a:ext cx="573480" cy="354600"/>
          </a:xfrm>
          <a:prstGeom prst="straightConnector1">
            <a:avLst/>
          </a:prstGeom>
          <a:ln w="38100">
            <a:solidFill>
              <a:srgbClr val="000000"/>
            </a:solidFill>
            <a:miter/>
          </a:ln>
        </xdr:spPr>
      </xdr:cxnSp>
    </xdr:grpSp>
    <xdr:clientData/>
  </xdr:twoCellAnchor>
  <xdr:twoCellAnchor editAs="oneCell">
    <xdr:from>
      <xdr:col>9</xdr:col>
      <xdr:colOff>466560</xdr:colOff>
      <xdr:row>31</xdr:row>
      <xdr:rowOff>114120</xdr:rowOff>
    </xdr:from>
    <xdr:to>
      <xdr:col>10</xdr:col>
      <xdr:colOff>413640</xdr:colOff>
      <xdr:row>34</xdr:row>
      <xdr:rowOff>30240</xdr:rowOff>
    </xdr:to>
    <xdr:grpSp>
      <xdr:nvGrpSpPr>
        <xdr:cNvPr id="882" name="Shape 2"/>
        <xdr:cNvGrpSpPr/>
      </xdr:nvGrpSpPr>
      <xdr:grpSpPr>
        <a:xfrm>
          <a:off x="6101640" y="4914720"/>
          <a:ext cx="573120" cy="373320"/>
          <a:chOff x="6101640" y="4914720"/>
          <a:chExt cx="573120" cy="373320"/>
        </a:xfrm>
      </xdr:grpSpPr>
      <xdr:cxnSp>
        <xdr:nvCxnSpPr>
          <xdr:cNvPr id="883" name="Shape 499"/>
          <xdr:cNvCxnSpPr/>
        </xdr:nvCxnSpPr>
        <xdr:spPr>
          <a:xfrm flipV="1">
            <a:off x="6101640" y="4914720"/>
            <a:ext cx="573480" cy="373680"/>
          </a:xfrm>
          <a:prstGeom prst="straightConnector1">
            <a:avLst/>
          </a:prstGeom>
          <a:ln w="38100">
            <a:solidFill>
              <a:srgbClr val="000000"/>
            </a:solidFill>
            <a:miter/>
          </a:ln>
        </xdr:spPr>
      </xdr:cxnSp>
    </xdr:grpSp>
    <xdr:clientData/>
  </xdr:twoCellAnchor>
  <xdr:twoCellAnchor editAs="oneCell">
    <xdr:from>
      <xdr:col>8</xdr:col>
      <xdr:colOff>257040</xdr:colOff>
      <xdr:row>34</xdr:row>
      <xdr:rowOff>0</xdr:rowOff>
    </xdr:from>
    <xdr:to>
      <xdr:col>9</xdr:col>
      <xdr:colOff>238320</xdr:colOff>
      <xdr:row>36</xdr:row>
      <xdr:rowOff>16920</xdr:rowOff>
    </xdr:to>
    <xdr:sp>
      <xdr:nvSpPr>
        <xdr:cNvPr id="884" name="Shape 500"/>
        <xdr:cNvSpPr/>
      </xdr:nvSpPr>
      <xdr:spPr>
        <a:xfrm>
          <a:off x="5266080" y="5257800"/>
          <a:ext cx="607320" cy="32184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9</xdr:col>
      <xdr:colOff>285480</xdr:colOff>
      <xdr:row>34</xdr:row>
      <xdr:rowOff>142560</xdr:rowOff>
    </xdr:from>
    <xdr:to>
      <xdr:col>9</xdr:col>
      <xdr:colOff>401760</xdr:colOff>
      <xdr:row>34</xdr:row>
      <xdr:rowOff>144360</xdr:rowOff>
    </xdr:to>
    <xdr:grpSp>
      <xdr:nvGrpSpPr>
        <xdr:cNvPr id="885" name="Shape 2"/>
        <xdr:cNvGrpSpPr/>
      </xdr:nvGrpSpPr>
      <xdr:grpSpPr>
        <a:xfrm>
          <a:off x="5920560" y="5400360"/>
          <a:ext cx="116280" cy="1800"/>
          <a:chOff x="5920560" y="5400360"/>
          <a:chExt cx="116280" cy="1800"/>
        </a:xfrm>
      </xdr:grpSpPr>
      <xdr:cxnSp>
        <xdr:nvCxnSpPr>
          <xdr:cNvPr id="886" name="Shape 483"/>
          <xdr:cNvCxnSpPr/>
        </xdr:nvCxnSpPr>
        <xdr:spPr>
          <a:xfrm flipH="1">
            <a:off x="5920560" y="5400360"/>
            <a:ext cx="116640" cy="2160"/>
          </a:xfrm>
          <a:prstGeom prst="straightConnector1">
            <a:avLst/>
          </a:prstGeom>
          <a:ln w="19050">
            <a:solidFill>
              <a:srgbClr val="000000"/>
            </a:solidFill>
            <a:miter/>
          </a:ln>
        </xdr:spPr>
      </xdr:cxnSp>
    </xdr:grpSp>
    <xdr:clientData/>
  </xdr:twoCellAnchor>
  <xdr:twoCellAnchor editAs="oneCell">
    <xdr:from>
      <xdr:col>7</xdr:col>
      <xdr:colOff>85680</xdr:colOff>
      <xdr:row>34</xdr:row>
      <xdr:rowOff>133200</xdr:rowOff>
    </xdr:from>
    <xdr:to>
      <xdr:col>8</xdr:col>
      <xdr:colOff>213480</xdr:colOff>
      <xdr:row>34</xdr:row>
      <xdr:rowOff>135000</xdr:rowOff>
    </xdr:to>
    <xdr:grpSp>
      <xdr:nvGrpSpPr>
        <xdr:cNvPr id="887" name="Shape 2"/>
        <xdr:cNvGrpSpPr/>
      </xdr:nvGrpSpPr>
      <xdr:grpSpPr>
        <a:xfrm>
          <a:off x="4468320" y="5391000"/>
          <a:ext cx="754200" cy="1800"/>
          <a:chOff x="4468320" y="5391000"/>
          <a:chExt cx="754200" cy="1800"/>
        </a:xfrm>
      </xdr:grpSpPr>
      <xdr:cxnSp>
        <xdr:nvCxnSpPr>
          <xdr:cNvPr id="888" name="Shape 484"/>
          <xdr:cNvCxnSpPr/>
        </xdr:nvCxnSpPr>
        <xdr:spPr>
          <a:xfrm flipH="1">
            <a:off x="4468320" y="5391000"/>
            <a:ext cx="754560" cy="2160"/>
          </a:xfrm>
          <a:prstGeom prst="straightConnector1">
            <a:avLst/>
          </a:prstGeom>
          <a:ln w="19050">
            <a:solidFill>
              <a:srgbClr val="000000"/>
            </a:solidFill>
            <a:miter/>
          </a:ln>
        </xdr:spPr>
      </xdr:cxnSp>
    </xdr:grpSp>
    <xdr:clientData/>
  </xdr:twoCellAnchor>
  <xdr:twoCellAnchor editAs="oneCell">
    <xdr:from>
      <xdr:col>7</xdr:col>
      <xdr:colOff>19080</xdr:colOff>
      <xdr:row>34</xdr:row>
      <xdr:rowOff>87840</xdr:rowOff>
    </xdr:from>
    <xdr:to>
      <xdr:col>7</xdr:col>
      <xdr:colOff>102600</xdr:colOff>
      <xdr:row>35</xdr:row>
      <xdr:rowOff>57240</xdr:rowOff>
    </xdr:to>
    <xdr:sp>
      <xdr:nvSpPr>
        <xdr:cNvPr id="889" name="Shape 485"/>
        <xdr:cNvSpPr/>
      </xdr:nvSpPr>
      <xdr:spPr>
        <a:xfrm rot="16200000">
          <a:off x="4382640" y="5364720"/>
          <a:ext cx="121680" cy="83520"/>
        </a:xfrm>
        <a:custGeom>
          <a:avLst/>
          <a:gdLst>
            <a:gd name="textAreaLeft" fmla="*/ 0 w 121680"/>
            <a:gd name="textAreaRight" fmla="*/ 123840 w 121680"/>
            <a:gd name="textAreaTop" fmla="*/ 0 h 83520"/>
            <a:gd name="textAreaBottom" fmla="*/ 85680 h 8352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10</xdr:col>
      <xdr:colOff>219240</xdr:colOff>
      <xdr:row>34</xdr:row>
      <xdr:rowOff>66600</xdr:rowOff>
    </xdr:from>
    <xdr:to>
      <xdr:col>10</xdr:col>
      <xdr:colOff>664920</xdr:colOff>
      <xdr:row>35</xdr:row>
      <xdr:rowOff>93240</xdr:rowOff>
    </xdr:to>
    <xdr:sp>
      <xdr:nvSpPr>
        <xdr:cNvPr id="890" name="Shape 501"/>
        <xdr:cNvSpPr/>
      </xdr:nvSpPr>
      <xdr:spPr>
        <a:xfrm>
          <a:off x="6480360" y="5324400"/>
          <a:ext cx="4456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Antenna</a:t>
          </a:r>
          <a:endParaRPr b="0" lang="en-US" sz="1000" strike="noStrike" u="none">
            <a:effectLst/>
            <a:uFillTx/>
            <a:latin typeface="Times New Roman"/>
          </a:endParaRPr>
        </a:p>
      </xdr:txBody>
    </xdr:sp>
    <xdr:clientData/>
  </xdr:twoCellAnchor>
  <xdr:twoCellAnchor editAs="oneCell">
    <xdr:from>
      <xdr:col>8</xdr:col>
      <xdr:colOff>237960</xdr:colOff>
      <xdr:row>34</xdr:row>
      <xdr:rowOff>0</xdr:rowOff>
    </xdr:from>
    <xdr:to>
      <xdr:col>9</xdr:col>
      <xdr:colOff>114480</xdr:colOff>
      <xdr:row>36</xdr:row>
      <xdr:rowOff>26280</xdr:rowOff>
    </xdr:to>
    <xdr:sp>
      <xdr:nvSpPr>
        <xdr:cNvPr id="891" name="Shape 502"/>
        <xdr:cNvSpPr/>
      </xdr:nvSpPr>
      <xdr:spPr>
        <a:xfrm>
          <a:off x="5247000" y="5257800"/>
          <a:ext cx="502560" cy="3312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0" lang="en-US" sz="1000" strike="noStrike" u="none">
              <a:solidFill>
                <a:srgbClr val="000000"/>
              </a:solidFill>
              <a:effectLst/>
              <a:uFillTx/>
              <a:latin typeface="Arial"/>
              <a:ea typeface="Arial"/>
            </a:rPr>
            <a:t>Matching</a:t>
          </a:r>
          <a:endParaRPr b="0" lang="en-US" sz="1000" strike="noStrike" u="none">
            <a:effectLst/>
            <a:uFillTx/>
            <a:latin typeface="Times New Roman"/>
          </a:endParaRPr>
        </a:p>
        <a:p>
          <a:pPr algn="ctr">
            <a:lnSpc>
              <a:spcPct val="100000"/>
            </a:lnSpc>
            <a:tabLst>
              <a:tab algn="l" pos="0"/>
            </a:tabLst>
          </a:pPr>
          <a:r>
            <a:rPr b="0" lang="en-US" sz="1000" strike="noStrike" u="none">
              <a:solidFill>
                <a:srgbClr val="000000"/>
              </a:solidFill>
              <a:effectLst/>
              <a:uFillTx/>
              <a:latin typeface="Arial"/>
              <a:ea typeface="Arial"/>
            </a:rPr>
            <a:t>Network</a:t>
          </a:r>
          <a:endParaRPr b="0" lang="en-US" sz="1000" strike="noStrike" u="none">
            <a:effectLst/>
            <a:uFillTx/>
            <a:latin typeface="Times New Roman"/>
          </a:endParaRPr>
        </a:p>
      </xdr:txBody>
    </xdr:sp>
    <xdr:clientData/>
  </xdr:twoCellAnchor>
  <xdr:twoCellAnchor editAs="oneCell">
    <xdr:from>
      <xdr:col>6</xdr:col>
      <xdr:colOff>0</xdr:colOff>
      <xdr:row>33</xdr:row>
      <xdr:rowOff>0</xdr:rowOff>
    </xdr:from>
    <xdr:to>
      <xdr:col>6</xdr:col>
      <xdr:colOff>597960</xdr:colOff>
      <xdr:row>39</xdr:row>
      <xdr:rowOff>150120</xdr:rowOff>
    </xdr:to>
    <xdr:sp>
      <xdr:nvSpPr>
        <xdr:cNvPr id="892" name="Shape 503"/>
        <xdr:cNvSpPr/>
      </xdr:nvSpPr>
      <xdr:spPr>
        <a:xfrm>
          <a:off x="3756600" y="5105520"/>
          <a:ext cx="597960" cy="1064520"/>
        </a:xfrm>
        <a:prstGeom prst="rect">
          <a:avLst/>
        </a:prstGeom>
        <a:solidFill>
          <a:srgbClr val="99ccff"/>
        </a:solidFill>
        <a:ln w="9525">
          <a:solidFill>
            <a:srgbClr val="000000"/>
          </a:solidFill>
          <a:miter/>
        </a:ln>
      </xdr:spPr>
      <xdr:style>
        <a:lnRef idx="0"/>
        <a:fillRef idx="0"/>
        <a:effectRef idx="0"/>
        <a:fontRef idx="minor"/>
      </xdr:style>
    </xdr:sp>
    <xdr:clientData/>
  </xdr:twoCellAnchor>
  <xdr:twoCellAnchor editAs="oneCell">
    <xdr:from>
      <xdr:col>6</xdr:col>
      <xdr:colOff>66600</xdr:colOff>
      <xdr:row>33</xdr:row>
      <xdr:rowOff>85680</xdr:rowOff>
    </xdr:from>
    <xdr:to>
      <xdr:col>6</xdr:col>
      <xdr:colOff>502560</xdr:colOff>
      <xdr:row>36</xdr:row>
      <xdr:rowOff>45360</xdr:rowOff>
    </xdr:to>
    <xdr:sp>
      <xdr:nvSpPr>
        <xdr:cNvPr id="893" name="Shape 504"/>
        <xdr:cNvSpPr/>
      </xdr:nvSpPr>
      <xdr:spPr>
        <a:xfrm>
          <a:off x="3823200" y="5191200"/>
          <a:ext cx="435960" cy="416880"/>
        </a:xfrm>
        <a:prstGeom prst="ellipse">
          <a:avLst/>
        </a:prstGeom>
        <a:solidFill>
          <a:srgbClr val="ffff99"/>
        </a:solidFill>
        <a:ln w="9525">
          <a:solidFill>
            <a:srgbClr val="000000"/>
          </a:solidFill>
          <a:miter/>
        </a:ln>
      </xdr:spPr>
      <xdr:style>
        <a:lnRef idx="0"/>
        <a:fillRef idx="0"/>
        <a:effectRef idx="0"/>
        <a:fontRef idx="minor"/>
      </xdr:style>
    </xdr:sp>
    <xdr:clientData/>
  </xdr:twoCellAnchor>
  <xdr:twoCellAnchor editAs="oneCell">
    <xdr:from>
      <xdr:col>6</xdr:col>
      <xdr:colOff>152280</xdr:colOff>
      <xdr:row>34</xdr:row>
      <xdr:rowOff>75960</xdr:rowOff>
    </xdr:from>
    <xdr:to>
      <xdr:col>6</xdr:col>
      <xdr:colOff>258840</xdr:colOff>
      <xdr:row>35</xdr:row>
      <xdr:rowOff>96840</xdr:rowOff>
    </xdr:to>
    <xdr:grpSp>
      <xdr:nvGrpSpPr>
        <xdr:cNvPr id="894" name="Shape 2"/>
        <xdr:cNvGrpSpPr/>
      </xdr:nvGrpSpPr>
      <xdr:grpSpPr>
        <a:xfrm>
          <a:off x="3908880" y="5333760"/>
          <a:ext cx="106560" cy="173160"/>
          <a:chOff x="3908880" y="5333760"/>
          <a:chExt cx="106560" cy="173160"/>
        </a:xfrm>
      </xdr:grpSpPr>
      <xdr:cxnSp>
        <xdr:nvCxnSpPr>
          <xdr:cNvPr id="895" name="Shape 505"/>
          <xdr:cNvCxnSpPr/>
        </xdr:nvCxnSpPr>
        <xdr:spPr>
          <a:xfrm flipH="1" flipV="1">
            <a:off x="3908880" y="5333760"/>
            <a:ext cx="106920" cy="173520"/>
          </a:xfrm>
          <a:prstGeom prst="straightConnector1">
            <a:avLst/>
          </a:prstGeom>
          <a:ln w="9525">
            <a:solidFill>
              <a:srgbClr val="000000"/>
            </a:solidFill>
            <a:miter/>
            <a:headEnd len="med" type="oval" w="med"/>
            <a:tailEnd len="med" type="triangle" w="med"/>
          </a:ln>
        </xdr:spPr>
      </xdr:cxnSp>
    </xdr:grpSp>
    <xdr:clientData/>
  </xdr:twoCellAnchor>
  <xdr:twoCellAnchor editAs="oneCell">
    <xdr:from>
      <xdr:col>5</xdr:col>
      <xdr:colOff>459360</xdr:colOff>
      <xdr:row>34</xdr:row>
      <xdr:rowOff>104760</xdr:rowOff>
    </xdr:from>
    <xdr:to>
      <xdr:col>5</xdr:col>
      <xdr:colOff>609480</xdr:colOff>
      <xdr:row>35</xdr:row>
      <xdr:rowOff>36000</xdr:rowOff>
    </xdr:to>
    <xdr:sp>
      <xdr:nvSpPr>
        <xdr:cNvPr id="896" name="Shape 506"/>
        <xdr:cNvSpPr/>
      </xdr:nvSpPr>
      <xdr:spPr>
        <a:xfrm rot="5400000">
          <a:off x="3623040" y="5329080"/>
          <a:ext cx="83520" cy="150120"/>
        </a:xfrm>
        <a:custGeom>
          <a:avLst/>
          <a:gdLst>
            <a:gd name="textAreaLeft" fmla="*/ 0 w 83520"/>
            <a:gd name="textAreaRight" fmla="*/ 85680 w 83520"/>
            <a:gd name="textAreaTop" fmla="*/ 0 h 150120"/>
            <a:gd name="textAreaBottom" fmla="*/ 152280 h 15012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4</xdr:col>
      <xdr:colOff>304920</xdr:colOff>
      <xdr:row>34</xdr:row>
      <xdr:rowOff>87840</xdr:rowOff>
    </xdr:from>
    <xdr:to>
      <xdr:col>4</xdr:col>
      <xdr:colOff>388440</xdr:colOff>
      <xdr:row>35</xdr:row>
      <xdr:rowOff>57240</xdr:rowOff>
    </xdr:to>
    <xdr:sp>
      <xdr:nvSpPr>
        <xdr:cNvPr id="897" name="Shape 485"/>
        <xdr:cNvSpPr/>
      </xdr:nvSpPr>
      <xdr:spPr>
        <a:xfrm rot="16200000">
          <a:off x="2790360" y="5364720"/>
          <a:ext cx="121680" cy="83520"/>
        </a:xfrm>
        <a:custGeom>
          <a:avLst/>
          <a:gdLst>
            <a:gd name="textAreaLeft" fmla="*/ 0 w 121680"/>
            <a:gd name="textAreaRight" fmla="*/ 123840 w 121680"/>
            <a:gd name="textAreaTop" fmla="*/ 0 h 83520"/>
            <a:gd name="textAreaBottom" fmla="*/ 85680 h 83520"/>
          </a:gdLst>
          <a:ahLst/>
          <a:cxnLst/>
          <a:rect l="textAreaLeft" t="textAreaTop" r="textAreaRight" b="textAreaBottom"/>
          <a:pathLst>
            <a:path w="21600" h="21600">
              <a:moveTo>
                <a:pt x="0" y="0"/>
              </a:moveTo>
              <a:lnTo>
                <a:pt x="5400" y="21600"/>
              </a:lnTo>
              <a:lnTo>
                <a:pt x="16200" y="21600"/>
              </a:lnTo>
              <a:lnTo>
                <a:pt x="21600" y="0"/>
              </a:lnTo>
              <a:lnTo>
                <a:pt x="0" y="0"/>
              </a:lnTo>
              <a:close/>
            </a:path>
          </a:pathLst>
        </a:custGeom>
        <a:solidFill>
          <a:srgbClr val="0000ff"/>
        </a:solidFill>
        <a:ln w="9525">
          <a:solidFill>
            <a:srgbClr val="000000"/>
          </a:solidFill>
          <a:miter/>
        </a:ln>
      </xdr:spPr>
      <xdr:style>
        <a:lnRef idx="0"/>
        <a:fillRef idx="0"/>
        <a:effectRef idx="0"/>
        <a:fontRef idx="minor"/>
      </xdr:style>
    </xdr:sp>
    <xdr:clientData/>
  </xdr:twoCellAnchor>
  <xdr:twoCellAnchor editAs="oneCell">
    <xdr:from>
      <xdr:col>4</xdr:col>
      <xdr:colOff>419040</xdr:colOff>
      <xdr:row>34</xdr:row>
      <xdr:rowOff>133200</xdr:rowOff>
    </xdr:from>
    <xdr:to>
      <xdr:col>5</xdr:col>
      <xdr:colOff>423360</xdr:colOff>
      <xdr:row>34</xdr:row>
      <xdr:rowOff>135000</xdr:rowOff>
    </xdr:to>
    <xdr:grpSp>
      <xdr:nvGrpSpPr>
        <xdr:cNvPr id="898" name="Shape 2"/>
        <xdr:cNvGrpSpPr/>
      </xdr:nvGrpSpPr>
      <xdr:grpSpPr>
        <a:xfrm>
          <a:off x="2923560" y="5391000"/>
          <a:ext cx="630360" cy="1800"/>
          <a:chOff x="2923560" y="5391000"/>
          <a:chExt cx="630360" cy="1800"/>
        </a:xfrm>
      </xdr:grpSpPr>
      <xdr:cxnSp>
        <xdr:nvCxnSpPr>
          <xdr:cNvPr id="899" name="Shape 507"/>
          <xdr:cNvCxnSpPr/>
        </xdr:nvCxnSpPr>
        <xdr:spPr>
          <a:xfrm>
            <a:off x="2923560" y="5391000"/>
            <a:ext cx="630720" cy="2160"/>
          </a:xfrm>
          <a:prstGeom prst="straightConnector1">
            <a:avLst/>
          </a:prstGeom>
          <a:ln w="19050">
            <a:solidFill>
              <a:srgbClr val="000000"/>
            </a:solidFill>
            <a:miter/>
          </a:ln>
        </xdr:spPr>
      </xdr:cxnSp>
    </xdr:grpSp>
    <xdr:clientData/>
  </xdr:twoCellAnchor>
  <xdr:twoCellAnchor editAs="oneCell">
    <xdr:from>
      <xdr:col>5</xdr:col>
      <xdr:colOff>333360</xdr:colOff>
      <xdr:row>31</xdr:row>
      <xdr:rowOff>28440</xdr:rowOff>
    </xdr:from>
    <xdr:to>
      <xdr:col>7</xdr:col>
      <xdr:colOff>31680</xdr:colOff>
      <xdr:row>32</xdr:row>
      <xdr:rowOff>55080</xdr:rowOff>
    </xdr:to>
    <xdr:sp>
      <xdr:nvSpPr>
        <xdr:cNvPr id="900" name="Shape 508"/>
        <xdr:cNvSpPr/>
      </xdr:nvSpPr>
      <xdr:spPr>
        <a:xfrm>
          <a:off x="3463920" y="4829040"/>
          <a:ext cx="95040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In-Line Watt Meter</a:t>
          </a:r>
          <a:endParaRPr b="0" lang="en-US" sz="1000" strike="noStrike" u="none">
            <a:effectLst/>
            <a:uFillTx/>
            <a:latin typeface="Times New Roman"/>
          </a:endParaRPr>
        </a:p>
      </xdr:txBody>
    </xdr:sp>
    <xdr:clientData/>
  </xdr:twoCellAnchor>
  <xdr:twoCellAnchor editAs="oneCell">
    <xdr:from>
      <xdr:col>5</xdr:col>
      <xdr:colOff>200160</xdr:colOff>
      <xdr:row>44</xdr:row>
      <xdr:rowOff>0</xdr:rowOff>
    </xdr:from>
    <xdr:to>
      <xdr:col>7</xdr:col>
      <xdr:colOff>403200</xdr:colOff>
      <xdr:row>45</xdr:row>
      <xdr:rowOff>26280</xdr:rowOff>
    </xdr:to>
    <xdr:sp>
      <xdr:nvSpPr>
        <xdr:cNvPr id="901" name="Shape 509"/>
        <xdr:cNvSpPr/>
      </xdr:nvSpPr>
      <xdr:spPr>
        <a:xfrm>
          <a:off x="3330720" y="6781680"/>
          <a:ext cx="145512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TEST</a:t>
          </a:r>
          <a:r>
            <a:rPr b="0" lang="en-US" sz="1000" strike="noStrike" u="none">
              <a:solidFill>
                <a:srgbClr val="000000"/>
              </a:solidFill>
              <a:effectLst/>
              <a:uFillTx/>
              <a:latin typeface="Arial"/>
              <a:ea typeface="Arial"/>
            </a:rPr>
            <a:t> </a:t>
          </a:r>
          <a:r>
            <a:rPr b="1" lang="en-US" sz="1000" strike="noStrike" u="none">
              <a:solidFill>
                <a:srgbClr val="000000"/>
              </a:solidFill>
              <a:effectLst/>
              <a:uFillTx/>
              <a:latin typeface="Arial"/>
              <a:ea typeface="Arial"/>
            </a:rPr>
            <a:t>CONFIGURATION #2 </a:t>
          </a:r>
          <a:endParaRPr b="0" lang="en-US" sz="1000" strike="noStrike" u="none">
            <a:effectLst/>
            <a:uFillTx/>
            <a:latin typeface="Times New Roman"/>
          </a:endParaRPr>
        </a:p>
      </xdr:txBody>
    </xdr:sp>
    <xdr:clientData/>
  </xdr:twoCellAnchor>
  <xdr:twoCellAnchor editAs="oneCell">
    <xdr:from>
      <xdr:col>6</xdr:col>
      <xdr:colOff>162000</xdr:colOff>
      <xdr:row>37</xdr:row>
      <xdr:rowOff>85680</xdr:rowOff>
    </xdr:from>
    <xdr:to>
      <xdr:col>6</xdr:col>
      <xdr:colOff>388440</xdr:colOff>
      <xdr:row>38</xdr:row>
      <xdr:rowOff>150480</xdr:rowOff>
    </xdr:to>
    <xdr:sp>
      <xdr:nvSpPr>
        <xdr:cNvPr id="902" name="Shape 510"/>
        <xdr:cNvSpPr/>
      </xdr:nvSpPr>
      <xdr:spPr>
        <a:xfrm>
          <a:off x="3918600" y="5800680"/>
          <a:ext cx="226440" cy="21708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6</xdr:col>
      <xdr:colOff>209520</xdr:colOff>
      <xdr:row>38</xdr:row>
      <xdr:rowOff>28440</xdr:rowOff>
    </xdr:from>
    <xdr:to>
      <xdr:col>6</xdr:col>
      <xdr:colOff>344520</xdr:colOff>
      <xdr:row>38</xdr:row>
      <xdr:rowOff>30240</xdr:rowOff>
    </xdr:to>
    <xdr:grpSp>
      <xdr:nvGrpSpPr>
        <xdr:cNvPr id="903" name="Shape 2"/>
        <xdr:cNvGrpSpPr/>
      </xdr:nvGrpSpPr>
      <xdr:grpSpPr>
        <a:xfrm>
          <a:off x="3966120" y="5895720"/>
          <a:ext cx="135000" cy="1800"/>
          <a:chOff x="3966120" y="5895720"/>
          <a:chExt cx="135000" cy="1800"/>
        </a:xfrm>
      </xdr:grpSpPr>
      <xdr:cxnSp>
        <xdr:nvCxnSpPr>
          <xdr:cNvPr id="904" name="Shape 511"/>
          <xdr:cNvCxnSpPr/>
        </xdr:nvCxnSpPr>
        <xdr:spPr>
          <a:xfrm>
            <a:off x="3966120" y="5895720"/>
            <a:ext cx="135360" cy="2160"/>
          </a:xfrm>
          <a:prstGeom prst="straightConnector1">
            <a:avLst/>
          </a:prstGeom>
          <a:ln w="9525">
            <a:solidFill>
              <a:srgbClr val="ff0000"/>
            </a:solidFill>
            <a:miter/>
            <a:tailEnd len="med" type="triangle" w="med"/>
          </a:ln>
        </xdr:spPr>
      </xdr:cxnSp>
    </xdr:grpSp>
    <xdr:clientData/>
  </xdr:twoCellAnchor>
  <xdr:twoCellAnchor editAs="oneCell">
    <xdr:from>
      <xdr:col>7</xdr:col>
      <xdr:colOff>466560</xdr:colOff>
      <xdr:row>37</xdr:row>
      <xdr:rowOff>85680</xdr:rowOff>
    </xdr:from>
    <xdr:to>
      <xdr:col>8</xdr:col>
      <xdr:colOff>75960</xdr:colOff>
      <xdr:row>38</xdr:row>
      <xdr:rowOff>150480</xdr:rowOff>
    </xdr:to>
    <xdr:sp>
      <xdr:nvSpPr>
        <xdr:cNvPr id="905" name="Shape 512"/>
        <xdr:cNvSpPr/>
      </xdr:nvSpPr>
      <xdr:spPr>
        <a:xfrm>
          <a:off x="4849200" y="5800680"/>
          <a:ext cx="235800" cy="21708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7</xdr:col>
      <xdr:colOff>504720</xdr:colOff>
      <xdr:row>38</xdr:row>
      <xdr:rowOff>28440</xdr:rowOff>
    </xdr:from>
    <xdr:to>
      <xdr:col>8</xdr:col>
      <xdr:colOff>23040</xdr:colOff>
      <xdr:row>38</xdr:row>
      <xdr:rowOff>30240</xdr:rowOff>
    </xdr:to>
    <xdr:grpSp>
      <xdr:nvGrpSpPr>
        <xdr:cNvPr id="906" name="Shape 2"/>
        <xdr:cNvGrpSpPr/>
      </xdr:nvGrpSpPr>
      <xdr:grpSpPr>
        <a:xfrm>
          <a:off x="4887360" y="5895720"/>
          <a:ext cx="144720" cy="1800"/>
          <a:chOff x="4887360" y="5895720"/>
          <a:chExt cx="144720" cy="1800"/>
        </a:xfrm>
      </xdr:grpSpPr>
      <xdr:cxnSp>
        <xdr:nvCxnSpPr>
          <xdr:cNvPr id="907" name="Shape 513"/>
          <xdr:cNvCxnSpPr/>
        </xdr:nvCxnSpPr>
        <xdr:spPr>
          <a:xfrm>
            <a:off x="4887360" y="5895720"/>
            <a:ext cx="145080" cy="2160"/>
          </a:xfrm>
          <a:prstGeom prst="straightConnector1">
            <a:avLst/>
          </a:prstGeom>
          <a:ln w="9525">
            <a:solidFill>
              <a:srgbClr val="ff0000"/>
            </a:solidFill>
            <a:miter/>
            <a:headEnd len="med" type="triangle" w="med"/>
          </a:ln>
        </xdr:spPr>
      </xdr:cxnSp>
    </xdr:grpSp>
    <xdr:clientData/>
  </xdr:twoCellAnchor>
  <xdr:twoCellAnchor editAs="oneCell">
    <xdr:from>
      <xdr:col>7</xdr:col>
      <xdr:colOff>123840</xdr:colOff>
      <xdr:row>37</xdr:row>
      <xdr:rowOff>104760</xdr:rowOff>
    </xdr:from>
    <xdr:to>
      <xdr:col>7</xdr:col>
      <xdr:colOff>378720</xdr:colOff>
      <xdr:row>38</xdr:row>
      <xdr:rowOff>131400</xdr:rowOff>
    </xdr:to>
    <xdr:sp>
      <xdr:nvSpPr>
        <xdr:cNvPr id="908" name="Shape 514"/>
        <xdr:cNvSpPr/>
      </xdr:nvSpPr>
      <xdr:spPr>
        <a:xfrm>
          <a:off x="4506480" y="5819760"/>
          <a:ext cx="254880" cy="1789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AND</a:t>
          </a:r>
          <a:endParaRPr b="0" lang="en-US" sz="1000" strike="noStrike" u="none">
            <a:effectLst/>
            <a:uFillTx/>
            <a:latin typeface="Times New Roman"/>
          </a:endParaRPr>
        </a:p>
      </xdr:txBody>
    </xdr:sp>
    <xdr:clientData/>
  </xdr:twoCellAnchor>
  <xdr:twoCellAnchor editAs="oneCell">
    <xdr:from>
      <xdr:col>4</xdr:col>
      <xdr:colOff>428760</xdr:colOff>
      <xdr:row>37</xdr:row>
      <xdr:rowOff>123840</xdr:rowOff>
    </xdr:from>
    <xdr:to>
      <xdr:col>5</xdr:col>
      <xdr:colOff>381600</xdr:colOff>
      <xdr:row>39</xdr:row>
      <xdr:rowOff>7200</xdr:rowOff>
    </xdr:to>
    <xdr:sp>
      <xdr:nvSpPr>
        <xdr:cNvPr id="909" name="Shape 515"/>
        <xdr:cNvSpPr/>
      </xdr:nvSpPr>
      <xdr:spPr>
        <a:xfrm>
          <a:off x="2933280" y="5838840"/>
          <a:ext cx="57888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MEASURE</a:t>
          </a:r>
          <a:endParaRPr b="0" lang="en-US" sz="1000" strike="noStrike" u="none">
            <a:effectLst/>
            <a:uFillTx/>
            <a:latin typeface="Times New Roman"/>
          </a:endParaRPr>
        </a:p>
      </xdr:txBody>
    </xdr:sp>
    <xdr:clientData/>
  </xdr:twoCellAnchor>
  <xdr:twoCellAnchor editAs="oneCell">
    <xdr:from>
      <xdr:col>8</xdr:col>
      <xdr:colOff>133200</xdr:colOff>
      <xdr:row>37</xdr:row>
      <xdr:rowOff>114480</xdr:rowOff>
    </xdr:from>
    <xdr:to>
      <xdr:col>10</xdr:col>
      <xdr:colOff>117360</xdr:colOff>
      <xdr:row>38</xdr:row>
      <xdr:rowOff>131400</xdr:rowOff>
    </xdr:to>
    <xdr:sp>
      <xdr:nvSpPr>
        <xdr:cNvPr id="910" name="Shape 516"/>
        <xdr:cNvSpPr/>
      </xdr:nvSpPr>
      <xdr:spPr>
        <a:xfrm>
          <a:off x="5142240" y="5829480"/>
          <a:ext cx="1236240" cy="16920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000" strike="noStrike" u="none">
              <a:solidFill>
                <a:srgbClr val="000000"/>
              </a:solidFill>
              <a:effectLst/>
              <a:uFillTx/>
              <a:latin typeface="Arial"/>
              <a:ea typeface="Arial"/>
            </a:rPr>
            <a:t>TO DETERMINE VSWR</a:t>
          </a:r>
          <a:endParaRPr b="0" lang="en-US" sz="1000" strike="noStrike" u="none">
            <a:effectLst/>
            <a:uFillTx/>
            <a:latin typeface="Times New Roman"/>
          </a:endParaRPr>
        </a:p>
      </xdr:txBody>
    </xdr:sp>
    <xdr:clientData/>
  </xdr:twoCellAnchor>
  <xdr:twoCellAnchor editAs="oneCell">
    <xdr:from>
      <xdr:col>9</xdr:col>
      <xdr:colOff>75960</xdr:colOff>
      <xdr:row>13</xdr:row>
      <xdr:rowOff>56880</xdr:rowOff>
    </xdr:from>
    <xdr:to>
      <xdr:col>9</xdr:col>
      <xdr:colOff>573120</xdr:colOff>
      <xdr:row>13</xdr:row>
      <xdr:rowOff>58680</xdr:rowOff>
    </xdr:to>
    <xdr:grpSp>
      <xdr:nvGrpSpPr>
        <xdr:cNvPr id="911" name="Shape 2"/>
        <xdr:cNvGrpSpPr/>
      </xdr:nvGrpSpPr>
      <xdr:grpSpPr>
        <a:xfrm>
          <a:off x="5711040" y="2114280"/>
          <a:ext cx="497160" cy="1800"/>
          <a:chOff x="5711040" y="2114280"/>
          <a:chExt cx="497160" cy="1800"/>
        </a:xfrm>
      </xdr:grpSpPr>
      <xdr:cxnSp>
        <xdr:nvCxnSpPr>
          <xdr:cNvPr id="912" name="Shape 517"/>
          <xdr:cNvCxnSpPr/>
        </xdr:nvCxnSpPr>
        <xdr:spPr>
          <a:xfrm flipH="1">
            <a:off x="5711040" y="2114280"/>
            <a:ext cx="497520" cy="2160"/>
          </a:xfrm>
          <a:prstGeom prst="straightConnector1">
            <a:avLst/>
          </a:prstGeom>
          <a:ln w="9525">
            <a:solidFill>
              <a:srgbClr val="000000"/>
            </a:solidFill>
            <a:miter/>
            <a:tailEnd len="med" type="triangle" w="med"/>
          </a:ln>
        </xdr:spPr>
      </xdr:cxnSp>
    </xdr:grpSp>
    <xdr:clientData/>
  </xdr:twoCellAnchor>
  <xdr:twoCellAnchor editAs="oneCell">
    <xdr:from>
      <xdr:col>17</xdr:col>
      <xdr:colOff>228600</xdr:colOff>
      <xdr:row>6</xdr:row>
      <xdr:rowOff>133200</xdr:rowOff>
    </xdr:from>
    <xdr:to>
      <xdr:col>17</xdr:col>
      <xdr:colOff>230400</xdr:colOff>
      <xdr:row>35</xdr:row>
      <xdr:rowOff>78120</xdr:rowOff>
    </xdr:to>
    <xdr:grpSp>
      <xdr:nvGrpSpPr>
        <xdr:cNvPr id="913" name="Shape 2"/>
        <xdr:cNvGrpSpPr/>
      </xdr:nvGrpSpPr>
      <xdr:grpSpPr>
        <a:xfrm>
          <a:off x="10616040" y="1123920"/>
          <a:ext cx="1800" cy="4364280"/>
          <a:chOff x="10616040" y="1123920"/>
          <a:chExt cx="1800" cy="4364280"/>
        </a:xfrm>
      </xdr:grpSpPr>
      <xdr:cxnSp>
        <xdr:nvCxnSpPr>
          <xdr:cNvPr id="914" name="Shape 518"/>
          <xdr:cNvCxnSpPr/>
        </xdr:nvCxnSpPr>
        <xdr:spPr>
          <a:xfrm flipV="1">
            <a:off x="10616040" y="1123920"/>
            <a:ext cx="2160" cy="4364640"/>
          </a:xfrm>
          <a:prstGeom prst="straightConnector1">
            <a:avLst/>
          </a:prstGeom>
          <a:ln w="9525">
            <a:solidFill>
              <a:srgbClr val="000000"/>
            </a:solidFill>
            <a:miter/>
          </a:ln>
        </xdr:spPr>
      </xdr:cxnSp>
    </xdr:grpSp>
    <xdr:clientData/>
  </xdr:twoCellAnchor>
  <xdr:twoCellAnchor editAs="oneCell">
    <xdr:from>
      <xdr:col>9</xdr:col>
      <xdr:colOff>237240</xdr:colOff>
      <xdr:row>6</xdr:row>
      <xdr:rowOff>114120</xdr:rowOff>
    </xdr:from>
    <xdr:to>
      <xdr:col>16</xdr:col>
      <xdr:colOff>759960</xdr:colOff>
      <xdr:row>6</xdr:row>
      <xdr:rowOff>115920</xdr:rowOff>
    </xdr:to>
    <xdr:grpSp>
      <xdr:nvGrpSpPr>
        <xdr:cNvPr id="915" name="Shape 2"/>
        <xdr:cNvGrpSpPr/>
      </xdr:nvGrpSpPr>
      <xdr:grpSpPr>
        <a:xfrm>
          <a:off x="5872320" y="1104840"/>
          <a:ext cx="4507920" cy="1800"/>
          <a:chOff x="5872320" y="1104840"/>
          <a:chExt cx="4507920" cy="1800"/>
        </a:xfrm>
      </xdr:grpSpPr>
      <xdr:cxnSp>
        <xdr:nvCxnSpPr>
          <xdr:cNvPr id="916" name="Shape 519"/>
          <xdr:cNvCxnSpPr/>
        </xdr:nvCxnSpPr>
        <xdr:spPr>
          <a:xfrm flipH="1">
            <a:off x="5872320" y="1104840"/>
            <a:ext cx="4508280" cy="2160"/>
          </a:xfrm>
          <a:prstGeom prst="straightConnector1">
            <a:avLst/>
          </a:prstGeom>
          <a:ln w="9525">
            <a:solidFill>
              <a:srgbClr val="000000"/>
            </a:solidFill>
            <a:miter/>
          </a:ln>
        </xdr:spPr>
      </xdr:cxnSp>
    </xdr:grpSp>
    <xdr:clientData/>
  </xdr:twoCellAnchor>
  <xdr:twoCellAnchor editAs="oneCell">
    <xdr:from>
      <xdr:col>17</xdr:col>
      <xdr:colOff>0</xdr:colOff>
      <xdr:row>35</xdr:row>
      <xdr:rowOff>56880</xdr:rowOff>
    </xdr:from>
    <xdr:to>
      <xdr:col>17</xdr:col>
      <xdr:colOff>249120</xdr:colOff>
      <xdr:row>35</xdr:row>
      <xdr:rowOff>58680</xdr:rowOff>
    </xdr:to>
    <xdr:grpSp>
      <xdr:nvGrpSpPr>
        <xdr:cNvPr id="917" name="Shape 2"/>
        <xdr:cNvGrpSpPr/>
      </xdr:nvGrpSpPr>
      <xdr:grpSpPr>
        <a:xfrm>
          <a:off x="10387440" y="5466960"/>
          <a:ext cx="249120" cy="1800"/>
          <a:chOff x="10387440" y="5466960"/>
          <a:chExt cx="249120" cy="1800"/>
        </a:xfrm>
      </xdr:grpSpPr>
      <xdr:cxnSp>
        <xdr:nvCxnSpPr>
          <xdr:cNvPr id="918" name="Shape 156"/>
          <xdr:cNvCxnSpPr/>
        </xdr:nvCxnSpPr>
        <xdr:spPr>
          <a:xfrm>
            <a:off x="10387440" y="5466960"/>
            <a:ext cx="249480" cy="2160"/>
          </a:xfrm>
          <a:prstGeom prst="straightConnector1">
            <a:avLst/>
          </a:prstGeom>
          <a:ln w="9525">
            <a:solidFill>
              <a:srgbClr val="000000"/>
            </a:solidFill>
            <a:miter/>
            <a:tailEnd len="med" type="triangle" w="med"/>
          </a:ln>
        </xdr:spPr>
      </xdr:cxnSp>
    </xdr:grpSp>
    <xdr:clientData/>
  </xdr:twoCellAnchor>
  <xdr:twoCellAnchor editAs="oneCell">
    <xdr:from>
      <xdr:col>9</xdr:col>
      <xdr:colOff>-360</xdr:colOff>
      <xdr:row>6</xdr:row>
      <xdr:rowOff>123480</xdr:rowOff>
    </xdr:from>
    <xdr:to>
      <xdr:col>9</xdr:col>
      <xdr:colOff>239760</xdr:colOff>
      <xdr:row>7</xdr:row>
      <xdr:rowOff>87480</xdr:rowOff>
    </xdr:to>
    <xdr:grpSp>
      <xdr:nvGrpSpPr>
        <xdr:cNvPr id="919" name="Shape 2"/>
        <xdr:cNvGrpSpPr/>
      </xdr:nvGrpSpPr>
      <xdr:grpSpPr>
        <a:xfrm>
          <a:off x="5634720" y="1114200"/>
          <a:ext cx="240120" cy="116280"/>
          <a:chOff x="5634720" y="1114200"/>
          <a:chExt cx="240120" cy="116280"/>
        </a:xfrm>
      </xdr:grpSpPr>
      <xdr:cxnSp>
        <xdr:nvCxnSpPr>
          <xdr:cNvPr id="920" name="Shape 520"/>
          <xdr:cNvCxnSpPr/>
        </xdr:nvCxnSpPr>
        <xdr:spPr>
          <a:xfrm flipH="1">
            <a:off x="5634720" y="1114200"/>
            <a:ext cx="240480" cy="116640"/>
          </a:xfrm>
          <a:prstGeom prst="straightConnector1">
            <a:avLst/>
          </a:prstGeom>
          <a:ln w="9525">
            <a:solidFill>
              <a:srgbClr val="000000"/>
            </a:solidFill>
            <a:miter/>
            <a:tailEnd len="med" type="triangle" w="med"/>
          </a:ln>
        </xdr:spPr>
      </xdr:cxnSp>
    </xdr:grpSp>
    <xdr:clientData/>
  </xdr:twoCellAnchor>
  <xdr:twoCellAnchor editAs="oneCell">
    <xdr:from>
      <xdr:col>5</xdr:col>
      <xdr:colOff>142920</xdr:colOff>
      <xdr:row>27</xdr:row>
      <xdr:rowOff>123840</xdr:rowOff>
    </xdr:from>
    <xdr:to>
      <xdr:col>7</xdr:col>
      <xdr:colOff>317520</xdr:colOff>
      <xdr:row>29</xdr:row>
      <xdr:rowOff>7560</xdr:rowOff>
    </xdr:to>
    <xdr:sp>
      <xdr:nvSpPr>
        <xdr:cNvPr id="921" name="Shape 521"/>
        <xdr:cNvSpPr/>
      </xdr:nvSpPr>
      <xdr:spPr>
        <a:xfrm>
          <a:off x="3273480" y="4314960"/>
          <a:ext cx="1426680" cy="188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1" lang="en-US" sz="1000" strike="noStrike" u="none">
              <a:solidFill>
                <a:srgbClr val="000000"/>
              </a:solidFill>
              <a:effectLst/>
              <a:uFillTx/>
              <a:latin typeface="Arial"/>
              <a:ea typeface="Arial"/>
            </a:rPr>
            <a:t>TEST CONFIGURATION #1</a:t>
          </a:r>
          <a:endParaRPr b="0" lang="en-US" sz="1000" strike="noStrike" u="none">
            <a:effectLst/>
            <a:uFillTx/>
            <a:latin typeface="Times New Roman"/>
          </a:endParaRPr>
        </a:p>
      </xdr:txBody>
    </xdr:sp>
    <xdr:clientData/>
  </xdr:twoCellAnchor>
  <xdr:twoCellAnchor editAs="oneCell">
    <xdr:from>
      <xdr:col>15</xdr:col>
      <xdr:colOff>0</xdr:colOff>
      <xdr:row>22</xdr:row>
      <xdr:rowOff>56880</xdr:rowOff>
    </xdr:from>
    <xdr:to>
      <xdr:col>17</xdr:col>
      <xdr:colOff>197280</xdr:colOff>
      <xdr:row>22</xdr:row>
      <xdr:rowOff>58680</xdr:rowOff>
    </xdr:to>
    <xdr:grpSp>
      <xdr:nvGrpSpPr>
        <xdr:cNvPr id="922" name="Shape 2"/>
        <xdr:cNvGrpSpPr/>
      </xdr:nvGrpSpPr>
      <xdr:grpSpPr>
        <a:xfrm>
          <a:off x="9497160" y="3485880"/>
          <a:ext cx="1087560" cy="1800"/>
          <a:chOff x="9497160" y="3485880"/>
          <a:chExt cx="1087560" cy="1800"/>
        </a:xfrm>
      </xdr:grpSpPr>
      <xdr:cxnSp>
        <xdr:nvCxnSpPr>
          <xdr:cNvPr id="923" name="Shape 522"/>
          <xdr:cNvCxnSpPr/>
        </xdr:nvCxnSpPr>
        <xdr:spPr>
          <a:xfrm>
            <a:off x="9497160" y="3485880"/>
            <a:ext cx="1087920" cy="2160"/>
          </a:xfrm>
          <a:prstGeom prst="straightConnector1">
            <a:avLst/>
          </a:prstGeom>
          <a:ln w="9525">
            <a:solidFill>
              <a:srgbClr val="000000"/>
            </a:solidFill>
            <a:miter/>
            <a:tailEnd len="med" type="triangle" w="med"/>
          </a:ln>
        </xdr:spPr>
      </xdr:cxnSp>
    </xdr:grpSp>
    <xdr:clientData/>
  </xdr:twoCellAnchor>
  <xdr:twoCellAnchor editAs="oneCell">
    <xdr:from>
      <xdr:col>14</xdr:col>
      <xdr:colOff>324000</xdr:colOff>
      <xdr:row>32</xdr:row>
      <xdr:rowOff>123840</xdr:rowOff>
    </xdr:from>
    <xdr:to>
      <xdr:col>14</xdr:col>
      <xdr:colOff>550440</xdr:colOff>
      <xdr:row>34</xdr:row>
      <xdr:rowOff>36000</xdr:rowOff>
    </xdr:to>
    <xdr:sp>
      <xdr:nvSpPr>
        <xdr:cNvPr id="924" name="Shape 510"/>
        <xdr:cNvSpPr/>
      </xdr:nvSpPr>
      <xdr:spPr>
        <a:xfrm>
          <a:off x="9195120" y="5076720"/>
          <a:ext cx="226440" cy="21708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14</xdr:col>
      <xdr:colOff>304920</xdr:colOff>
      <xdr:row>30</xdr:row>
      <xdr:rowOff>123840</xdr:rowOff>
    </xdr:from>
    <xdr:to>
      <xdr:col>14</xdr:col>
      <xdr:colOff>531360</xdr:colOff>
      <xdr:row>32</xdr:row>
      <xdr:rowOff>45720</xdr:rowOff>
    </xdr:to>
    <xdr:sp>
      <xdr:nvSpPr>
        <xdr:cNvPr id="925" name="Shape 523"/>
        <xdr:cNvSpPr/>
      </xdr:nvSpPr>
      <xdr:spPr>
        <a:xfrm>
          <a:off x="9176040" y="4772160"/>
          <a:ext cx="226440" cy="226440"/>
        </a:xfrm>
        <a:prstGeom prst="ellipse">
          <a:avLst/>
        </a:prstGeom>
        <a:solidFill>
          <a:srgbClr val="ffcc00"/>
        </a:solidFill>
        <a:ln w="9525">
          <a:solidFill>
            <a:srgbClr val="000000"/>
          </a:solidFill>
          <a:miter/>
        </a:ln>
      </xdr:spPr>
      <xdr:style>
        <a:lnRef idx="0"/>
        <a:fillRef idx="0"/>
        <a:effectRef idx="0"/>
        <a:fontRef idx="minor"/>
      </xdr:style>
    </xdr:sp>
    <xdr:clientData/>
  </xdr:twoCellAnchor>
  <xdr:twoCellAnchor editAs="oneCell">
    <xdr:from>
      <xdr:col>14</xdr:col>
      <xdr:colOff>361800</xdr:colOff>
      <xdr:row>31</xdr:row>
      <xdr:rowOff>56880</xdr:rowOff>
    </xdr:from>
    <xdr:to>
      <xdr:col>14</xdr:col>
      <xdr:colOff>496800</xdr:colOff>
      <xdr:row>31</xdr:row>
      <xdr:rowOff>58680</xdr:rowOff>
    </xdr:to>
    <xdr:grpSp>
      <xdr:nvGrpSpPr>
        <xdr:cNvPr id="926" name="Shape 2"/>
        <xdr:cNvGrpSpPr/>
      </xdr:nvGrpSpPr>
      <xdr:grpSpPr>
        <a:xfrm>
          <a:off x="9232920" y="4857480"/>
          <a:ext cx="135000" cy="1800"/>
          <a:chOff x="9232920" y="4857480"/>
          <a:chExt cx="135000" cy="1800"/>
        </a:xfrm>
      </xdr:grpSpPr>
      <xdr:cxnSp>
        <xdr:nvCxnSpPr>
          <xdr:cNvPr id="927" name="Shape 511"/>
          <xdr:cNvCxnSpPr/>
        </xdr:nvCxnSpPr>
        <xdr:spPr>
          <a:xfrm>
            <a:off x="9232920" y="4857480"/>
            <a:ext cx="135360" cy="2160"/>
          </a:xfrm>
          <a:prstGeom prst="straightConnector1">
            <a:avLst/>
          </a:prstGeom>
          <a:ln w="9525">
            <a:solidFill>
              <a:srgbClr val="ff0000"/>
            </a:solidFill>
            <a:miter/>
            <a:tailEnd len="med" type="triangle" w="med"/>
          </a:ln>
        </xdr:spPr>
      </xdr:cxnSp>
    </xdr:grpSp>
    <xdr:clientData/>
  </xdr:twoCellAnchor>
  <xdr:twoCellAnchor editAs="oneCell">
    <xdr:from>
      <xdr:col>14</xdr:col>
      <xdr:colOff>361800</xdr:colOff>
      <xdr:row>33</xdr:row>
      <xdr:rowOff>56880</xdr:rowOff>
    </xdr:from>
    <xdr:to>
      <xdr:col>14</xdr:col>
      <xdr:colOff>496800</xdr:colOff>
      <xdr:row>33</xdr:row>
      <xdr:rowOff>58680</xdr:rowOff>
    </xdr:to>
    <xdr:grpSp>
      <xdr:nvGrpSpPr>
        <xdr:cNvPr id="928" name="Shape 2"/>
        <xdr:cNvGrpSpPr/>
      </xdr:nvGrpSpPr>
      <xdr:grpSpPr>
        <a:xfrm>
          <a:off x="9232920" y="5162400"/>
          <a:ext cx="135000" cy="1800"/>
          <a:chOff x="9232920" y="5162400"/>
          <a:chExt cx="135000" cy="1800"/>
        </a:xfrm>
      </xdr:grpSpPr>
      <xdr:cxnSp>
        <xdr:nvCxnSpPr>
          <xdr:cNvPr id="929" name="Shape 524"/>
          <xdr:cNvCxnSpPr/>
        </xdr:nvCxnSpPr>
        <xdr:spPr>
          <a:xfrm>
            <a:off x="9232920" y="5162400"/>
            <a:ext cx="135360" cy="2160"/>
          </a:xfrm>
          <a:prstGeom prst="straightConnector1">
            <a:avLst/>
          </a:prstGeom>
          <a:ln w="9525">
            <a:solidFill>
              <a:srgbClr val="ff0000"/>
            </a:solidFill>
            <a:miter/>
            <a:headEnd len="med" type="triangle" w="med"/>
          </a:ln>
        </xdr:spPr>
      </xdr:cxnSp>
    </xdr:grpSp>
    <xdr:clientData/>
  </xdr:twoCellAnchor>
  <xdr:twoCellAnchor editAs="oneCell">
    <xdr:from>
      <xdr:col>9</xdr:col>
      <xdr:colOff>0</xdr:colOff>
      <xdr:row>9</xdr:row>
      <xdr:rowOff>56880</xdr:rowOff>
    </xdr:from>
    <xdr:to>
      <xdr:col>9</xdr:col>
      <xdr:colOff>573120</xdr:colOff>
      <xdr:row>9</xdr:row>
      <xdr:rowOff>58680</xdr:rowOff>
    </xdr:to>
    <xdr:grpSp>
      <xdr:nvGrpSpPr>
        <xdr:cNvPr id="930" name="Shape 2"/>
        <xdr:cNvGrpSpPr/>
      </xdr:nvGrpSpPr>
      <xdr:grpSpPr>
        <a:xfrm>
          <a:off x="5635080" y="1504800"/>
          <a:ext cx="573120" cy="1800"/>
          <a:chOff x="5635080" y="1504800"/>
          <a:chExt cx="573120" cy="1800"/>
        </a:xfrm>
      </xdr:grpSpPr>
      <xdr:cxnSp>
        <xdr:nvCxnSpPr>
          <xdr:cNvPr id="931" name="Shape 525"/>
          <xdr:cNvCxnSpPr/>
        </xdr:nvCxnSpPr>
        <xdr:spPr>
          <a:xfrm>
            <a:off x="5635080" y="1504800"/>
            <a:ext cx="573480" cy="2160"/>
          </a:xfrm>
          <a:prstGeom prst="straightConnector1">
            <a:avLst/>
          </a:prstGeom>
          <a:ln w="9525">
            <a:solidFill>
              <a:srgbClr val="000000"/>
            </a:solidFill>
            <a:miter/>
            <a:tailEnd len="med" type="triangle" w="med"/>
          </a:ln>
        </xdr:spPr>
      </xdr:cxnSp>
    </xdr:grpSp>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3.xml"/><Relationship Id="rId3"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4.xml"/><Relationship Id="rId3"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5.xml"/><Relationship Id="rId3" Type="http://schemas.openxmlformats.org/officeDocument/2006/relationships/vmlDrawing" Target="../drawings/vmlDrawing6.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6.xml"/><Relationship Id="rId3" Type="http://schemas.openxmlformats.org/officeDocument/2006/relationships/vmlDrawing" Target="../drawings/vmlDrawing7.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7.xml"/><Relationship Id="rId3" Type="http://schemas.openxmlformats.org/officeDocument/2006/relationships/vmlDrawing" Target="../drawings/vmlDrawing8.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8.xml"/><Relationship Id="rId3" Type="http://schemas.openxmlformats.org/officeDocument/2006/relationships/vmlDrawing" Target="../drawings/vmlDrawing9.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9.xml"/><Relationship Id="rId3" Type="http://schemas.openxmlformats.org/officeDocument/2006/relationships/vmlDrawing" Target="../drawings/vmlDrawing10.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0.xml"/><Relationship Id="rId3" Type="http://schemas.openxmlformats.org/officeDocument/2006/relationships/vmlDrawing" Target="../drawings/vmlDrawing11.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1.xml"/><Relationship Id="rId3" Type="http://schemas.openxmlformats.org/officeDocument/2006/relationships/vmlDrawing" Target="../drawings/vmlDrawing12.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2.xml"/><Relationship Id="rId3" Type="http://schemas.openxmlformats.org/officeDocument/2006/relationships/vmlDrawing" Target="../drawings/vmlDrawing13.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3.xml"/><Relationship Id="rId3" Type="http://schemas.openxmlformats.org/officeDocument/2006/relationships/vmlDrawing" Target="../drawings/vmlDrawing14.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4.xml"/><Relationship Id="rId3" Type="http://schemas.openxmlformats.org/officeDocument/2006/relationships/vmlDrawing" Target="../drawings/vmlDrawing15.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15.xml"/><Relationship Id="rId3" Type="http://schemas.openxmlformats.org/officeDocument/2006/relationships/vmlDrawing" Target="../drawings/vmlDrawing16.vml"/>
</Relationships>
</file>

<file path=xl/worksheets/_rels/sheet17.xml.rels><?xml version="1.0" encoding="UTF-8"?>
<Relationships xmlns="http://schemas.openxmlformats.org/package/2006/relationships"><Relationship Id="rId1" Type="http://schemas.openxmlformats.org/officeDocument/2006/relationships/drawing" Target="../drawings/drawing16.x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hyperlink" Target="http://www.ocarc.ca/coax.htm" TargetMode="External"/><Relationship Id="rId3" Type="http://schemas.openxmlformats.org/officeDocument/2006/relationships/hyperlink" Target="http://www.timesmicrowave.com/cgi-bin/calculate.pl" TargetMode="External"/><Relationship Id="rId4" Type="http://schemas.openxmlformats.org/officeDocument/2006/relationships/hyperlink" Target="http://www.radio-ware.com/products/techinfo/coax.loss.htm" TargetMode="External"/><Relationship Id="rId5" Type="http://schemas.openxmlformats.org/officeDocument/2006/relationships/hyperlink" Target="http://www.meteorscatter.net/cable.htm" TargetMode="External"/><Relationship Id="rId6" Type="http://schemas.openxmlformats.org/officeDocument/2006/relationships/hyperlink" Target="http://www.advancedmicrowave.com/products/product_frame.htm" TargetMode="External"/><Relationship Id="rId7" Type="http://schemas.openxmlformats.org/officeDocument/2006/relationships/hyperlink" Target="http://frequency/" TargetMode="External"/><Relationship Id="rId8"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17.xml"/><Relationship Id="rId3" Type="http://schemas.openxmlformats.org/officeDocument/2006/relationships/vmlDrawing" Target="../drawings/vmlDrawing18.vml"/>
</Relationships>
</file>

<file path=xl/worksheets/_rels/sheet20.xml.rels><?xml version="1.0" encoding="UTF-8"?>
<Relationships xmlns="http://schemas.openxmlformats.org/package/2006/relationships"><Relationship Id="rId1" Type="http://schemas.openxmlformats.org/officeDocument/2006/relationships/comments" Target="../comments20.xml"/><Relationship Id="rId2" Type="http://schemas.openxmlformats.org/officeDocument/2006/relationships/vmlDrawing" Target="../drawings/vmlDrawing19.vml"/>
</Relationships>
</file>

<file path=xl/worksheets/_rels/sheet21.xml.rels><?xml version="1.0" encoding="UTF-8"?>
<Relationships xmlns="http://schemas.openxmlformats.org/package/2006/relationships"><Relationship Id="rId1" Type="http://schemas.openxmlformats.org/officeDocument/2006/relationships/comments" Target="../comments21.xml"/><Relationship Id="rId2" Type="http://schemas.openxmlformats.org/officeDocument/2006/relationships/vmlDrawing" Target="../drawings/vmlDrawing20.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D0806"/>
    <pageSetUpPr fitToPage="false"/>
  </sheetPr>
  <dimension ref="A1:P1000"/>
  <sheetViews>
    <sheetView showFormulas="false" showGridLines="true" showRowColHeaders="true" showZeros="true" rightToLeft="false" tabSelected="false" showOutlineSymbols="true" defaultGridColor="true" view="normal" topLeftCell="E1" colorId="64" zoomScale="120" zoomScaleNormal="120" zoomScalePageLayoutView="100" workbookViewId="0">
      <selection pane="topLeft" activeCell="F40" activeCellId="0" sqref="F40"/>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7.38"/>
    <col collapsed="false" customWidth="true" hidden="false" outlineLevel="0" max="4" min="4" style="1" width="8.88"/>
    <col collapsed="false" customWidth="true" hidden="false" outlineLevel="0" max="5" min="5" style="1" width="16.12"/>
    <col collapsed="false" customWidth="true" hidden="false" outlineLevel="0" max="6" min="6" style="1" width="68.88"/>
    <col collapsed="false" customWidth="true" hidden="false" outlineLevel="0" max="7" min="7" style="1" width="8.88"/>
    <col collapsed="false" customWidth="true" hidden="false" outlineLevel="0" max="8" min="8" style="1" width="8.38"/>
    <col collapsed="false" customWidth="true" hidden="false" outlineLevel="0" max="9" min="9" style="1" width="3.75"/>
    <col collapsed="false" customWidth="true" hidden="false" outlineLevel="0" max="10" min="10" style="1" width="2.38"/>
    <col collapsed="false" customWidth="true" hidden="false" outlineLevel="0" max="16" min="11" style="1" width="8.88"/>
    <col collapsed="false" customWidth="true" hidden="false" outlineLevel="0" max="26" min="17" style="1" width="14.38"/>
  </cols>
  <sheetData>
    <row r="1" customFormat="false" ht="25.5" hidden="false" customHeight="true" outlineLevel="0" collapsed="false">
      <c r="A1" s="2" t="s">
        <v>0</v>
      </c>
      <c r="B1" s="3"/>
      <c r="C1" s="2"/>
      <c r="D1" s="4"/>
      <c r="E1" s="3"/>
      <c r="F1" s="5" t="s">
        <v>1</v>
      </c>
      <c r="G1" s="6" t="s">
        <v>2</v>
      </c>
      <c r="H1" s="7"/>
      <c r="I1" s="8"/>
      <c r="J1" s="8"/>
      <c r="K1" s="8"/>
      <c r="L1" s="8"/>
      <c r="M1" s="7"/>
      <c r="N1" s="9"/>
      <c r="O1" s="10"/>
      <c r="P1" s="10"/>
    </row>
    <row r="2" customFormat="false" ht="22.5" hidden="false" customHeight="true" outlineLevel="0" collapsed="false">
      <c r="A2" s="11"/>
      <c r="B2" s="12" t="s">
        <v>3</v>
      </c>
      <c r="C2" s="13"/>
      <c r="D2" s="13"/>
      <c r="E2" s="13"/>
      <c r="F2" s="14" t="s">
        <v>4</v>
      </c>
      <c r="G2" s="15"/>
      <c r="H2" s="16"/>
      <c r="I2" s="16"/>
      <c r="J2" s="16"/>
      <c r="K2" s="16"/>
      <c r="L2" s="16"/>
      <c r="M2" s="16"/>
      <c r="N2" s="16"/>
      <c r="O2" s="16"/>
      <c r="P2" s="16"/>
    </row>
    <row r="3" customFormat="false" ht="22.5" hidden="false" customHeight="true" outlineLevel="0" collapsed="false">
      <c r="A3" s="11"/>
      <c r="B3" s="12" t="s">
        <v>5</v>
      </c>
      <c r="C3" s="13"/>
      <c r="D3" s="13"/>
      <c r="E3" s="13"/>
      <c r="F3" s="14" t="s">
        <v>6</v>
      </c>
      <c r="G3" s="15"/>
      <c r="H3" s="16"/>
      <c r="I3" s="16"/>
      <c r="J3" s="16"/>
      <c r="K3" s="16"/>
      <c r="L3" s="16"/>
      <c r="M3" s="16"/>
      <c r="N3" s="16"/>
      <c r="O3" s="16"/>
      <c r="P3" s="16"/>
    </row>
    <row r="4" customFormat="false" ht="12" hidden="false" customHeight="true" outlineLevel="0" collapsed="false">
      <c r="A4" s="17" t="s">
        <v>7</v>
      </c>
      <c r="B4" s="18"/>
      <c r="C4" s="18"/>
      <c r="D4" s="18"/>
      <c r="E4" s="18"/>
      <c r="F4" s="18"/>
      <c r="G4" s="18"/>
      <c r="H4" s="18"/>
      <c r="I4" s="18"/>
      <c r="J4" s="18"/>
      <c r="K4" s="18"/>
      <c r="L4" s="18"/>
      <c r="M4" s="18"/>
      <c r="N4" s="18"/>
      <c r="O4" s="18"/>
      <c r="P4" s="18"/>
    </row>
    <row r="5" customFormat="false" ht="12" hidden="false" customHeight="true" outlineLevel="0" collapsed="false">
      <c r="A5" s="19"/>
      <c r="B5" s="19"/>
      <c r="C5" s="19"/>
      <c r="D5" s="19"/>
      <c r="E5" s="19"/>
      <c r="F5" s="19"/>
      <c r="G5" s="20" t="s">
        <v>8</v>
      </c>
      <c r="H5" s="20"/>
      <c r="I5" s="21" t="s">
        <v>0</v>
      </c>
      <c r="J5" s="19"/>
      <c r="K5" s="19"/>
      <c r="L5" s="19"/>
      <c r="M5" s="19"/>
      <c r="N5" s="19"/>
      <c r="O5" s="19"/>
      <c r="P5" s="19"/>
    </row>
    <row r="6" customFormat="false" ht="12.75" hidden="false" customHeight="true" outlineLevel="0" collapsed="false">
      <c r="A6" s="19"/>
      <c r="B6" s="22" t="s">
        <v>9</v>
      </c>
      <c r="C6" s="19"/>
      <c r="D6" s="19"/>
      <c r="E6" s="19"/>
      <c r="F6" s="19" t="s">
        <v>10</v>
      </c>
      <c r="G6" s="19"/>
      <c r="H6" s="19"/>
      <c r="I6" s="19"/>
      <c r="J6" s="19"/>
      <c r="K6" s="23" t="s">
        <v>11</v>
      </c>
      <c r="L6" s="19"/>
      <c r="M6" s="19"/>
      <c r="N6" s="19"/>
      <c r="O6" s="19"/>
      <c r="P6" s="19"/>
    </row>
    <row r="7" customFormat="false" ht="15.75" hidden="false" customHeight="true" outlineLevel="0" collapsed="false">
      <c r="A7" s="19"/>
      <c r="B7" s="19"/>
      <c r="C7" s="19"/>
      <c r="D7" s="21" t="s">
        <v>12</v>
      </c>
      <c r="E7" s="19"/>
      <c r="F7" s="24" t="s">
        <v>13</v>
      </c>
      <c r="G7" s="19"/>
      <c r="H7" s="19"/>
      <c r="I7" s="25"/>
      <c r="J7" s="19"/>
      <c r="K7" s="19" t="s">
        <v>14</v>
      </c>
      <c r="L7" s="19"/>
      <c r="M7" s="19"/>
      <c r="N7" s="19"/>
      <c r="O7" s="19"/>
      <c r="P7" s="19"/>
    </row>
    <row r="8" customFormat="false" ht="15" hidden="false" customHeight="true" outlineLevel="0" collapsed="false">
      <c r="A8" s="19"/>
      <c r="B8" s="19"/>
      <c r="C8" s="19"/>
      <c r="D8" s="19"/>
      <c r="E8" s="19"/>
      <c r="F8" s="26"/>
      <c r="G8" s="19"/>
      <c r="H8" s="19"/>
      <c r="I8" s="19"/>
      <c r="J8" s="19"/>
      <c r="K8" s="19"/>
      <c r="L8" s="19"/>
      <c r="M8" s="19"/>
      <c r="N8" s="19"/>
      <c r="O8" s="19"/>
      <c r="P8" s="19"/>
    </row>
    <row r="9" customFormat="false" ht="12.75" hidden="false" customHeight="true" outlineLevel="0" collapsed="false">
      <c r="A9" s="19"/>
      <c r="B9" s="23" t="s">
        <v>15</v>
      </c>
      <c r="C9" s="19"/>
      <c r="D9" s="19"/>
      <c r="E9" s="19"/>
      <c r="F9" s="27" t="s">
        <v>16</v>
      </c>
      <c r="G9" s="19"/>
      <c r="H9" s="19"/>
      <c r="I9" s="19"/>
      <c r="J9" s="19"/>
      <c r="K9" s="19"/>
      <c r="L9" s="19"/>
      <c r="M9" s="19"/>
      <c r="N9" s="19"/>
      <c r="O9" s="19"/>
      <c r="P9" s="19"/>
    </row>
    <row r="10" customFormat="false" ht="15.75" hidden="false" customHeight="true" outlineLevel="0" collapsed="false">
      <c r="A10" s="19"/>
      <c r="B10" s="19"/>
      <c r="C10" s="19"/>
      <c r="D10" s="21" t="s">
        <v>17</v>
      </c>
      <c r="E10" s="19"/>
      <c r="F10" s="24" t="s">
        <v>18</v>
      </c>
      <c r="G10" s="19"/>
      <c r="H10" s="19"/>
      <c r="I10" s="25" t="s">
        <v>0</v>
      </c>
      <c r="J10" s="19"/>
      <c r="K10" s="27" t="s">
        <v>19</v>
      </c>
      <c r="L10" s="19"/>
      <c r="M10" s="19"/>
      <c r="N10" s="19"/>
      <c r="O10" s="19"/>
      <c r="P10" s="19"/>
    </row>
    <row r="11" customFormat="false" ht="15" hidden="false" customHeight="true" outlineLevel="0" collapsed="false">
      <c r="A11" s="19"/>
      <c r="B11" s="19"/>
      <c r="C11" s="19"/>
      <c r="D11" s="19"/>
      <c r="E11" s="19"/>
      <c r="F11" s="26"/>
      <c r="G11" s="19"/>
      <c r="H11" s="19"/>
      <c r="I11" s="19"/>
      <c r="J11" s="19"/>
      <c r="K11" s="19"/>
      <c r="L11" s="19"/>
      <c r="M11" s="19"/>
      <c r="N11" s="19"/>
      <c r="O11" s="19"/>
      <c r="P11" s="19"/>
    </row>
    <row r="12" customFormat="false" ht="15.75" hidden="false" customHeight="true" outlineLevel="0" collapsed="false">
      <c r="A12" s="19"/>
      <c r="B12" s="19"/>
      <c r="C12" s="19"/>
      <c r="D12" s="19"/>
      <c r="E12" s="19"/>
      <c r="F12" s="26"/>
      <c r="G12" s="19"/>
      <c r="H12" s="19"/>
      <c r="I12" s="19"/>
      <c r="J12" s="19"/>
      <c r="K12" s="19"/>
      <c r="L12" s="19"/>
      <c r="M12" s="19"/>
      <c r="N12" s="27" t="s">
        <v>0</v>
      </c>
      <c r="O12" s="28"/>
      <c r="P12" s="19"/>
    </row>
    <row r="13" customFormat="false" ht="15" hidden="false" customHeight="true" outlineLevel="0" collapsed="false">
      <c r="A13" s="19"/>
      <c r="B13" s="23" t="s">
        <v>20</v>
      </c>
      <c r="C13" s="19"/>
      <c r="D13" s="21" t="s">
        <v>21</v>
      </c>
      <c r="E13" s="19"/>
      <c r="F13" s="29" t="s">
        <v>22</v>
      </c>
      <c r="G13" s="19"/>
      <c r="H13" s="19"/>
      <c r="I13" s="19"/>
      <c r="J13" s="19"/>
      <c r="K13" s="19"/>
      <c r="L13" s="19"/>
      <c r="M13" s="19"/>
      <c r="N13" s="19" t="s">
        <v>0</v>
      </c>
      <c r="O13" s="19"/>
      <c r="P13" s="19"/>
    </row>
    <row r="14" customFormat="false" ht="15.75" hidden="false" customHeight="true" outlineLevel="0" collapsed="false">
      <c r="A14" s="19"/>
      <c r="B14" s="19"/>
      <c r="C14" s="19"/>
      <c r="D14" s="19"/>
      <c r="E14" s="19"/>
      <c r="F14" s="30" t="str">
        <f aca="false">Orbit!D4</f>
        <v>LEO</v>
      </c>
      <c r="G14" s="19"/>
      <c r="H14" s="19"/>
      <c r="I14" s="19"/>
      <c r="J14" s="19"/>
      <c r="K14" s="19"/>
      <c r="L14" s="19"/>
      <c r="M14" s="19"/>
      <c r="N14" s="19"/>
      <c r="O14" s="19"/>
      <c r="P14" s="19"/>
    </row>
    <row r="15" customFormat="false" ht="15.75" hidden="false" customHeight="true" outlineLevel="0" collapsed="false">
      <c r="A15" s="19"/>
      <c r="B15" s="19"/>
      <c r="C15" s="19"/>
      <c r="D15" s="19"/>
      <c r="E15" s="19"/>
      <c r="F15" s="26"/>
      <c r="G15" s="19"/>
      <c r="H15" s="19"/>
      <c r="I15" s="19"/>
      <c r="J15" s="19"/>
      <c r="K15" s="19"/>
      <c r="L15" s="19"/>
      <c r="M15" s="19"/>
      <c r="N15" s="19"/>
      <c r="O15" s="19"/>
      <c r="P15" s="19"/>
    </row>
    <row r="16" customFormat="false" ht="12" hidden="false" customHeight="true" outlineLevel="0" collapsed="false">
      <c r="A16" s="19"/>
      <c r="B16" s="22" t="s">
        <v>23</v>
      </c>
      <c r="C16" s="19"/>
      <c r="D16" s="21" t="s">
        <v>24</v>
      </c>
      <c r="E16" s="19"/>
      <c r="F16" s="31" t="s">
        <v>25</v>
      </c>
      <c r="G16" s="19"/>
      <c r="H16" s="19"/>
      <c r="I16" s="19"/>
      <c r="J16" s="19"/>
      <c r="K16" s="19"/>
      <c r="L16" s="19"/>
      <c r="M16" s="19"/>
      <c r="N16" s="19"/>
      <c r="O16" s="19"/>
      <c r="P16" s="19"/>
    </row>
    <row r="17" customFormat="false" ht="15.75" hidden="false" customHeight="true" outlineLevel="0" collapsed="false">
      <c r="A17" s="19"/>
      <c r="B17" s="19"/>
      <c r="C17" s="19"/>
      <c r="D17" s="21" t="s">
        <v>26</v>
      </c>
      <c r="E17" s="19"/>
      <c r="F17" s="32" t="s">
        <v>27</v>
      </c>
      <c r="G17" s="19"/>
      <c r="H17" s="19"/>
      <c r="I17" s="19"/>
      <c r="J17" s="19"/>
      <c r="K17" s="19"/>
      <c r="L17" s="19"/>
      <c r="M17" s="19"/>
      <c r="N17" s="19"/>
      <c r="O17" s="19"/>
      <c r="P17" s="19"/>
    </row>
    <row r="18" customFormat="false" ht="15" hidden="false" customHeight="true" outlineLevel="0" collapsed="false">
      <c r="A18" s="19"/>
      <c r="B18" s="19"/>
      <c r="C18" s="19"/>
      <c r="D18" s="19"/>
      <c r="E18" s="19"/>
      <c r="F18" s="26"/>
      <c r="G18" s="19"/>
      <c r="H18" s="19"/>
      <c r="I18" s="19"/>
      <c r="J18" s="19"/>
      <c r="K18" s="19"/>
      <c r="L18" s="19"/>
      <c r="M18" s="19"/>
      <c r="N18" s="19"/>
      <c r="O18" s="19"/>
      <c r="P18" s="19"/>
    </row>
    <row r="19" customFormat="false" ht="15.75" hidden="false" customHeight="true" outlineLevel="0" collapsed="false">
      <c r="A19" s="19"/>
      <c r="B19" s="19"/>
      <c r="C19" s="19"/>
      <c r="D19" s="19"/>
      <c r="E19" s="19"/>
      <c r="F19" s="26"/>
      <c r="G19" s="19"/>
      <c r="H19" s="19"/>
      <c r="I19" s="19"/>
      <c r="J19" s="19"/>
      <c r="K19" s="19"/>
      <c r="L19" s="19"/>
      <c r="M19" s="19"/>
      <c r="N19" s="19"/>
      <c r="O19" s="19"/>
      <c r="P19" s="19"/>
    </row>
    <row r="20" customFormat="false" ht="15.75" hidden="false" customHeight="true" outlineLevel="0" collapsed="false">
      <c r="A20" s="19"/>
      <c r="B20" s="23" t="s">
        <v>28</v>
      </c>
      <c r="C20" s="19"/>
      <c r="D20" s="21" t="s">
        <v>29</v>
      </c>
      <c r="E20" s="19"/>
      <c r="F20" s="24" t="s">
        <v>30</v>
      </c>
      <c r="G20" s="19"/>
      <c r="H20" s="19"/>
      <c r="I20" s="25" t="s">
        <v>0</v>
      </c>
      <c r="J20" s="19"/>
      <c r="K20" s="19" t="s">
        <v>31</v>
      </c>
      <c r="L20" s="19"/>
      <c r="M20" s="19"/>
      <c r="N20" s="19"/>
      <c r="O20" s="19"/>
      <c r="P20" s="19"/>
    </row>
    <row r="21" customFormat="false" ht="15" hidden="false" customHeight="true" outlineLevel="0" collapsed="false">
      <c r="A21" s="19"/>
      <c r="B21" s="19"/>
      <c r="C21" s="19"/>
      <c r="D21" s="19"/>
      <c r="E21" s="19"/>
      <c r="F21" s="26"/>
      <c r="G21" s="19"/>
      <c r="H21" s="19"/>
      <c r="I21" s="19"/>
      <c r="J21" s="19"/>
      <c r="K21" s="19"/>
      <c r="L21" s="19"/>
      <c r="M21" s="19"/>
      <c r="N21" s="19"/>
      <c r="O21" s="19"/>
      <c r="P21" s="19"/>
    </row>
    <row r="22" customFormat="false" ht="15.75" hidden="false" customHeight="true" outlineLevel="0" collapsed="false">
      <c r="A22" s="19"/>
      <c r="B22" s="19"/>
      <c r="C22" s="19"/>
      <c r="D22" s="19"/>
      <c r="E22" s="19"/>
      <c r="F22" s="26"/>
      <c r="G22" s="19"/>
      <c r="H22" s="19"/>
      <c r="I22" s="19"/>
      <c r="J22" s="19"/>
      <c r="K22" s="19"/>
      <c r="L22" s="19"/>
      <c r="M22" s="19"/>
      <c r="N22" s="19"/>
      <c r="O22" s="19"/>
      <c r="P22" s="19"/>
    </row>
    <row r="23" customFormat="false" ht="15.75" hidden="false" customHeight="true" outlineLevel="0" collapsed="false">
      <c r="A23" s="19"/>
      <c r="B23" s="19"/>
      <c r="C23" s="19"/>
      <c r="D23" s="21" t="s">
        <v>32</v>
      </c>
      <c r="E23" s="19"/>
      <c r="F23" s="33" t="s">
        <v>33</v>
      </c>
      <c r="G23" s="19" t="s">
        <v>0</v>
      </c>
      <c r="H23" s="19"/>
      <c r="I23" s="34" t="b">
        <f aca="false">AND(I7="X",I10="X",I20="X")</f>
        <v>0</v>
      </c>
      <c r="J23" s="19"/>
      <c r="K23" s="19" t="str">
        <f aca="false">IF(I23=TRUE(),"Document Released","Document Not Released")</f>
        <v>Document Not Released</v>
      </c>
      <c r="L23" s="19"/>
      <c r="M23" s="19"/>
      <c r="N23" s="19"/>
      <c r="O23" s="19"/>
      <c r="P23" s="19"/>
    </row>
    <row r="24" customFormat="false" ht="12" hidden="false" customHeight="true" outlineLevel="0" collapsed="false">
      <c r="A24" s="19"/>
      <c r="B24" s="19"/>
      <c r="C24" s="19"/>
      <c r="D24" s="19"/>
      <c r="E24" s="19"/>
      <c r="F24" s="35"/>
      <c r="G24" s="19"/>
      <c r="H24" s="19"/>
      <c r="I24" s="36" t="s">
        <v>34</v>
      </c>
      <c r="J24" s="19"/>
      <c r="K24" s="19"/>
      <c r="L24" s="19"/>
      <c r="M24" s="19"/>
      <c r="N24" s="19"/>
      <c r="O24" s="19"/>
      <c r="P24" s="19"/>
    </row>
    <row r="25" customFormat="false" ht="12.75" hidden="false" customHeight="true" outlineLevel="0" collapsed="false">
      <c r="A25" s="19"/>
      <c r="B25" s="23" t="s">
        <v>35</v>
      </c>
      <c r="C25" s="19"/>
      <c r="D25" s="19"/>
      <c r="E25" s="19"/>
      <c r="F25" s="35"/>
      <c r="G25" s="19"/>
      <c r="H25" s="19"/>
      <c r="I25" s="36" t="s">
        <v>36</v>
      </c>
      <c r="J25" s="19"/>
      <c r="K25" s="19"/>
      <c r="L25" s="19"/>
      <c r="M25" s="19"/>
      <c r="N25" s="19"/>
      <c r="O25" s="19"/>
      <c r="P25" s="19"/>
    </row>
    <row r="26" customFormat="false" ht="15.75" hidden="false" customHeight="true" outlineLevel="0" collapsed="false">
      <c r="A26" s="19"/>
      <c r="B26" s="19"/>
      <c r="C26" s="19"/>
      <c r="D26" s="21" t="s">
        <v>37</v>
      </c>
      <c r="E26" s="19"/>
      <c r="F26" s="24" t="s">
        <v>38</v>
      </c>
      <c r="G26" s="19"/>
      <c r="H26" s="19"/>
      <c r="I26" s="19"/>
      <c r="J26" s="37"/>
      <c r="K26" s="23" t="s">
        <v>39</v>
      </c>
      <c r="L26" s="19"/>
      <c r="M26" s="19"/>
      <c r="N26" s="19"/>
      <c r="O26" s="19"/>
      <c r="P26" s="19"/>
    </row>
    <row r="27" customFormat="false" ht="12" hidden="false" customHeight="true" outlineLevel="0" collapsed="false">
      <c r="A27" s="19"/>
      <c r="B27" s="19"/>
      <c r="C27" s="19"/>
      <c r="D27" s="21" t="s">
        <v>40</v>
      </c>
      <c r="E27" s="19"/>
      <c r="F27" s="19"/>
      <c r="G27" s="19"/>
      <c r="H27" s="19"/>
      <c r="I27" s="19"/>
      <c r="J27" s="19"/>
      <c r="K27" s="19"/>
      <c r="L27" s="19"/>
      <c r="M27" s="19"/>
      <c r="N27" s="19"/>
      <c r="O27" s="19"/>
      <c r="P27" s="19"/>
    </row>
    <row r="28" customFormat="false" ht="12" hidden="false" customHeight="true" outlineLevel="0" collapsed="false">
      <c r="A28" s="19"/>
      <c r="B28" s="19"/>
      <c r="C28" s="19"/>
      <c r="D28" s="19"/>
      <c r="E28" s="19"/>
      <c r="F28" s="19"/>
      <c r="G28" s="19"/>
      <c r="H28" s="19"/>
      <c r="I28" s="19"/>
      <c r="J28" s="19"/>
      <c r="K28" s="19"/>
      <c r="L28" s="19"/>
      <c r="M28" s="19"/>
      <c r="N28" s="19"/>
      <c r="O28" s="19"/>
      <c r="P28" s="19"/>
    </row>
    <row r="29" customFormat="false" ht="12" hidden="false" customHeight="true" outlineLevel="0" collapsed="false">
      <c r="A29" s="19"/>
      <c r="B29" s="19"/>
      <c r="C29" s="19"/>
      <c r="D29" s="19"/>
      <c r="E29" s="19"/>
      <c r="F29" s="19"/>
      <c r="G29" s="19"/>
      <c r="H29" s="19"/>
      <c r="I29" s="19"/>
      <c r="J29" s="19"/>
      <c r="K29" s="19"/>
      <c r="L29" s="19"/>
      <c r="M29" s="19"/>
      <c r="N29" s="19"/>
      <c r="O29" s="19"/>
      <c r="P29" s="19"/>
    </row>
    <row r="30" customFormat="false" ht="12" hidden="false" customHeight="true" outlineLevel="0" collapsed="false">
      <c r="A30" s="19"/>
      <c r="B30" s="19"/>
      <c r="C30" s="19"/>
      <c r="D30" s="19"/>
      <c r="E30" s="19"/>
      <c r="F30" s="19"/>
      <c r="G30" s="19"/>
      <c r="H30" s="19"/>
      <c r="I30" s="19"/>
      <c r="J30" s="19"/>
      <c r="K30" s="19"/>
      <c r="L30" s="19"/>
      <c r="M30" s="19"/>
      <c r="N30" s="19"/>
      <c r="O30" s="19"/>
      <c r="P30" s="19"/>
    </row>
    <row r="31" customFormat="false" ht="12" hidden="false" customHeight="true" outlineLevel="0" collapsed="false">
      <c r="A31" s="19"/>
      <c r="B31" s="19"/>
      <c r="C31" s="19"/>
      <c r="D31" s="19"/>
      <c r="E31" s="19"/>
      <c r="F31" s="19"/>
      <c r="G31" s="19"/>
      <c r="H31" s="19"/>
      <c r="I31" s="19"/>
      <c r="J31" s="19"/>
      <c r="K31" s="19"/>
      <c r="L31" s="19"/>
      <c r="M31" s="19"/>
      <c r="N31" s="19"/>
      <c r="O31" s="19"/>
      <c r="P31" s="19"/>
    </row>
    <row r="32" customFormat="false" ht="12" hidden="false" customHeight="true" outlineLevel="0" collapsed="false">
      <c r="A32" s="19"/>
      <c r="B32" s="19"/>
      <c r="C32" s="19"/>
      <c r="D32" s="19"/>
      <c r="E32" s="19"/>
      <c r="F32" s="19"/>
      <c r="G32" s="19"/>
      <c r="H32" s="19"/>
      <c r="I32" s="19"/>
      <c r="J32" s="19"/>
      <c r="K32" s="19"/>
      <c r="L32" s="19"/>
      <c r="M32" s="19"/>
      <c r="N32" s="19"/>
      <c r="O32" s="19"/>
      <c r="P32" s="19"/>
    </row>
    <row r="33" customFormat="false" ht="12" hidden="false" customHeight="true" outlineLevel="0" collapsed="false">
      <c r="A33" s="19"/>
      <c r="B33" s="19"/>
      <c r="C33" s="19"/>
      <c r="D33" s="19"/>
      <c r="E33" s="19"/>
      <c r="F33" s="19"/>
      <c r="G33" s="19"/>
      <c r="H33" s="19"/>
      <c r="I33" s="19"/>
      <c r="J33" s="19"/>
      <c r="K33" s="19"/>
      <c r="L33" s="19"/>
      <c r="M33" s="19"/>
      <c r="N33" s="19"/>
      <c r="O33" s="19"/>
      <c r="P33" s="19"/>
    </row>
    <row r="34" customFormat="false" ht="12" hidden="false" customHeight="true" outlineLevel="0" collapsed="false">
      <c r="A34" s="19"/>
      <c r="B34" s="19"/>
      <c r="C34" s="19"/>
      <c r="D34" s="19"/>
      <c r="E34" s="19"/>
      <c r="F34" s="19"/>
      <c r="G34" s="19"/>
      <c r="H34" s="19"/>
      <c r="I34" s="19"/>
      <c r="J34" s="19"/>
      <c r="K34" s="19"/>
      <c r="L34" s="19"/>
      <c r="M34" s="19"/>
      <c r="N34" s="19"/>
      <c r="O34" s="19"/>
      <c r="P34" s="19"/>
    </row>
    <row r="35" customFormat="false" ht="12" hidden="false" customHeight="true" outlineLevel="0" collapsed="false">
      <c r="A35" s="19"/>
      <c r="B35" s="19"/>
      <c r="C35" s="19"/>
      <c r="D35" s="19"/>
      <c r="E35" s="19"/>
      <c r="F35" s="19"/>
      <c r="G35" s="19"/>
      <c r="H35" s="19"/>
      <c r="I35" s="19"/>
      <c r="J35" s="19"/>
      <c r="K35" s="19"/>
      <c r="L35" s="19"/>
      <c r="M35" s="19"/>
      <c r="N35" s="19"/>
      <c r="O35" s="19"/>
      <c r="P35" s="19"/>
    </row>
    <row r="36" customFormat="false" ht="12" hidden="false" customHeight="true" outlineLevel="0" collapsed="false">
      <c r="A36" s="19"/>
      <c r="B36" s="19"/>
      <c r="C36" s="19"/>
      <c r="D36" s="19"/>
      <c r="E36" s="19"/>
      <c r="F36" s="19"/>
      <c r="G36" s="19"/>
      <c r="H36" s="19"/>
      <c r="I36" s="19"/>
      <c r="J36" s="19"/>
      <c r="K36" s="19"/>
      <c r="L36" s="19"/>
      <c r="M36" s="19"/>
      <c r="N36" s="19"/>
      <c r="O36" s="19"/>
      <c r="P36" s="19"/>
    </row>
    <row r="37" customFormat="false" ht="12" hidden="false" customHeight="true" outlineLevel="0" collapsed="false">
      <c r="A37" s="19"/>
      <c r="B37" s="19"/>
      <c r="C37" s="19"/>
      <c r="D37" s="19"/>
      <c r="E37" s="19"/>
      <c r="F37" s="19"/>
      <c r="G37" s="19"/>
      <c r="H37" s="19"/>
      <c r="I37" s="19"/>
      <c r="J37" s="19"/>
      <c r="K37" s="19"/>
      <c r="L37" s="19"/>
      <c r="M37" s="19"/>
      <c r="N37" s="19"/>
      <c r="O37" s="19"/>
      <c r="P37" s="19"/>
    </row>
    <row r="38" customFormat="false" ht="12" hidden="false" customHeight="true" outlineLevel="0" collapsed="false">
      <c r="A38" s="19"/>
      <c r="B38" s="19"/>
      <c r="C38" s="19"/>
      <c r="D38" s="19"/>
      <c r="E38" s="19"/>
      <c r="F38" s="19"/>
      <c r="G38" s="19"/>
      <c r="H38" s="19"/>
      <c r="I38" s="19"/>
      <c r="J38" s="19"/>
      <c r="K38" s="19"/>
      <c r="L38" s="19"/>
      <c r="M38" s="19"/>
      <c r="N38" s="19"/>
      <c r="O38" s="19"/>
      <c r="P38" s="19"/>
    </row>
    <row r="39" customFormat="false" ht="12" hidden="false" customHeight="true" outlineLevel="0" collapsed="false">
      <c r="A39" s="19"/>
      <c r="B39" s="19"/>
      <c r="C39" s="19"/>
      <c r="D39" s="19"/>
      <c r="E39" s="19"/>
      <c r="F39" s="19"/>
      <c r="G39" s="19"/>
      <c r="H39" s="19"/>
      <c r="I39" s="19"/>
      <c r="J39" s="19"/>
      <c r="K39" s="19"/>
      <c r="L39" s="19"/>
      <c r="M39" s="19"/>
      <c r="N39" s="19"/>
      <c r="O39" s="19"/>
      <c r="P39" s="19"/>
    </row>
    <row r="40" customFormat="false" ht="12" hidden="false" customHeight="true" outlineLevel="0" collapsed="false">
      <c r="A40" s="19"/>
      <c r="B40" s="19"/>
      <c r="C40" s="19"/>
      <c r="D40" s="19"/>
      <c r="E40" s="19"/>
      <c r="F40" s="19"/>
      <c r="G40" s="19"/>
      <c r="H40" s="19"/>
      <c r="I40" s="19"/>
      <c r="J40" s="19"/>
      <c r="K40" s="19"/>
      <c r="L40" s="19"/>
      <c r="M40" s="19"/>
      <c r="N40" s="19"/>
      <c r="O40" s="19"/>
      <c r="P40" s="19"/>
    </row>
    <row r="41" customFormat="false" ht="12" hidden="false" customHeight="true" outlineLevel="0" collapsed="false">
      <c r="A41" s="19"/>
      <c r="B41" s="19"/>
      <c r="C41" s="19"/>
      <c r="D41" s="19"/>
      <c r="E41" s="19"/>
      <c r="F41" s="19"/>
      <c r="G41" s="19"/>
      <c r="H41" s="19"/>
      <c r="I41" s="19"/>
      <c r="J41" s="19"/>
      <c r="K41" s="19"/>
      <c r="L41" s="19"/>
      <c r="M41" s="19"/>
      <c r="N41" s="19"/>
      <c r="O41" s="19"/>
      <c r="P41" s="19"/>
    </row>
    <row r="42" customFormat="false" ht="12" hidden="false" customHeight="true" outlineLevel="0" collapsed="false">
      <c r="A42" s="19"/>
      <c r="B42" s="19"/>
      <c r="C42" s="19"/>
      <c r="D42" s="19"/>
      <c r="E42" s="19"/>
      <c r="F42" s="19"/>
      <c r="G42" s="19"/>
      <c r="H42" s="19"/>
      <c r="I42" s="19"/>
      <c r="J42" s="19"/>
      <c r="K42" s="19"/>
      <c r="L42" s="19"/>
      <c r="M42" s="19"/>
      <c r="N42" s="19"/>
      <c r="O42" s="19"/>
      <c r="P42" s="19"/>
    </row>
    <row r="43" customFormat="false" ht="12" hidden="false" customHeight="true" outlineLevel="0" collapsed="false">
      <c r="A43" s="19"/>
      <c r="B43" s="19"/>
      <c r="C43" s="19"/>
      <c r="D43" s="19"/>
      <c r="E43" s="19"/>
      <c r="F43" s="19"/>
      <c r="G43" s="19"/>
      <c r="H43" s="19"/>
      <c r="I43" s="19"/>
      <c r="J43" s="19"/>
      <c r="K43" s="19"/>
      <c r="L43" s="19"/>
      <c r="M43" s="19"/>
      <c r="N43" s="19"/>
      <c r="O43" s="19"/>
      <c r="P43" s="19"/>
    </row>
    <row r="44" customFormat="false" ht="12" hidden="false" customHeight="true" outlineLevel="0" collapsed="false">
      <c r="A44" s="19"/>
      <c r="B44" s="19"/>
      <c r="C44" s="19"/>
      <c r="D44" s="19"/>
      <c r="E44" s="19"/>
      <c r="F44" s="19"/>
      <c r="G44" s="19"/>
      <c r="H44" s="19"/>
      <c r="I44" s="19"/>
      <c r="J44" s="19"/>
      <c r="K44" s="19"/>
      <c r="L44" s="19"/>
      <c r="M44" s="19"/>
      <c r="N44" s="19"/>
      <c r="O44" s="19"/>
      <c r="P44" s="19"/>
    </row>
    <row r="45" customFormat="false" ht="12" hidden="false" customHeight="true" outlineLevel="0" collapsed="false">
      <c r="A45" s="19"/>
      <c r="B45" s="19"/>
      <c r="C45" s="19"/>
      <c r="D45" s="19"/>
      <c r="E45" s="19"/>
      <c r="F45" s="19"/>
      <c r="G45" s="19"/>
      <c r="H45" s="19"/>
      <c r="I45" s="19"/>
      <c r="J45" s="19"/>
      <c r="K45" s="19"/>
      <c r="L45" s="19"/>
      <c r="M45" s="19"/>
      <c r="N45" s="19"/>
      <c r="O45" s="19"/>
      <c r="P45" s="19"/>
    </row>
    <row r="46" customFormat="false" ht="12" hidden="false" customHeight="true" outlineLevel="0" collapsed="false">
      <c r="A46" s="19"/>
      <c r="B46" s="19"/>
      <c r="C46" s="19"/>
      <c r="D46" s="19"/>
      <c r="E46" s="19"/>
      <c r="F46" s="19"/>
      <c r="G46" s="19"/>
      <c r="H46" s="19"/>
      <c r="I46" s="19"/>
      <c r="J46" s="19"/>
      <c r="K46" s="19"/>
      <c r="L46" s="19"/>
      <c r="M46" s="19"/>
      <c r="N46" s="19"/>
      <c r="O46" s="19"/>
      <c r="P46" s="19"/>
    </row>
    <row r="47" customFormat="false" ht="12" hidden="false" customHeight="true" outlineLevel="0" collapsed="false">
      <c r="A47" s="19"/>
      <c r="B47" s="19"/>
      <c r="C47" s="19"/>
      <c r="D47" s="19"/>
      <c r="E47" s="19"/>
      <c r="F47" s="19"/>
      <c r="G47" s="19"/>
      <c r="H47" s="19"/>
      <c r="I47" s="19"/>
      <c r="J47" s="19"/>
      <c r="K47" s="19"/>
      <c r="L47" s="19"/>
      <c r="M47" s="19"/>
      <c r="N47" s="19"/>
      <c r="O47" s="19"/>
      <c r="P47" s="19"/>
    </row>
    <row r="48" customFormat="false" ht="12" hidden="false" customHeight="true" outlineLevel="0" collapsed="false">
      <c r="A48" s="19"/>
      <c r="B48" s="19"/>
      <c r="C48" s="19"/>
      <c r="D48" s="19"/>
      <c r="E48" s="19"/>
      <c r="F48" s="19"/>
      <c r="G48" s="19"/>
      <c r="H48" s="19"/>
      <c r="I48" s="19"/>
      <c r="J48" s="19"/>
      <c r="K48" s="19"/>
      <c r="L48" s="19"/>
      <c r="M48" s="19"/>
      <c r="N48" s="19"/>
      <c r="O48" s="19"/>
      <c r="P48" s="19"/>
    </row>
    <row r="49" customFormat="false" ht="12" hidden="false" customHeight="true" outlineLevel="0" collapsed="false">
      <c r="A49" s="19"/>
      <c r="B49" s="19"/>
      <c r="C49" s="19"/>
      <c r="D49" s="19"/>
      <c r="E49" s="19"/>
      <c r="F49" s="19"/>
      <c r="G49" s="19"/>
      <c r="H49" s="19"/>
      <c r="I49" s="19"/>
      <c r="J49" s="19"/>
      <c r="K49" s="19"/>
      <c r="L49" s="19"/>
      <c r="M49" s="19"/>
      <c r="N49" s="19"/>
      <c r="O49" s="19"/>
      <c r="P49" s="19"/>
    </row>
    <row r="50" customFormat="false" ht="12" hidden="false" customHeight="true" outlineLevel="0" collapsed="false">
      <c r="A50" s="19"/>
      <c r="B50" s="19"/>
      <c r="C50" s="19"/>
      <c r="D50" s="19"/>
      <c r="E50" s="19"/>
      <c r="F50" s="19"/>
      <c r="G50" s="19"/>
      <c r="H50" s="19"/>
      <c r="I50" s="19"/>
      <c r="J50" s="19"/>
      <c r="K50" s="19"/>
      <c r="L50" s="19"/>
      <c r="M50" s="19"/>
      <c r="N50" s="19"/>
      <c r="O50" s="19"/>
      <c r="P50" s="19"/>
    </row>
    <row r="51" customFormat="false" ht="12" hidden="false" customHeight="true" outlineLevel="0" collapsed="false"/>
    <row r="52" customFormat="false" ht="12" hidden="false" customHeight="true" outlineLevel="0" collapsed="false"/>
    <row r="53" customFormat="false" ht="12" hidden="false" customHeight="true" outlineLevel="0" collapsed="false">
      <c r="K53" s="38" t="s">
        <v>0</v>
      </c>
    </row>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I7">
    <cfRule type="cellIs" priority="2" operator="equal" aboveAverage="0" equalAverage="0" bottom="0" percent="0" rank="0" text="" dxfId="0">
      <formula>"X"</formula>
    </cfRule>
  </conditionalFormatting>
  <conditionalFormatting sqref="I7">
    <cfRule type="cellIs" priority="3" operator="notEqual" aboveAverage="0" equalAverage="0" bottom="0" percent="0" rank="0" text="" dxfId="1">
      <formula>"X"</formula>
    </cfRule>
  </conditionalFormatting>
  <conditionalFormatting sqref="I10 I20">
    <cfRule type="cellIs" priority="4" operator="equal" aboveAverage="0" equalAverage="0" bottom="0" percent="0" rank="0" text="" dxfId="0">
      <formula>"X"</formula>
    </cfRule>
    <cfRule type="cellIs" priority="5" operator="notEqual" aboveAverage="0" equalAverage="0" bottom="0" percent="0" rank="0" text="" dxfId="1">
      <formula>"X"</formula>
    </cfRule>
  </conditionalFormatting>
  <conditionalFormatting sqref="I23">
    <cfRule type="expression" priority="6" aboveAverage="0" equalAverage="0" bottom="0" percent="0" rank="0" text="" dxfId="2">
      <formula>AND('Title Page'!$I$7="X",'Title Page'!$I$10="X",'Title Page'!$I$20="X")</formula>
    </cfRule>
  </conditionalFormatting>
  <conditionalFormatting sqref="I23">
    <cfRule type="expression" priority="7" aboveAverage="0" equalAverage="0" bottom="0" percent="0" rank="0" text="" dxfId="3">
      <formula>OR('Title Page'!$I$7=" ",'Title Page'!$I$10=" ",'Title Page'!$I$20=" ")</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D0806"/>
    <pageSetUpPr fitToPage="false"/>
  </sheetPr>
  <dimension ref="A1:S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88"/>
    <col collapsed="false" customWidth="true" hidden="false" outlineLevel="0" max="2" min="2" style="1" width="10.13"/>
    <col collapsed="false" customWidth="true" hidden="false" outlineLevel="0" max="3" min="3" style="1" width="11.25"/>
    <col collapsed="false" customWidth="true" hidden="false" outlineLevel="0" max="10" min="4" style="1" width="8.88"/>
    <col collapsed="false" customWidth="true" hidden="false" outlineLevel="0" max="11" min="11" style="1" width="9.75"/>
    <col collapsed="false" customWidth="true" hidden="false" outlineLevel="0" max="19" min="12" style="1" width="8.88"/>
    <col collapsed="false" customWidth="true" hidden="false" outlineLevel="0" max="26" min="20" style="1" width="14.38"/>
  </cols>
  <sheetData>
    <row r="1" customFormat="false" ht="18" hidden="false" customHeight="true" outlineLevel="0" collapsed="false">
      <c r="A1" s="39" t="s">
        <v>41</v>
      </c>
      <c r="B1" s="10"/>
      <c r="C1" s="10"/>
      <c r="D1" s="10"/>
      <c r="E1" s="10"/>
      <c r="F1" s="10"/>
      <c r="G1" s="10"/>
      <c r="H1" s="10"/>
      <c r="I1" s="10"/>
      <c r="J1" s="40" t="str">
        <f aca="false">'Title Page'!F3</f>
        <v>Coconut Cubesat</v>
      </c>
      <c r="K1" s="10"/>
      <c r="L1" s="10"/>
      <c r="M1" s="41" t="str">
        <f aca="false">'Title Page'!F23</f>
        <v>2025 June 06</v>
      </c>
      <c r="N1" s="10"/>
      <c r="O1" s="10"/>
      <c r="P1" s="10"/>
      <c r="Q1" s="10"/>
      <c r="R1" s="10"/>
      <c r="S1" s="10"/>
    </row>
    <row r="2" customFormat="false" ht="12" hidden="false" customHeight="true" outlineLevel="0" collapsed="false">
      <c r="A2" s="42"/>
      <c r="B2" s="42"/>
      <c r="C2" s="42"/>
      <c r="D2" s="42"/>
      <c r="E2" s="42"/>
      <c r="F2" s="42"/>
      <c r="G2" s="42"/>
      <c r="H2" s="42"/>
      <c r="I2" s="42"/>
      <c r="J2" s="42"/>
      <c r="K2" s="42"/>
      <c r="L2" s="42"/>
      <c r="M2" s="42"/>
      <c r="N2" s="42"/>
      <c r="O2" s="42"/>
      <c r="P2" s="42"/>
      <c r="Q2" s="42"/>
      <c r="R2" s="42"/>
      <c r="S2" s="42"/>
    </row>
    <row r="3" customFormat="false" ht="12" hidden="false" customHeight="true" outlineLevel="0" collapsed="false">
      <c r="A3" s="42"/>
      <c r="B3" s="43"/>
      <c r="C3" s="42"/>
      <c r="D3" s="42"/>
      <c r="E3" s="42"/>
      <c r="F3" s="42"/>
      <c r="G3" s="42"/>
      <c r="H3" s="42"/>
      <c r="I3" s="42"/>
      <c r="J3" s="42"/>
      <c r="K3" s="42"/>
      <c r="L3" s="42"/>
      <c r="M3" s="42"/>
      <c r="N3" s="42"/>
      <c r="O3" s="42"/>
      <c r="P3" s="42"/>
      <c r="Q3" s="42"/>
      <c r="R3" s="42"/>
      <c r="S3" s="42"/>
    </row>
    <row r="4" customFormat="false" ht="12" hidden="false" customHeight="true" outlineLevel="0" collapsed="false">
      <c r="A4" s="42"/>
      <c r="B4" s="42"/>
      <c r="C4" s="42"/>
      <c r="D4" s="42"/>
      <c r="E4" s="42"/>
      <c r="F4" s="42"/>
      <c r="G4" s="42"/>
      <c r="H4" s="42"/>
      <c r="I4" s="42"/>
      <c r="J4" s="42"/>
      <c r="K4" s="42"/>
      <c r="L4" s="42"/>
      <c r="M4" s="42"/>
      <c r="N4" s="42"/>
      <c r="O4" s="42"/>
      <c r="P4" s="42"/>
      <c r="Q4" s="42"/>
      <c r="R4" s="42"/>
      <c r="S4" s="42"/>
    </row>
    <row r="5" customFormat="false" ht="15" hidden="false" customHeight="true" outlineLevel="0" collapsed="false">
      <c r="A5" s="42"/>
      <c r="B5" s="44" t="s">
        <v>42</v>
      </c>
      <c r="C5" s="45"/>
      <c r="D5" s="42"/>
      <c r="E5" s="42"/>
      <c r="F5" s="42"/>
      <c r="G5" s="42"/>
      <c r="H5" s="42"/>
      <c r="I5" s="42"/>
      <c r="J5" s="42"/>
      <c r="K5" s="42"/>
      <c r="L5" s="42"/>
      <c r="M5" s="42"/>
      <c r="N5" s="42"/>
      <c r="O5" s="42"/>
      <c r="P5" s="42"/>
      <c r="Q5" s="42"/>
      <c r="R5" s="42"/>
      <c r="S5" s="42"/>
    </row>
    <row r="6" customFormat="false" ht="12" hidden="false" customHeight="true" outlineLevel="0" collapsed="false">
      <c r="A6" s="42"/>
      <c r="B6" s="42"/>
      <c r="C6" s="42"/>
      <c r="D6" s="42"/>
      <c r="E6" s="42"/>
      <c r="F6" s="42"/>
      <c r="G6" s="42"/>
      <c r="H6" s="42"/>
      <c r="I6" s="42"/>
      <c r="J6" s="42"/>
      <c r="K6" s="42"/>
      <c r="L6" s="42"/>
      <c r="M6" s="42"/>
      <c r="N6" s="42"/>
      <c r="O6" s="42"/>
      <c r="P6" s="42"/>
      <c r="Q6" s="42"/>
      <c r="R6" s="42"/>
      <c r="S6" s="42"/>
    </row>
    <row r="7" customFormat="false" ht="12" hidden="false" customHeight="true" outlineLevel="0" collapsed="false">
      <c r="A7" s="42"/>
      <c r="B7" s="42" t="s">
        <v>43</v>
      </c>
      <c r="C7" s="42"/>
      <c r="D7" s="42"/>
      <c r="E7" s="42"/>
      <c r="F7" s="42"/>
      <c r="G7" s="42"/>
      <c r="H7" s="42"/>
      <c r="I7" s="42"/>
      <c r="J7" s="42"/>
      <c r="K7" s="42"/>
      <c r="L7" s="42"/>
      <c r="M7" s="42"/>
      <c r="N7" s="42"/>
      <c r="O7" s="42"/>
      <c r="P7" s="42"/>
      <c r="Q7" s="42"/>
      <c r="R7" s="42"/>
      <c r="S7" s="42"/>
    </row>
    <row r="8" customFormat="false" ht="12" hidden="false" customHeight="true" outlineLevel="0" collapsed="false">
      <c r="A8" s="42"/>
      <c r="B8" s="42" t="s">
        <v>44</v>
      </c>
      <c r="C8" s="42"/>
      <c r="D8" s="42"/>
      <c r="E8" s="42"/>
      <c r="F8" s="42"/>
      <c r="G8" s="42"/>
      <c r="H8" s="42"/>
      <c r="I8" s="42"/>
      <c r="J8" s="42"/>
      <c r="K8" s="42"/>
      <c r="L8" s="42"/>
      <c r="M8" s="42"/>
      <c r="N8" s="42"/>
      <c r="O8" s="42"/>
      <c r="P8" s="42"/>
      <c r="Q8" s="42"/>
      <c r="R8" s="42"/>
      <c r="S8" s="42"/>
    </row>
    <row r="9" customFormat="false" ht="12" hidden="false" customHeight="true" outlineLevel="0" collapsed="false">
      <c r="A9" s="42"/>
      <c r="B9" s="42" t="s">
        <v>45</v>
      </c>
      <c r="C9" s="42"/>
      <c r="D9" s="42"/>
      <c r="E9" s="42"/>
      <c r="F9" s="42"/>
      <c r="G9" s="42"/>
      <c r="H9" s="42"/>
      <c r="I9" s="42"/>
      <c r="J9" s="42"/>
      <c r="K9" s="42"/>
      <c r="L9" s="42"/>
      <c r="M9" s="42"/>
      <c r="N9" s="42"/>
      <c r="O9" s="42"/>
      <c r="P9" s="42"/>
      <c r="Q9" s="42"/>
      <c r="R9" s="42"/>
      <c r="S9" s="42"/>
    </row>
    <row r="10" customFormat="false" ht="12" hidden="false" customHeight="true" outlineLevel="0" collapsed="false">
      <c r="A10" s="42"/>
      <c r="B10" s="42" t="s">
        <v>46</v>
      </c>
      <c r="C10" s="42"/>
      <c r="D10" s="42"/>
      <c r="E10" s="42"/>
      <c r="F10" s="42"/>
      <c r="G10" s="42"/>
      <c r="H10" s="42"/>
      <c r="I10" s="42"/>
      <c r="J10" s="42"/>
      <c r="K10" s="42"/>
      <c r="L10" s="42"/>
      <c r="M10" s="42"/>
      <c r="N10" s="42"/>
      <c r="O10" s="42"/>
      <c r="P10" s="42"/>
      <c r="Q10" s="42"/>
      <c r="R10" s="42"/>
      <c r="S10" s="42"/>
    </row>
    <row r="11" customFormat="false" ht="12" hidden="false" customHeight="true" outlineLevel="0" collapsed="false">
      <c r="A11" s="42"/>
      <c r="B11" s="42" t="s">
        <v>47</v>
      </c>
      <c r="C11" s="42"/>
      <c r="D11" s="42"/>
      <c r="E11" s="42"/>
      <c r="F11" s="42"/>
      <c r="G11" s="42"/>
      <c r="H11" s="42"/>
      <c r="I11" s="42"/>
      <c r="J11" s="42"/>
      <c r="K11" s="42"/>
      <c r="L11" s="42"/>
      <c r="M11" s="42"/>
      <c r="N11" s="42"/>
      <c r="O11" s="42"/>
      <c r="P11" s="42"/>
      <c r="Q11" s="42"/>
      <c r="R11" s="42"/>
      <c r="S11" s="42"/>
    </row>
    <row r="12" customFormat="false" ht="12" hidden="false" customHeight="true" outlineLevel="0" collapsed="false">
      <c r="A12" s="42"/>
      <c r="B12" s="42"/>
      <c r="C12" s="42"/>
      <c r="D12" s="42"/>
      <c r="E12" s="42"/>
      <c r="F12" s="42"/>
      <c r="G12" s="42"/>
      <c r="H12" s="42"/>
      <c r="I12" s="42"/>
      <c r="J12" s="42"/>
      <c r="K12" s="42"/>
      <c r="L12" s="42"/>
      <c r="M12" s="42"/>
      <c r="N12" s="42"/>
      <c r="O12" s="42"/>
      <c r="P12" s="42"/>
      <c r="Q12" s="42"/>
      <c r="R12" s="42"/>
      <c r="S12" s="42"/>
    </row>
    <row r="13" customFormat="false" ht="15" hidden="false" customHeight="true" outlineLevel="0" collapsed="false">
      <c r="A13" s="42"/>
      <c r="B13" s="44" t="s">
        <v>48</v>
      </c>
      <c r="C13" s="46"/>
      <c r="D13" s="45"/>
      <c r="E13" s="42"/>
      <c r="F13" s="42"/>
      <c r="G13" s="42"/>
      <c r="H13" s="42"/>
      <c r="I13" s="42"/>
      <c r="J13" s="42"/>
      <c r="K13" s="42"/>
      <c r="L13" s="42"/>
      <c r="M13" s="42"/>
      <c r="N13" s="42"/>
      <c r="O13" s="42"/>
      <c r="P13" s="42"/>
      <c r="Q13" s="42"/>
      <c r="R13" s="42"/>
      <c r="S13" s="42"/>
    </row>
    <row r="14" customFormat="false" ht="12" hidden="false" customHeight="true" outlineLevel="0" collapsed="false">
      <c r="A14" s="42"/>
      <c r="B14" s="42"/>
      <c r="C14" s="42"/>
      <c r="D14" s="42"/>
      <c r="E14" s="42"/>
      <c r="F14" s="42"/>
      <c r="G14" s="42"/>
      <c r="H14" s="42"/>
      <c r="I14" s="42"/>
      <c r="J14" s="42"/>
      <c r="K14" s="42"/>
      <c r="L14" s="42"/>
      <c r="M14" s="42"/>
      <c r="N14" s="42"/>
      <c r="O14" s="42"/>
      <c r="P14" s="42"/>
      <c r="Q14" s="42"/>
      <c r="R14" s="42"/>
      <c r="S14" s="42"/>
    </row>
    <row r="15" customFormat="false" ht="12" hidden="false" customHeight="true" outlineLevel="0" collapsed="false">
      <c r="A15" s="42"/>
      <c r="B15" s="42"/>
      <c r="C15" s="47" t="s">
        <v>49</v>
      </c>
      <c r="D15" s="42" t="s">
        <v>50</v>
      </c>
      <c r="E15" s="42"/>
      <c r="F15" s="42"/>
      <c r="G15" s="42"/>
      <c r="H15" s="42"/>
      <c r="I15" s="42"/>
      <c r="J15" s="42"/>
      <c r="K15" s="42"/>
      <c r="L15" s="42"/>
      <c r="M15" s="42"/>
      <c r="N15" s="42"/>
      <c r="O15" s="42"/>
      <c r="P15" s="42"/>
      <c r="Q15" s="42"/>
      <c r="R15" s="42"/>
      <c r="S15" s="42"/>
    </row>
    <row r="16" customFormat="false" ht="12" hidden="false" customHeight="true" outlineLevel="0" collapsed="false">
      <c r="A16" s="42"/>
      <c r="B16" s="42"/>
      <c r="C16" s="42" t="s">
        <v>51</v>
      </c>
      <c r="D16" s="42"/>
      <c r="E16" s="42"/>
      <c r="F16" s="42"/>
      <c r="G16" s="42"/>
      <c r="H16" s="42"/>
      <c r="I16" s="42"/>
      <c r="J16" s="42"/>
      <c r="K16" s="42"/>
      <c r="L16" s="42"/>
      <c r="M16" s="42"/>
      <c r="N16" s="42"/>
      <c r="O16" s="42"/>
      <c r="P16" s="42"/>
      <c r="Q16" s="42"/>
      <c r="R16" s="42"/>
      <c r="S16" s="42"/>
    </row>
    <row r="17" customFormat="false" ht="12" hidden="false" customHeight="true" outlineLevel="0" collapsed="false">
      <c r="A17" s="42"/>
      <c r="B17" s="42"/>
      <c r="C17" s="42" t="s">
        <v>52</v>
      </c>
      <c r="D17" s="42"/>
      <c r="E17" s="42"/>
      <c r="F17" s="42"/>
      <c r="G17" s="42"/>
      <c r="H17" s="42"/>
      <c r="I17" s="42"/>
      <c r="J17" s="42"/>
      <c r="K17" s="42"/>
      <c r="L17" s="42"/>
      <c r="M17" s="42"/>
      <c r="N17" s="42"/>
      <c r="O17" s="42"/>
      <c r="P17" s="42"/>
      <c r="Q17" s="42"/>
      <c r="R17" s="42"/>
      <c r="S17" s="42"/>
    </row>
    <row r="18" customFormat="false" ht="12" hidden="false" customHeight="true" outlineLevel="0" collapsed="false">
      <c r="A18" s="42"/>
      <c r="B18" s="42"/>
      <c r="C18" s="42" t="s">
        <v>53</v>
      </c>
      <c r="D18" s="42"/>
      <c r="E18" s="42"/>
      <c r="F18" s="42"/>
      <c r="G18" s="42"/>
      <c r="H18" s="42"/>
      <c r="I18" s="42"/>
      <c r="J18" s="42"/>
      <c r="K18" s="42"/>
      <c r="L18" s="42"/>
      <c r="M18" s="42"/>
      <c r="N18" s="42"/>
      <c r="O18" s="42"/>
      <c r="P18" s="42"/>
      <c r="Q18" s="42"/>
      <c r="R18" s="42"/>
      <c r="S18" s="42"/>
    </row>
    <row r="19" customFormat="false" ht="12" hidden="false" customHeight="true" outlineLevel="0" collapsed="false">
      <c r="A19" s="42"/>
      <c r="B19" s="42"/>
      <c r="C19" s="42" t="s">
        <v>54</v>
      </c>
      <c r="D19" s="42"/>
      <c r="E19" s="42"/>
      <c r="F19" s="42"/>
      <c r="G19" s="42"/>
      <c r="H19" s="42"/>
      <c r="I19" s="42"/>
      <c r="J19" s="42"/>
      <c r="K19" s="42"/>
      <c r="L19" s="42"/>
      <c r="M19" s="42"/>
      <c r="N19" s="42"/>
      <c r="O19" s="42"/>
      <c r="P19" s="42"/>
      <c r="Q19" s="42"/>
      <c r="R19" s="42"/>
      <c r="S19" s="42"/>
    </row>
    <row r="20" customFormat="false" ht="12" hidden="false" customHeight="true" outlineLevel="0" collapsed="false">
      <c r="A20" s="42"/>
      <c r="B20" s="42"/>
      <c r="C20" s="38" t="s">
        <v>55</v>
      </c>
      <c r="H20" s="19"/>
      <c r="I20" s="38" t="s">
        <v>56</v>
      </c>
      <c r="J20" s="48"/>
      <c r="K20" s="38" t="s">
        <v>57</v>
      </c>
      <c r="L20" s="49"/>
      <c r="M20" s="42" t="s">
        <v>58</v>
      </c>
      <c r="N20" s="42"/>
      <c r="O20" s="42"/>
      <c r="P20" s="42"/>
      <c r="Q20" s="42"/>
      <c r="R20" s="42"/>
      <c r="S20" s="42"/>
    </row>
    <row r="21" customFormat="false" ht="12" hidden="false" customHeight="true" outlineLevel="0" collapsed="false">
      <c r="A21" s="42"/>
      <c r="B21" s="42"/>
      <c r="C21" s="42" t="s">
        <v>59</v>
      </c>
      <c r="D21" s="42"/>
      <c r="E21" s="42"/>
      <c r="F21" s="42"/>
      <c r="G21" s="42"/>
      <c r="H21" s="42"/>
      <c r="I21" s="42"/>
      <c r="J21" s="42"/>
      <c r="K21" s="42"/>
      <c r="L21" s="42"/>
      <c r="M21" s="42"/>
      <c r="N21" s="42"/>
      <c r="O21" s="42"/>
      <c r="P21" s="42"/>
      <c r="Q21" s="42"/>
      <c r="R21" s="42"/>
      <c r="S21" s="42"/>
    </row>
    <row r="22" customFormat="false" ht="12" hidden="false" customHeight="true" outlineLevel="0" collapsed="false">
      <c r="A22" s="42"/>
      <c r="B22" s="42"/>
      <c r="C22" s="42"/>
      <c r="D22" s="42"/>
      <c r="E22" s="42"/>
      <c r="F22" s="42"/>
      <c r="G22" s="42"/>
      <c r="H22" s="42"/>
      <c r="I22" s="42"/>
      <c r="J22" s="42"/>
      <c r="K22" s="42"/>
      <c r="L22" s="42"/>
      <c r="M22" s="42"/>
      <c r="N22" s="42"/>
      <c r="O22" s="42"/>
      <c r="P22" s="42"/>
      <c r="Q22" s="42"/>
      <c r="R22" s="42"/>
      <c r="S22" s="42"/>
    </row>
    <row r="23" customFormat="false" ht="12" hidden="false" customHeight="true" outlineLevel="0" collapsed="false">
      <c r="A23" s="42"/>
      <c r="B23" s="42"/>
      <c r="C23" s="42"/>
      <c r="D23" s="23" t="s">
        <v>60</v>
      </c>
      <c r="E23" s="42" t="s">
        <v>61</v>
      </c>
      <c r="F23" s="42"/>
      <c r="G23" s="42"/>
      <c r="H23" s="42"/>
      <c r="I23" s="42"/>
      <c r="J23" s="42"/>
      <c r="K23" s="42"/>
      <c r="L23" s="42"/>
      <c r="M23" s="42"/>
      <c r="N23" s="42"/>
      <c r="O23" s="42"/>
      <c r="P23" s="42"/>
      <c r="Q23" s="42"/>
      <c r="R23" s="42"/>
      <c r="S23" s="42"/>
    </row>
    <row r="24" customFormat="false" ht="12" hidden="false" customHeight="true" outlineLevel="0" collapsed="false">
      <c r="A24" s="42"/>
      <c r="B24" s="42"/>
      <c r="C24" s="42"/>
      <c r="D24" s="42" t="s">
        <v>62</v>
      </c>
      <c r="E24" s="42"/>
      <c r="F24" s="42"/>
      <c r="G24" s="42"/>
      <c r="H24" s="42"/>
      <c r="I24" s="42"/>
      <c r="J24" s="42"/>
      <c r="K24" s="42"/>
      <c r="L24" s="42"/>
      <c r="M24" s="42"/>
      <c r="N24" s="42"/>
      <c r="O24" s="42"/>
      <c r="P24" s="42"/>
      <c r="Q24" s="42"/>
      <c r="R24" s="42"/>
      <c r="S24" s="42"/>
    </row>
    <row r="25" customFormat="false" ht="12" hidden="false" customHeight="true" outlineLevel="0" collapsed="false">
      <c r="A25" s="42"/>
      <c r="B25" s="42"/>
      <c r="C25" s="42"/>
      <c r="D25" s="42" t="s">
        <v>63</v>
      </c>
      <c r="E25" s="42"/>
      <c r="F25" s="42"/>
      <c r="G25" s="42"/>
      <c r="H25" s="42"/>
      <c r="I25" s="42"/>
      <c r="J25" s="42"/>
      <c r="K25" s="42"/>
      <c r="L25" s="42"/>
      <c r="M25" s="42"/>
      <c r="N25" s="42"/>
      <c r="O25" s="42"/>
      <c r="P25" s="42"/>
      <c r="Q25" s="42"/>
      <c r="R25" s="42"/>
      <c r="S25" s="42"/>
    </row>
    <row r="26" customFormat="false" ht="12" hidden="false" customHeight="true" outlineLevel="0" collapsed="false">
      <c r="A26" s="42"/>
      <c r="B26" s="42"/>
      <c r="C26" s="42"/>
      <c r="D26" s="42" t="s">
        <v>64</v>
      </c>
      <c r="E26" s="42"/>
      <c r="F26" s="42"/>
      <c r="G26" s="42"/>
      <c r="H26" s="42"/>
      <c r="I26" s="42"/>
      <c r="J26" s="42"/>
      <c r="K26" s="42"/>
      <c r="L26" s="42"/>
      <c r="M26" s="42"/>
      <c r="N26" s="42"/>
      <c r="O26" s="42"/>
      <c r="P26" s="42"/>
      <c r="Q26" s="42"/>
      <c r="R26" s="42"/>
      <c r="S26" s="42"/>
    </row>
    <row r="27" customFormat="false" ht="12" hidden="false" customHeight="true" outlineLevel="0" collapsed="false">
      <c r="A27" s="42"/>
      <c r="B27" s="42"/>
      <c r="C27" s="42"/>
      <c r="D27" s="42" t="s">
        <v>65</v>
      </c>
      <c r="E27" s="42"/>
      <c r="F27" s="42"/>
      <c r="G27" s="42"/>
      <c r="H27" s="42"/>
      <c r="I27" s="42"/>
      <c r="J27" s="42"/>
      <c r="K27" s="42"/>
      <c r="L27" s="42"/>
      <c r="M27" s="42"/>
      <c r="N27" s="42"/>
      <c r="O27" s="42"/>
      <c r="P27" s="42"/>
      <c r="Q27" s="42"/>
      <c r="R27" s="42"/>
      <c r="S27" s="42"/>
    </row>
    <row r="28" customFormat="false" ht="12" hidden="false" customHeight="true" outlineLevel="0" collapsed="false">
      <c r="A28" s="42"/>
      <c r="B28" s="42"/>
      <c r="C28" s="42"/>
      <c r="D28" s="42" t="s">
        <v>66</v>
      </c>
      <c r="E28" s="42"/>
      <c r="F28" s="42"/>
      <c r="G28" s="42"/>
      <c r="H28" s="42"/>
      <c r="I28" s="42"/>
      <c r="J28" s="42"/>
      <c r="K28" s="42"/>
      <c r="L28" s="42"/>
      <c r="M28" s="42"/>
      <c r="N28" s="42"/>
      <c r="O28" s="42"/>
      <c r="P28" s="42"/>
      <c r="Q28" s="42"/>
      <c r="R28" s="42"/>
      <c r="S28" s="42"/>
    </row>
    <row r="29" customFormat="false" ht="12" hidden="false" customHeight="true" outlineLevel="0" collapsed="false">
      <c r="A29" s="42"/>
      <c r="B29" s="42"/>
      <c r="C29" s="42"/>
      <c r="D29" s="42" t="s">
        <v>67</v>
      </c>
      <c r="E29" s="42"/>
      <c r="F29" s="42"/>
      <c r="G29" s="42"/>
      <c r="H29" s="42"/>
      <c r="I29" s="42"/>
      <c r="J29" s="42"/>
      <c r="K29" s="42"/>
      <c r="L29" s="42"/>
      <c r="M29" s="42"/>
      <c r="N29" s="42"/>
      <c r="O29" s="42"/>
      <c r="P29" s="42"/>
      <c r="Q29" s="42"/>
      <c r="R29" s="42"/>
      <c r="S29" s="42"/>
    </row>
    <row r="30" customFormat="false" ht="12" hidden="false" customHeight="true" outlineLevel="0" collapsed="false">
      <c r="A30" s="42"/>
      <c r="B30" s="42"/>
      <c r="C30" s="42"/>
      <c r="D30" s="42" t="s">
        <v>68</v>
      </c>
      <c r="E30" s="42"/>
      <c r="F30" s="42"/>
      <c r="G30" s="42"/>
      <c r="H30" s="42"/>
      <c r="I30" s="42"/>
      <c r="J30" s="42"/>
      <c r="K30" s="42"/>
      <c r="L30" s="42"/>
      <c r="M30" s="42"/>
      <c r="N30" s="42"/>
      <c r="O30" s="42"/>
      <c r="P30" s="42"/>
      <c r="Q30" s="42"/>
      <c r="R30" s="42"/>
      <c r="S30" s="42"/>
    </row>
    <row r="31" customFormat="false" ht="12" hidden="false" customHeight="true" outlineLevel="0" collapsed="false">
      <c r="A31" s="42"/>
      <c r="B31" s="42"/>
      <c r="C31" s="42"/>
      <c r="D31" s="42" t="s">
        <v>69</v>
      </c>
      <c r="E31" s="42"/>
      <c r="F31" s="42"/>
      <c r="G31" s="42"/>
      <c r="H31" s="42"/>
      <c r="I31" s="42"/>
      <c r="J31" s="42"/>
      <c r="K31" s="42"/>
      <c r="L31" s="42"/>
      <c r="M31" s="42"/>
      <c r="N31" s="42"/>
      <c r="O31" s="42"/>
      <c r="P31" s="42"/>
      <c r="Q31" s="42"/>
      <c r="R31" s="42"/>
      <c r="S31" s="42"/>
    </row>
    <row r="32" customFormat="false" ht="12" hidden="false" customHeight="true" outlineLevel="0" collapsed="false">
      <c r="A32" s="42"/>
      <c r="B32" s="42"/>
      <c r="C32" s="42"/>
      <c r="D32" s="42" t="s">
        <v>70</v>
      </c>
      <c r="E32" s="42"/>
      <c r="F32" s="42"/>
      <c r="G32" s="42"/>
      <c r="H32" s="42"/>
      <c r="I32" s="42"/>
      <c r="J32" s="42"/>
      <c r="K32" s="42"/>
      <c r="L32" s="42"/>
      <c r="M32" s="42"/>
      <c r="N32" s="42"/>
      <c r="O32" s="42"/>
      <c r="P32" s="42"/>
      <c r="Q32" s="42"/>
      <c r="R32" s="42"/>
      <c r="S32" s="42"/>
    </row>
    <row r="33" customFormat="false" ht="12" hidden="false" customHeight="true" outlineLevel="0" collapsed="false">
      <c r="A33" s="42"/>
      <c r="B33" s="42"/>
      <c r="C33" s="42"/>
      <c r="D33" s="42" t="s">
        <v>71</v>
      </c>
      <c r="E33" s="42"/>
      <c r="F33" s="42"/>
      <c r="G33" s="42"/>
      <c r="H33" s="42"/>
      <c r="I33" s="42"/>
      <c r="J33" s="42"/>
      <c r="K33" s="42"/>
      <c r="L33" s="42"/>
      <c r="M33" s="42"/>
      <c r="N33" s="42"/>
      <c r="O33" s="42"/>
      <c r="P33" s="42"/>
      <c r="Q33" s="42"/>
      <c r="R33" s="42"/>
      <c r="S33" s="42"/>
    </row>
    <row r="34" customFormat="false" ht="12" hidden="false" customHeight="true" outlineLevel="0" collapsed="false">
      <c r="A34" s="42"/>
      <c r="B34" s="42"/>
      <c r="C34" s="42"/>
      <c r="D34" s="42" t="s">
        <v>72</v>
      </c>
      <c r="E34" s="42"/>
      <c r="F34" s="42"/>
      <c r="G34" s="42"/>
      <c r="H34" s="42"/>
      <c r="I34" s="42"/>
      <c r="J34" s="42"/>
      <c r="K34" s="42"/>
      <c r="L34" s="42"/>
      <c r="M34" s="42"/>
      <c r="N34" s="42"/>
      <c r="O34" s="42"/>
      <c r="P34" s="42"/>
      <c r="Q34" s="42"/>
      <c r="R34" s="42"/>
      <c r="S34" s="42"/>
    </row>
    <row r="35" customFormat="false" ht="12" hidden="false" customHeight="true" outlineLevel="0" collapsed="false">
      <c r="A35" s="42"/>
      <c r="B35" s="42"/>
      <c r="C35" s="42"/>
      <c r="D35" s="42" t="s">
        <v>73</v>
      </c>
      <c r="E35" s="42"/>
      <c r="F35" s="42"/>
      <c r="G35" s="42"/>
      <c r="H35" s="42"/>
      <c r="I35" s="42"/>
      <c r="J35" s="42"/>
      <c r="K35" s="42"/>
      <c r="L35" s="42"/>
      <c r="M35" s="42"/>
      <c r="N35" s="42"/>
      <c r="O35" s="42"/>
      <c r="P35" s="42"/>
      <c r="Q35" s="42"/>
      <c r="R35" s="42"/>
      <c r="S35" s="42"/>
    </row>
    <row r="36" customFormat="false" ht="12" hidden="false" customHeight="true" outlineLevel="0" collapsed="false">
      <c r="A36" s="42"/>
      <c r="B36" s="42"/>
      <c r="C36" s="42"/>
      <c r="D36" s="42" t="s">
        <v>74</v>
      </c>
      <c r="E36" s="42"/>
      <c r="F36" s="42"/>
      <c r="G36" s="42"/>
      <c r="H36" s="42"/>
      <c r="I36" s="42"/>
      <c r="J36" s="42"/>
      <c r="K36" s="42"/>
      <c r="L36" s="42"/>
      <c r="M36" s="42"/>
      <c r="N36" s="42"/>
      <c r="O36" s="42"/>
      <c r="P36" s="42"/>
      <c r="Q36" s="42"/>
      <c r="R36" s="42"/>
      <c r="S36" s="42"/>
    </row>
    <row r="37" customFormat="false" ht="12" hidden="false" customHeight="true" outlineLevel="0" collapsed="false">
      <c r="A37" s="42"/>
      <c r="B37" s="42"/>
      <c r="C37" s="42"/>
      <c r="D37" s="42"/>
      <c r="E37" s="42"/>
      <c r="F37" s="42"/>
      <c r="G37" s="42"/>
      <c r="H37" s="42"/>
      <c r="I37" s="42"/>
      <c r="J37" s="42"/>
      <c r="K37" s="42"/>
      <c r="L37" s="42"/>
      <c r="M37" s="42"/>
      <c r="N37" s="42"/>
      <c r="O37" s="42"/>
      <c r="P37" s="42"/>
      <c r="Q37" s="42"/>
      <c r="R37" s="42"/>
      <c r="S37" s="42"/>
    </row>
    <row r="38" customFormat="false" ht="12" hidden="false" customHeight="true" outlineLevel="0" collapsed="false">
      <c r="A38" s="42"/>
      <c r="B38" s="42"/>
      <c r="D38" s="50" t="s">
        <v>75</v>
      </c>
      <c r="E38" s="42" t="s">
        <v>76</v>
      </c>
      <c r="F38" s="42"/>
      <c r="G38" s="42"/>
      <c r="H38" s="42"/>
      <c r="I38" s="42"/>
      <c r="J38" s="42"/>
      <c r="K38" s="42"/>
      <c r="L38" s="42"/>
      <c r="M38" s="42"/>
      <c r="N38" s="42"/>
      <c r="O38" s="42"/>
      <c r="P38" s="42"/>
      <c r="Q38" s="42"/>
      <c r="R38" s="42"/>
      <c r="S38" s="42"/>
    </row>
    <row r="39" customFormat="false" ht="12" hidden="false" customHeight="true" outlineLevel="0" collapsed="false">
      <c r="A39" s="42"/>
      <c r="B39" s="42"/>
      <c r="C39" s="42"/>
      <c r="D39" s="42" t="s">
        <v>77</v>
      </c>
      <c r="E39" s="42"/>
      <c r="F39" s="42"/>
      <c r="G39" s="42"/>
      <c r="H39" s="42"/>
      <c r="I39" s="42"/>
      <c r="J39" s="42"/>
      <c r="K39" s="42"/>
      <c r="L39" s="42"/>
      <c r="M39" s="42"/>
      <c r="N39" s="42"/>
      <c r="O39" s="42"/>
      <c r="P39" s="42"/>
      <c r="Q39" s="42"/>
      <c r="R39" s="42"/>
      <c r="S39" s="42"/>
    </row>
    <row r="40" customFormat="false" ht="12" hidden="false" customHeight="true" outlineLevel="0" collapsed="false">
      <c r="A40" s="42"/>
      <c r="B40" s="42"/>
      <c r="C40" s="42"/>
      <c r="D40" s="42" t="s">
        <v>78</v>
      </c>
      <c r="E40" s="42"/>
      <c r="F40" s="42"/>
      <c r="G40" s="42"/>
      <c r="H40" s="42"/>
      <c r="I40" s="42"/>
      <c r="J40" s="42"/>
      <c r="K40" s="42"/>
      <c r="L40" s="42"/>
      <c r="M40" s="42"/>
      <c r="N40" s="42"/>
      <c r="O40" s="42"/>
      <c r="P40" s="42"/>
      <c r="Q40" s="42"/>
      <c r="R40" s="42"/>
      <c r="S40" s="42"/>
    </row>
    <row r="41" customFormat="false" ht="12" hidden="false" customHeight="true" outlineLevel="0" collapsed="false">
      <c r="A41" s="42"/>
      <c r="B41" s="42"/>
      <c r="C41" s="42"/>
      <c r="D41" s="42"/>
      <c r="E41" s="42"/>
      <c r="F41" s="42"/>
      <c r="G41" s="42"/>
      <c r="H41" s="42"/>
      <c r="I41" s="42"/>
      <c r="J41" s="42"/>
      <c r="K41" s="42"/>
      <c r="L41" s="42"/>
      <c r="M41" s="42"/>
      <c r="N41" s="42"/>
      <c r="O41" s="42"/>
      <c r="P41" s="42"/>
      <c r="Q41" s="42"/>
      <c r="R41" s="42"/>
      <c r="S41" s="42"/>
    </row>
    <row r="42" customFormat="false" ht="12" hidden="false" customHeight="true" outlineLevel="0" collapsed="false">
      <c r="A42" s="42"/>
      <c r="B42" s="51"/>
      <c r="C42" s="42"/>
      <c r="D42" s="52" t="s">
        <v>75</v>
      </c>
      <c r="E42" s="42" t="s">
        <v>79</v>
      </c>
      <c r="F42" s="42"/>
      <c r="G42" s="42"/>
      <c r="H42" s="42"/>
      <c r="I42" s="42"/>
      <c r="J42" s="42"/>
      <c r="K42" s="42"/>
      <c r="L42" s="42"/>
      <c r="M42" s="42"/>
      <c r="N42" s="42"/>
      <c r="O42" s="42"/>
      <c r="P42" s="42"/>
      <c r="Q42" s="42"/>
      <c r="R42" s="42"/>
      <c r="S42" s="42"/>
    </row>
    <row r="43" customFormat="false" ht="12" hidden="false" customHeight="true" outlineLevel="0" collapsed="false">
      <c r="A43" s="42"/>
      <c r="B43" s="42"/>
      <c r="C43" s="42"/>
      <c r="D43" s="42"/>
      <c r="E43" s="42" t="s">
        <v>80</v>
      </c>
      <c r="F43" s="42"/>
      <c r="G43" s="42"/>
      <c r="H43" s="42"/>
      <c r="I43" s="42"/>
      <c r="J43" s="42"/>
      <c r="K43" s="42"/>
      <c r="L43" s="42"/>
      <c r="M43" s="42"/>
      <c r="N43" s="42"/>
      <c r="O43" s="42"/>
      <c r="P43" s="42"/>
      <c r="Q43" s="42"/>
      <c r="R43" s="42"/>
      <c r="S43" s="42"/>
    </row>
    <row r="44" customFormat="false" ht="12" hidden="false" customHeight="true" outlineLevel="0" collapsed="false">
      <c r="A44" s="42"/>
      <c r="B44" s="42"/>
      <c r="C44" s="42"/>
      <c r="D44" s="53"/>
      <c r="E44" s="42"/>
      <c r="F44" s="42"/>
      <c r="G44" s="42"/>
      <c r="H44" s="42"/>
      <c r="I44" s="42"/>
      <c r="J44" s="42"/>
      <c r="K44" s="42"/>
      <c r="L44" s="42"/>
      <c r="M44" s="42"/>
      <c r="N44" s="42"/>
      <c r="O44" s="42"/>
      <c r="P44" s="42"/>
      <c r="Q44" s="42"/>
      <c r="R44" s="42"/>
      <c r="S44" s="42"/>
    </row>
    <row r="45" customFormat="false" ht="12" hidden="false" customHeight="true" outlineLevel="0" collapsed="false">
      <c r="A45" s="42"/>
      <c r="B45" s="42"/>
      <c r="C45" s="42"/>
      <c r="D45" s="54" t="s">
        <v>75</v>
      </c>
      <c r="E45" s="42" t="s">
        <v>81</v>
      </c>
      <c r="F45" s="42"/>
      <c r="G45" s="42"/>
      <c r="H45" s="42"/>
      <c r="I45" s="42"/>
      <c r="J45" s="42"/>
      <c r="K45" s="42"/>
      <c r="L45" s="42"/>
      <c r="M45" s="42"/>
      <c r="N45" s="42"/>
      <c r="O45" s="42"/>
      <c r="P45" s="42"/>
      <c r="Q45" s="42"/>
      <c r="R45" s="42"/>
      <c r="S45" s="42"/>
    </row>
    <row r="46" customFormat="false" ht="12" hidden="false" customHeight="true" outlineLevel="0" collapsed="false">
      <c r="A46" s="42"/>
      <c r="B46" s="42"/>
      <c r="C46" s="42"/>
      <c r="D46" s="42" t="s">
        <v>82</v>
      </c>
      <c r="E46" s="42"/>
      <c r="F46" s="42"/>
      <c r="G46" s="42"/>
      <c r="H46" s="42"/>
      <c r="I46" s="42"/>
      <c r="J46" s="42"/>
      <c r="K46" s="42"/>
      <c r="L46" s="42"/>
      <c r="M46" s="42"/>
      <c r="N46" s="42"/>
      <c r="O46" s="42"/>
      <c r="P46" s="42"/>
      <c r="Q46" s="42"/>
      <c r="R46" s="42"/>
      <c r="S46" s="42"/>
    </row>
    <row r="47" customFormat="false" ht="12" hidden="false" customHeight="true" outlineLevel="0" collapsed="false">
      <c r="A47" s="42"/>
      <c r="B47" s="42"/>
      <c r="C47" s="42"/>
      <c r="D47" s="42"/>
      <c r="E47" s="42"/>
      <c r="F47" s="42"/>
      <c r="G47" s="42"/>
      <c r="H47" s="42"/>
      <c r="I47" s="42"/>
      <c r="J47" s="42"/>
      <c r="K47" s="42"/>
      <c r="L47" s="42"/>
      <c r="M47" s="42"/>
      <c r="N47" s="42"/>
      <c r="O47" s="42"/>
      <c r="P47" s="42"/>
      <c r="Q47" s="42"/>
      <c r="R47" s="42"/>
      <c r="S47" s="42"/>
    </row>
    <row r="48" customFormat="false" ht="12" hidden="false" customHeight="true" outlineLevel="0" collapsed="false">
      <c r="A48" s="42"/>
      <c r="B48" s="42"/>
      <c r="C48" s="42"/>
      <c r="D48" s="23" t="s">
        <v>75</v>
      </c>
      <c r="E48" s="55" t="s">
        <v>83</v>
      </c>
      <c r="F48" s="56" t="s">
        <v>75</v>
      </c>
      <c r="G48" s="42" t="s">
        <v>84</v>
      </c>
      <c r="H48" s="42"/>
      <c r="I48" s="42"/>
      <c r="J48" s="42"/>
      <c r="K48" s="42"/>
      <c r="L48" s="42"/>
      <c r="M48" s="42"/>
      <c r="N48" s="42"/>
      <c r="O48" s="42"/>
      <c r="P48" s="42"/>
      <c r="Q48" s="42"/>
      <c r="R48" s="42"/>
      <c r="S48" s="42"/>
    </row>
    <row r="49" customFormat="false" ht="12" hidden="false" customHeight="true" outlineLevel="0" collapsed="false">
      <c r="A49" s="42"/>
      <c r="B49" s="42"/>
      <c r="C49" s="42"/>
      <c r="D49" s="42" t="s">
        <v>85</v>
      </c>
      <c r="E49" s="42"/>
      <c r="F49" s="42"/>
      <c r="G49" s="42"/>
      <c r="H49" s="42"/>
      <c r="I49" s="42"/>
      <c r="J49" s="42"/>
      <c r="K49" s="42"/>
      <c r="L49" s="42"/>
      <c r="M49" s="42"/>
      <c r="N49" s="42"/>
      <c r="O49" s="42"/>
      <c r="P49" s="42"/>
      <c r="Q49" s="42"/>
      <c r="R49" s="42"/>
      <c r="S49" s="42"/>
    </row>
    <row r="50" customFormat="false" ht="12.75" hidden="false" customHeight="true" outlineLevel="0" collapsed="false">
      <c r="A50" s="42"/>
      <c r="B50" s="42"/>
      <c r="C50" s="42"/>
      <c r="D50" s="42"/>
      <c r="E50" s="42"/>
      <c r="F50" s="42"/>
      <c r="G50" s="42"/>
      <c r="H50" s="42"/>
      <c r="I50" s="42"/>
      <c r="J50" s="42"/>
      <c r="K50" s="42"/>
      <c r="L50" s="42"/>
      <c r="M50" s="42"/>
      <c r="N50" s="42"/>
      <c r="O50" s="42"/>
      <c r="P50" s="42"/>
      <c r="Q50" s="42"/>
      <c r="R50" s="42"/>
      <c r="S50" s="42"/>
    </row>
    <row r="51" customFormat="false" ht="12.75" hidden="false" customHeight="true" outlineLevel="0" collapsed="false">
      <c r="A51" s="42"/>
      <c r="B51" s="42"/>
      <c r="C51" s="42"/>
      <c r="D51" s="57" t="s">
        <v>75</v>
      </c>
      <c r="E51" s="42" t="s">
        <v>86</v>
      </c>
      <c r="F51" s="42"/>
      <c r="G51" s="42"/>
      <c r="H51" s="42"/>
      <c r="I51" s="42"/>
      <c r="J51" s="42"/>
      <c r="K51" s="42"/>
      <c r="L51" s="42"/>
      <c r="M51" s="42"/>
      <c r="N51" s="42"/>
      <c r="O51" s="42"/>
      <c r="P51" s="42"/>
      <c r="Q51" s="42"/>
      <c r="R51" s="42"/>
      <c r="S51" s="42"/>
    </row>
    <row r="52" customFormat="false" ht="12" hidden="false" customHeight="true" outlineLevel="0" collapsed="false">
      <c r="A52" s="42"/>
      <c r="B52" s="42"/>
      <c r="C52" s="42"/>
      <c r="E52" s="42"/>
      <c r="F52" s="42"/>
      <c r="G52" s="42"/>
      <c r="H52" s="42"/>
      <c r="I52" s="42"/>
      <c r="J52" s="42"/>
      <c r="K52" s="42"/>
      <c r="L52" s="42"/>
      <c r="M52" s="42"/>
      <c r="N52" s="42"/>
      <c r="O52" s="42"/>
      <c r="P52" s="42"/>
      <c r="Q52" s="42"/>
      <c r="R52" s="42"/>
      <c r="S52" s="42"/>
    </row>
    <row r="53" customFormat="false" ht="12" hidden="false" customHeight="true" outlineLevel="0" collapsed="false">
      <c r="A53" s="42"/>
      <c r="B53" s="42"/>
      <c r="C53" s="42"/>
      <c r="D53" s="58" t="s">
        <v>87</v>
      </c>
      <c r="E53" s="55" t="s">
        <v>83</v>
      </c>
      <c r="F53" s="59" t="s">
        <v>87</v>
      </c>
      <c r="G53" s="43" t="s">
        <v>83</v>
      </c>
      <c r="H53" s="60" t="s">
        <v>87</v>
      </c>
      <c r="I53" s="38" t="s">
        <v>88</v>
      </c>
      <c r="Q53" s="42"/>
      <c r="R53" s="42"/>
      <c r="S53" s="42"/>
    </row>
    <row r="54" customFormat="false" ht="12" hidden="false" customHeight="true" outlineLevel="0" collapsed="false">
      <c r="A54" s="42"/>
      <c r="B54" s="42"/>
      <c r="C54" s="42"/>
      <c r="D54" s="42" t="s">
        <v>89</v>
      </c>
      <c r="E54" s="42"/>
      <c r="F54" s="42"/>
      <c r="G54" s="42"/>
      <c r="H54" s="42"/>
      <c r="I54" s="42"/>
      <c r="J54" s="42"/>
      <c r="K54" s="42"/>
      <c r="L54" s="42"/>
      <c r="M54" s="42"/>
      <c r="N54" s="42"/>
      <c r="O54" s="42"/>
      <c r="P54" s="42"/>
      <c r="Q54" s="42"/>
      <c r="R54" s="42"/>
      <c r="S54" s="42"/>
    </row>
    <row r="55" customFormat="false" ht="12" hidden="false" customHeight="true" outlineLevel="0" collapsed="false">
      <c r="A55" s="42"/>
      <c r="B55" s="42"/>
      <c r="C55" s="42"/>
      <c r="D55" s="42" t="s">
        <v>90</v>
      </c>
      <c r="E55" s="42"/>
      <c r="F55" s="42"/>
      <c r="G55" s="42"/>
      <c r="H55" s="42"/>
      <c r="I55" s="42"/>
      <c r="J55" s="42"/>
      <c r="K55" s="42"/>
      <c r="L55" s="42"/>
      <c r="M55" s="42"/>
      <c r="N55" s="42"/>
      <c r="O55" s="42"/>
      <c r="P55" s="42"/>
      <c r="Q55" s="42"/>
      <c r="R55" s="42"/>
      <c r="S55" s="42"/>
    </row>
    <row r="56" customFormat="false" ht="12" hidden="false" customHeight="true" outlineLevel="0" collapsed="false">
      <c r="A56" s="42"/>
      <c r="B56" s="42"/>
      <c r="C56" s="42"/>
      <c r="D56" s="42" t="s">
        <v>91</v>
      </c>
      <c r="E56" s="42"/>
      <c r="F56" s="42"/>
      <c r="G56" s="42"/>
      <c r="H56" s="42"/>
      <c r="I56" s="42"/>
      <c r="J56" s="42"/>
      <c r="K56" s="42"/>
      <c r="L56" s="42"/>
      <c r="M56" s="42"/>
      <c r="N56" s="42"/>
      <c r="O56" s="42"/>
      <c r="P56" s="42"/>
      <c r="Q56" s="42"/>
      <c r="R56" s="42"/>
      <c r="S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c r="S57" s="42"/>
    </row>
    <row r="58" customFormat="false" ht="12" hidden="false" customHeight="true" outlineLevel="0" collapsed="false">
      <c r="A58" s="42"/>
      <c r="B58" s="42"/>
      <c r="C58" s="42"/>
      <c r="D58" s="61" t="s">
        <v>92</v>
      </c>
      <c r="E58" s="62"/>
      <c r="F58" s="38" t="s">
        <v>93</v>
      </c>
      <c r="K58" s="42"/>
      <c r="L58" s="42"/>
      <c r="M58" s="42"/>
      <c r="N58" s="42"/>
      <c r="O58" s="42"/>
      <c r="P58" s="42"/>
      <c r="Q58" s="42"/>
      <c r="R58" s="42"/>
      <c r="S58" s="42"/>
    </row>
    <row r="59" customFormat="false" ht="12" hidden="false" customHeight="true" outlineLevel="0" collapsed="false">
      <c r="A59" s="42"/>
      <c r="B59" s="42"/>
      <c r="C59" s="42"/>
      <c r="E59" s="42"/>
      <c r="F59" s="42"/>
      <c r="G59" s="42"/>
      <c r="H59" s="42"/>
      <c r="I59" s="42"/>
      <c r="J59" s="42"/>
      <c r="K59" s="42"/>
      <c r="L59" s="42"/>
      <c r="M59" s="42"/>
      <c r="N59" s="42"/>
      <c r="O59" s="42"/>
      <c r="P59" s="42"/>
      <c r="Q59" s="42"/>
      <c r="R59" s="42"/>
      <c r="S59" s="42"/>
    </row>
    <row r="60" customFormat="false" ht="12" hidden="false" customHeight="true" outlineLevel="0" collapsed="false">
      <c r="A60" s="42"/>
      <c r="B60" s="42"/>
      <c r="C60" s="42"/>
      <c r="D60" s="63" t="s">
        <v>75</v>
      </c>
      <c r="E60" s="42" t="s">
        <v>94</v>
      </c>
      <c r="F60" s="42"/>
      <c r="G60" s="42"/>
      <c r="H60" s="42"/>
      <c r="I60" s="42"/>
      <c r="J60" s="42"/>
      <c r="K60" s="42"/>
      <c r="L60" s="42"/>
      <c r="M60" s="42"/>
      <c r="N60" s="42"/>
      <c r="O60" s="42"/>
      <c r="P60" s="42"/>
      <c r="Q60" s="42"/>
      <c r="R60" s="42"/>
      <c r="S60" s="42"/>
    </row>
    <row r="61" customFormat="false" ht="12" hidden="false" customHeight="true" outlineLevel="0" collapsed="false">
      <c r="A61" s="42"/>
      <c r="B61" s="42"/>
      <c r="C61" s="42"/>
      <c r="D61" s="42" t="s">
        <v>95</v>
      </c>
      <c r="E61" s="42"/>
      <c r="F61" s="42"/>
      <c r="G61" s="42"/>
      <c r="H61" s="42"/>
      <c r="I61" s="42"/>
      <c r="J61" s="42"/>
      <c r="K61" s="42"/>
      <c r="L61" s="42"/>
      <c r="M61" s="42"/>
      <c r="N61" s="42"/>
      <c r="O61" s="42"/>
      <c r="P61" s="42"/>
      <c r="Q61" s="42"/>
      <c r="R61" s="42"/>
      <c r="S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c r="S62" s="42"/>
    </row>
    <row r="63" customFormat="false" ht="12" hidden="false" customHeight="true" outlineLevel="0" collapsed="false">
      <c r="A63" s="42"/>
      <c r="B63" s="42"/>
      <c r="C63" s="42"/>
      <c r="D63" s="64" t="s">
        <v>96</v>
      </c>
      <c r="E63" s="42" t="s">
        <v>97</v>
      </c>
      <c r="F63" s="42"/>
      <c r="G63" s="42"/>
      <c r="H63" s="42"/>
      <c r="I63" s="42"/>
      <c r="J63" s="42"/>
      <c r="K63" s="42"/>
      <c r="L63" s="42"/>
      <c r="M63" s="42"/>
      <c r="N63" s="42"/>
      <c r="O63" s="42"/>
      <c r="P63" s="42"/>
      <c r="Q63" s="42"/>
      <c r="R63" s="42"/>
      <c r="S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c r="S64" s="42"/>
    </row>
    <row r="65" customFormat="false" ht="12" hidden="false" customHeight="true" outlineLevel="0" collapsed="false">
      <c r="A65" s="42"/>
      <c r="B65" s="42"/>
      <c r="C65" s="42"/>
      <c r="D65" s="65" t="s">
        <v>98</v>
      </c>
      <c r="E65" s="66"/>
      <c r="F65" s="42" t="s">
        <v>99</v>
      </c>
      <c r="G65" s="42"/>
      <c r="H65" s="42"/>
      <c r="I65" s="42"/>
      <c r="J65" s="42"/>
      <c r="K65" s="42"/>
      <c r="L65" s="42"/>
      <c r="M65" s="42"/>
      <c r="N65" s="42"/>
      <c r="O65" s="42"/>
      <c r="P65" s="42"/>
      <c r="Q65" s="42"/>
      <c r="R65" s="42"/>
      <c r="S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c r="S66" s="42"/>
    </row>
    <row r="67" customFormat="false" ht="12" hidden="false" customHeight="true" outlineLevel="0" collapsed="false">
      <c r="A67" s="42"/>
      <c r="B67" s="42"/>
      <c r="C67" s="42"/>
      <c r="D67" s="42"/>
      <c r="E67" s="42"/>
      <c r="F67" s="42"/>
      <c r="G67" s="42"/>
      <c r="H67" s="42"/>
      <c r="I67" s="42"/>
      <c r="J67" s="42"/>
      <c r="K67" s="42"/>
      <c r="L67" s="42"/>
      <c r="M67" s="42"/>
      <c r="N67" s="42"/>
      <c r="O67" s="42"/>
      <c r="P67" s="42"/>
      <c r="Q67" s="42"/>
      <c r="R67" s="42"/>
      <c r="S67" s="42"/>
    </row>
    <row r="68" customFormat="false" ht="12" hidden="false" customHeight="true" outlineLevel="0" collapsed="false">
      <c r="A68" s="42"/>
      <c r="B68" s="42"/>
      <c r="C68" s="42"/>
      <c r="D68" s="42"/>
      <c r="E68" s="42"/>
      <c r="F68" s="42"/>
      <c r="G68" s="42"/>
      <c r="H68" s="42"/>
      <c r="I68" s="42"/>
      <c r="J68" s="42"/>
      <c r="K68" s="42"/>
      <c r="L68" s="42"/>
      <c r="M68" s="42"/>
      <c r="N68" s="42"/>
      <c r="O68" s="42"/>
      <c r="P68" s="42"/>
      <c r="Q68" s="42"/>
      <c r="R68" s="42"/>
      <c r="S68" s="42"/>
    </row>
    <row r="69" customFormat="false" ht="12" hidden="false" customHeight="true" outlineLevel="0" collapsed="false">
      <c r="A69" s="42"/>
      <c r="B69" s="42"/>
      <c r="C69" s="42"/>
      <c r="D69" s="42"/>
      <c r="E69" s="42"/>
      <c r="F69" s="42"/>
      <c r="G69" s="42"/>
      <c r="H69" s="42"/>
      <c r="I69" s="42"/>
      <c r="J69" s="42"/>
      <c r="K69" s="42"/>
      <c r="L69" s="42"/>
      <c r="M69" s="42"/>
      <c r="N69" s="42"/>
      <c r="O69" s="42"/>
      <c r="P69" s="42"/>
      <c r="Q69" s="42"/>
      <c r="R69" s="42"/>
      <c r="S69" s="42"/>
    </row>
    <row r="70" customFormat="false" ht="12" hidden="false" customHeight="true" outlineLevel="0" collapsed="false">
      <c r="A70" s="42"/>
      <c r="B70" s="42"/>
      <c r="C70" s="67" t="s">
        <v>100</v>
      </c>
      <c r="D70" s="68"/>
      <c r="E70" s="42" t="s">
        <v>101</v>
      </c>
      <c r="F70" s="42"/>
      <c r="G70" s="42"/>
      <c r="H70" s="42"/>
      <c r="I70" s="42"/>
      <c r="J70" s="42"/>
      <c r="K70" s="42"/>
      <c r="L70" s="42"/>
      <c r="M70" s="42"/>
      <c r="N70" s="42"/>
      <c r="O70" s="42"/>
      <c r="P70" s="42"/>
      <c r="Q70" s="42"/>
      <c r="R70" s="42"/>
    </row>
    <row r="71" customFormat="false" ht="12" hidden="false" customHeight="true" outlineLevel="0" collapsed="false">
      <c r="A71" s="42"/>
      <c r="B71" s="42"/>
      <c r="C71" s="42" t="s">
        <v>102</v>
      </c>
      <c r="D71" s="42"/>
      <c r="E71" s="42"/>
      <c r="F71" s="42"/>
      <c r="G71" s="42"/>
      <c r="H71" s="42"/>
      <c r="I71" s="42"/>
      <c r="J71" s="42"/>
      <c r="K71" s="42"/>
      <c r="L71" s="42"/>
      <c r="M71" s="42"/>
      <c r="N71" s="42"/>
      <c r="O71" s="42"/>
      <c r="P71" s="42"/>
      <c r="Q71" s="42"/>
      <c r="R71" s="42"/>
    </row>
    <row r="72" customFormat="false" ht="12" hidden="false" customHeight="true" outlineLevel="0" collapsed="false">
      <c r="A72" s="42"/>
      <c r="B72" s="42"/>
      <c r="C72" s="42" t="s">
        <v>103</v>
      </c>
      <c r="D72" s="42"/>
      <c r="E72" s="42"/>
      <c r="F72" s="42"/>
      <c r="G72" s="42"/>
      <c r="H72" s="42"/>
      <c r="I72" s="42"/>
      <c r="J72" s="42"/>
      <c r="K72" s="42"/>
      <c r="L72" s="42"/>
      <c r="M72" s="42"/>
      <c r="N72" s="42"/>
      <c r="O72" s="42"/>
      <c r="P72" s="42"/>
      <c r="Q72" s="42"/>
      <c r="R72" s="42"/>
    </row>
    <row r="73" customFormat="false" ht="12" hidden="false" customHeight="true" outlineLevel="0" collapsed="false">
      <c r="A73" s="42"/>
      <c r="B73" s="42"/>
      <c r="C73" s="42"/>
      <c r="D73" s="42"/>
      <c r="E73" s="42"/>
      <c r="F73" s="42"/>
      <c r="G73" s="42"/>
      <c r="H73" s="42"/>
      <c r="I73" s="42"/>
      <c r="J73" s="42"/>
      <c r="K73" s="42"/>
      <c r="L73" s="42"/>
      <c r="M73" s="42"/>
      <c r="N73" s="42"/>
      <c r="O73" s="42"/>
      <c r="P73" s="42"/>
      <c r="Q73" s="42"/>
      <c r="R73" s="42"/>
    </row>
    <row r="74" customFormat="false" ht="12" hidden="false" customHeight="true" outlineLevel="0" collapsed="false">
      <c r="A74" s="42"/>
      <c r="B74" s="42"/>
      <c r="C74" s="42" t="s">
        <v>104</v>
      </c>
      <c r="D74" s="42"/>
      <c r="E74" s="42"/>
      <c r="F74" s="42"/>
      <c r="G74" s="42"/>
      <c r="H74" s="42"/>
      <c r="I74" s="42"/>
      <c r="J74" s="42"/>
      <c r="K74" s="42"/>
      <c r="L74" s="42"/>
      <c r="M74" s="42"/>
      <c r="N74" s="42"/>
      <c r="O74" s="42"/>
      <c r="P74" s="42"/>
      <c r="Q74" s="42"/>
      <c r="R74" s="42"/>
    </row>
    <row r="75" customFormat="false" ht="12" hidden="false" customHeight="true" outlineLevel="0" collapsed="false">
      <c r="A75" s="42"/>
      <c r="B75" s="42"/>
      <c r="C75" s="42" t="s">
        <v>105</v>
      </c>
      <c r="D75" s="42"/>
      <c r="E75" s="42"/>
      <c r="F75" s="42"/>
      <c r="G75" s="42"/>
      <c r="H75" s="42"/>
      <c r="I75" s="42"/>
      <c r="J75" s="42"/>
      <c r="K75" s="42"/>
      <c r="L75" s="42"/>
      <c r="M75" s="42"/>
      <c r="N75" s="42"/>
      <c r="O75" s="42"/>
      <c r="P75" s="42"/>
      <c r="Q75" s="42"/>
      <c r="R75" s="42"/>
    </row>
    <row r="76" customFormat="false" ht="12" hidden="false" customHeight="true" outlineLevel="0" collapsed="false">
      <c r="A76" s="42"/>
      <c r="B76" s="42"/>
      <c r="C76" s="42" t="s">
        <v>106</v>
      </c>
      <c r="D76" s="42"/>
      <c r="E76" s="42"/>
      <c r="F76" s="42"/>
      <c r="G76" s="42"/>
      <c r="H76" s="42"/>
      <c r="I76" s="42"/>
      <c r="J76" s="42"/>
      <c r="K76" s="42"/>
      <c r="L76" s="42"/>
      <c r="M76" s="42"/>
      <c r="N76" s="42"/>
      <c r="O76" s="42"/>
      <c r="P76" s="42"/>
      <c r="Q76" s="42"/>
      <c r="R76" s="42"/>
    </row>
    <row r="77" customFormat="false" ht="12" hidden="false" customHeight="true" outlineLevel="0" collapsed="false">
      <c r="A77" s="42"/>
      <c r="B77" s="42"/>
      <c r="C77" s="42" t="s">
        <v>107</v>
      </c>
      <c r="D77" s="42"/>
      <c r="E77" s="42"/>
      <c r="F77" s="42"/>
      <c r="G77" s="42"/>
      <c r="H77" s="42"/>
      <c r="I77" s="42"/>
      <c r="J77" s="42"/>
      <c r="K77" s="42"/>
      <c r="L77" s="42"/>
      <c r="M77" s="42"/>
      <c r="N77" s="42"/>
      <c r="O77" s="42"/>
      <c r="P77" s="42"/>
      <c r="Q77" s="42"/>
      <c r="R77" s="42"/>
    </row>
    <row r="78" customFormat="false" ht="12" hidden="false" customHeight="true" outlineLevel="0" collapsed="false">
      <c r="A78" s="42"/>
      <c r="B78" s="42"/>
      <c r="C78" s="42" t="s">
        <v>108</v>
      </c>
      <c r="D78" s="42"/>
      <c r="E78" s="42"/>
      <c r="F78" s="42"/>
      <c r="G78" s="42"/>
      <c r="H78" s="42"/>
      <c r="I78" s="42"/>
      <c r="J78" s="42"/>
      <c r="K78" s="42"/>
      <c r="L78" s="42"/>
      <c r="M78" s="42"/>
      <c r="N78" s="42"/>
      <c r="O78" s="42"/>
      <c r="P78" s="42"/>
      <c r="Q78" s="42"/>
      <c r="R78" s="42"/>
    </row>
    <row r="79" customFormat="false" ht="12" hidden="false" customHeight="true" outlineLevel="0" collapsed="false">
      <c r="A79" s="42"/>
      <c r="B79" s="42"/>
      <c r="C79" s="42" t="s">
        <v>109</v>
      </c>
      <c r="D79" s="42"/>
      <c r="E79" s="42"/>
      <c r="F79" s="42"/>
      <c r="G79" s="42"/>
      <c r="H79" s="42"/>
      <c r="I79" s="42"/>
      <c r="J79" s="42"/>
      <c r="K79" s="42"/>
      <c r="L79" s="42"/>
      <c r="M79" s="42"/>
      <c r="N79" s="42"/>
      <c r="O79" s="42"/>
      <c r="P79" s="42"/>
      <c r="Q79" s="42"/>
      <c r="R79" s="42"/>
    </row>
    <row r="80" customFormat="false" ht="12" hidden="false" customHeight="true" outlineLevel="0" collapsed="false">
      <c r="A80" s="42"/>
      <c r="B80" s="42"/>
      <c r="C80" s="42" t="s">
        <v>0</v>
      </c>
      <c r="D80" s="42"/>
      <c r="E80" s="42"/>
      <c r="F80" s="42"/>
      <c r="G80" s="42"/>
      <c r="H80" s="42"/>
      <c r="I80" s="42"/>
      <c r="J80" s="42"/>
      <c r="K80" s="42"/>
      <c r="L80" s="42"/>
      <c r="M80" s="42"/>
      <c r="N80" s="42"/>
      <c r="O80" s="42"/>
      <c r="P80" s="42"/>
      <c r="Q80" s="42"/>
      <c r="R80" s="42"/>
    </row>
    <row r="81" customFormat="false" ht="12" hidden="false" customHeight="true" outlineLevel="0" collapsed="false">
      <c r="A81" s="42"/>
      <c r="B81" s="42"/>
      <c r="C81" s="42"/>
      <c r="D81" s="42"/>
      <c r="E81" s="42"/>
      <c r="F81" s="42"/>
      <c r="G81" s="42"/>
      <c r="H81" s="42"/>
      <c r="I81" s="42"/>
      <c r="J81" s="42"/>
      <c r="K81" s="42"/>
      <c r="L81" s="42"/>
      <c r="M81" s="42"/>
      <c r="N81" s="42"/>
      <c r="O81" s="42"/>
      <c r="P81" s="42"/>
      <c r="Q81" s="42"/>
      <c r="R81" s="42"/>
    </row>
    <row r="82" customFormat="false" ht="12" hidden="false" customHeight="true" outlineLevel="0" collapsed="false">
      <c r="A82" s="42"/>
      <c r="B82" s="42"/>
      <c r="C82" s="42"/>
      <c r="D82" s="42"/>
      <c r="E82" s="42"/>
      <c r="F82" s="42"/>
      <c r="G82" s="42"/>
      <c r="H82" s="42"/>
      <c r="I82" s="42"/>
      <c r="J82" s="42"/>
      <c r="K82" s="42"/>
      <c r="L82" s="42"/>
      <c r="M82" s="42"/>
      <c r="N82" s="42"/>
      <c r="O82" s="42"/>
      <c r="P82" s="42"/>
      <c r="Q82" s="42"/>
      <c r="R82" s="42"/>
    </row>
    <row r="83" customFormat="false" ht="12" hidden="false" customHeight="true" outlineLevel="0" collapsed="false">
      <c r="A83" s="42"/>
      <c r="B83" s="42"/>
      <c r="C83" s="67" t="s">
        <v>110</v>
      </c>
      <c r="D83" s="69"/>
      <c r="E83" s="68"/>
      <c r="F83" s="42" t="s">
        <v>111</v>
      </c>
      <c r="G83" s="42"/>
      <c r="H83" s="42"/>
      <c r="I83" s="42"/>
      <c r="J83" s="42"/>
      <c r="K83" s="42"/>
      <c r="L83" s="42"/>
      <c r="M83" s="42"/>
      <c r="N83" s="42"/>
      <c r="O83" s="42"/>
      <c r="P83" s="42"/>
      <c r="Q83" s="42"/>
      <c r="R83" s="42"/>
    </row>
    <row r="84" customFormat="false" ht="12" hidden="false" customHeight="true" outlineLevel="0" collapsed="false">
      <c r="A84" s="42"/>
      <c r="B84" s="42"/>
      <c r="C84" s="42" t="s">
        <v>112</v>
      </c>
      <c r="D84" s="42"/>
      <c r="E84" s="42"/>
      <c r="F84" s="42"/>
      <c r="G84" s="42"/>
      <c r="H84" s="42"/>
      <c r="I84" s="42"/>
      <c r="J84" s="42"/>
      <c r="K84" s="42"/>
      <c r="L84" s="42"/>
      <c r="M84" s="42"/>
      <c r="N84" s="42"/>
      <c r="O84" s="42"/>
      <c r="P84" s="42"/>
      <c r="Q84" s="42"/>
      <c r="R84" s="42"/>
    </row>
    <row r="85" customFormat="false" ht="12" hidden="false" customHeight="true" outlineLevel="0" collapsed="false">
      <c r="A85" s="42"/>
      <c r="B85" s="42"/>
      <c r="C85" s="42" t="s">
        <v>113</v>
      </c>
      <c r="D85" s="42"/>
      <c r="E85" s="42"/>
      <c r="F85" s="42"/>
      <c r="G85" s="42"/>
      <c r="H85" s="42"/>
      <c r="I85" s="42"/>
      <c r="J85" s="42"/>
      <c r="K85" s="42"/>
      <c r="L85" s="42"/>
      <c r="M85" s="42"/>
      <c r="N85" s="42"/>
      <c r="O85" s="42"/>
      <c r="P85" s="42"/>
      <c r="Q85" s="42"/>
      <c r="R85" s="42"/>
    </row>
    <row r="86" customFormat="false" ht="12" hidden="false" customHeight="true" outlineLevel="0" collapsed="false">
      <c r="A86" s="42"/>
      <c r="B86" s="42"/>
      <c r="C86" s="42" t="s">
        <v>114</v>
      </c>
      <c r="D86" s="42"/>
      <c r="E86" s="42"/>
      <c r="F86" s="42"/>
      <c r="G86" s="42"/>
      <c r="H86" s="42"/>
      <c r="I86" s="42"/>
      <c r="J86" s="42"/>
      <c r="K86" s="42"/>
      <c r="L86" s="42"/>
      <c r="M86" s="42"/>
      <c r="N86" s="42"/>
      <c r="O86" s="42"/>
      <c r="P86" s="42"/>
      <c r="Q86" s="42"/>
      <c r="R86" s="42"/>
    </row>
    <row r="87" customFormat="false" ht="12" hidden="false" customHeight="true" outlineLevel="0" collapsed="false">
      <c r="A87" s="42"/>
      <c r="B87" s="42"/>
      <c r="C87" s="42" t="s">
        <v>115</v>
      </c>
      <c r="D87" s="42"/>
      <c r="E87" s="42"/>
      <c r="F87" s="42"/>
      <c r="G87" s="42"/>
      <c r="H87" s="42"/>
      <c r="I87" s="42"/>
      <c r="J87" s="42"/>
      <c r="K87" s="42"/>
      <c r="L87" s="42"/>
      <c r="M87" s="42"/>
      <c r="N87" s="42"/>
      <c r="O87" s="42"/>
      <c r="P87" s="42"/>
      <c r="Q87" s="42"/>
      <c r="R87" s="42"/>
    </row>
    <row r="88" customFormat="false" ht="12" hidden="false" customHeight="true" outlineLevel="0" collapsed="false">
      <c r="A88" s="42"/>
      <c r="B88" s="42"/>
      <c r="C88" s="42" t="s">
        <v>116</v>
      </c>
      <c r="D88" s="42"/>
      <c r="E88" s="42"/>
      <c r="F88" s="42"/>
      <c r="G88" s="42"/>
      <c r="H88" s="42"/>
      <c r="I88" s="42"/>
      <c r="J88" s="42"/>
      <c r="K88" s="42"/>
      <c r="L88" s="42"/>
      <c r="M88" s="42"/>
      <c r="N88" s="42"/>
      <c r="O88" s="42"/>
      <c r="P88" s="42"/>
      <c r="Q88" s="42"/>
      <c r="R88" s="42"/>
    </row>
    <row r="89" customFormat="false" ht="12" hidden="false" customHeight="true" outlineLevel="0" collapsed="false">
      <c r="A89" s="42"/>
      <c r="B89" s="42"/>
      <c r="C89" s="42" t="s">
        <v>117</v>
      </c>
      <c r="D89" s="42"/>
      <c r="E89" s="42"/>
      <c r="F89" s="42"/>
      <c r="G89" s="42"/>
      <c r="H89" s="42"/>
      <c r="I89" s="42"/>
      <c r="J89" s="42"/>
      <c r="K89" s="42"/>
      <c r="L89" s="42"/>
      <c r="M89" s="42"/>
      <c r="N89" s="42"/>
      <c r="O89" s="42"/>
      <c r="P89" s="42"/>
      <c r="Q89" s="42"/>
      <c r="R89" s="42"/>
    </row>
    <row r="90" customFormat="false" ht="12" hidden="false" customHeight="true" outlineLevel="0" collapsed="false">
      <c r="A90" s="42"/>
      <c r="B90" s="42"/>
      <c r="C90" s="42"/>
      <c r="D90" s="42"/>
      <c r="E90" s="42"/>
      <c r="F90" s="42"/>
      <c r="G90" s="42"/>
      <c r="H90" s="42"/>
      <c r="I90" s="42"/>
      <c r="J90" s="42"/>
      <c r="K90" s="42"/>
      <c r="L90" s="42"/>
      <c r="M90" s="42"/>
      <c r="N90" s="42"/>
      <c r="O90" s="42"/>
      <c r="P90" s="42"/>
      <c r="Q90" s="42"/>
      <c r="R90" s="42"/>
    </row>
    <row r="91" customFormat="false" ht="12" hidden="false" customHeight="true" outlineLevel="0" collapsed="false">
      <c r="A91" s="42"/>
      <c r="B91" s="42"/>
      <c r="C91" s="42" t="s">
        <v>118</v>
      </c>
      <c r="D91" s="42"/>
      <c r="E91" s="42"/>
      <c r="F91" s="42"/>
      <c r="G91" s="42"/>
      <c r="H91" s="42"/>
      <c r="I91" s="42"/>
      <c r="J91" s="42"/>
      <c r="K91" s="42"/>
      <c r="L91" s="42"/>
      <c r="M91" s="42"/>
      <c r="N91" s="42"/>
      <c r="O91" s="42"/>
      <c r="P91" s="42"/>
      <c r="Q91" s="42"/>
      <c r="R91" s="42"/>
    </row>
    <row r="92" customFormat="false" ht="12" hidden="false" customHeight="true" outlineLevel="0" collapsed="false">
      <c r="A92" s="42"/>
      <c r="B92" s="42"/>
      <c r="C92" s="42" t="s">
        <v>119</v>
      </c>
      <c r="D92" s="42"/>
      <c r="E92" s="42"/>
      <c r="F92" s="42"/>
      <c r="G92" s="42"/>
      <c r="H92" s="42"/>
      <c r="I92" s="42"/>
      <c r="J92" s="42"/>
      <c r="K92" s="42"/>
      <c r="L92" s="42"/>
      <c r="M92" s="42"/>
      <c r="N92" s="42"/>
      <c r="O92" s="42"/>
      <c r="P92" s="42"/>
      <c r="Q92" s="42"/>
      <c r="R92" s="42"/>
    </row>
    <row r="93" customFormat="false" ht="12" hidden="false" customHeight="true" outlineLevel="0" collapsed="false">
      <c r="A93" s="42"/>
      <c r="B93" s="42"/>
      <c r="C93" s="42" t="s">
        <v>120</v>
      </c>
      <c r="D93" s="42"/>
      <c r="E93" s="42"/>
      <c r="F93" s="42"/>
      <c r="G93" s="42"/>
      <c r="H93" s="42"/>
      <c r="I93" s="42"/>
      <c r="J93" s="42"/>
      <c r="K93" s="42"/>
      <c r="L93" s="42"/>
      <c r="M93" s="42"/>
      <c r="N93" s="42"/>
      <c r="O93" s="42"/>
      <c r="P93" s="42"/>
      <c r="Q93" s="42"/>
      <c r="R93" s="42"/>
    </row>
    <row r="94" customFormat="false" ht="12" hidden="false" customHeight="true" outlineLevel="0" collapsed="false">
      <c r="A94" s="42"/>
      <c r="B94" s="42"/>
      <c r="C94" s="42"/>
      <c r="D94" s="42"/>
      <c r="E94" s="42"/>
      <c r="F94" s="42"/>
      <c r="G94" s="42"/>
      <c r="H94" s="42"/>
      <c r="I94" s="42"/>
      <c r="J94" s="42"/>
      <c r="K94" s="42"/>
      <c r="L94" s="42"/>
      <c r="M94" s="42"/>
      <c r="N94" s="42" t="s">
        <v>0</v>
      </c>
      <c r="O94" s="42"/>
      <c r="P94" s="42"/>
      <c r="Q94" s="42"/>
      <c r="R94" s="42"/>
    </row>
    <row r="95" customFormat="false" ht="12" hidden="false" customHeight="true" outlineLevel="0" collapsed="false">
      <c r="A95" s="42"/>
      <c r="B95" s="42"/>
      <c r="C95" s="42"/>
      <c r="D95" s="42"/>
      <c r="E95" s="42"/>
      <c r="F95" s="42"/>
      <c r="G95" s="42"/>
      <c r="H95" s="42"/>
      <c r="I95" s="42"/>
      <c r="J95" s="42"/>
      <c r="K95" s="42"/>
      <c r="L95" s="42"/>
      <c r="M95" s="42"/>
      <c r="N95" s="42"/>
      <c r="O95" s="42"/>
      <c r="P95" s="42"/>
      <c r="Q95" s="42"/>
      <c r="R95" s="42"/>
    </row>
    <row r="96" customFormat="false" ht="12" hidden="false" customHeight="true" outlineLevel="0" collapsed="false">
      <c r="A96" s="42"/>
      <c r="B96" s="42"/>
      <c r="C96" s="42"/>
      <c r="D96" s="42"/>
      <c r="E96" s="42"/>
      <c r="F96" s="42"/>
      <c r="G96" s="42"/>
      <c r="H96" s="42"/>
      <c r="I96" s="42"/>
      <c r="J96" s="42"/>
      <c r="K96" s="42"/>
      <c r="L96" s="42"/>
      <c r="M96" s="42"/>
      <c r="N96" s="42"/>
      <c r="O96" s="42"/>
      <c r="P96" s="42"/>
      <c r="Q96" s="42"/>
      <c r="R96" s="42"/>
    </row>
    <row r="97" customFormat="false" ht="12" hidden="false" customHeight="true" outlineLevel="0" collapsed="false">
      <c r="A97" s="42"/>
      <c r="B97" s="42"/>
      <c r="C97" s="42"/>
      <c r="D97" s="42"/>
      <c r="E97" s="42"/>
      <c r="F97" s="42"/>
      <c r="G97" s="42"/>
      <c r="H97" s="42"/>
      <c r="I97" s="42"/>
      <c r="J97" s="42"/>
      <c r="K97" s="42"/>
      <c r="L97" s="42"/>
      <c r="M97" s="42"/>
      <c r="N97" s="42"/>
      <c r="O97" s="42"/>
      <c r="P97" s="42"/>
      <c r="Q97" s="42"/>
      <c r="R97" s="42"/>
    </row>
    <row r="98" customFormat="false" ht="12" hidden="false" customHeight="true" outlineLevel="0" collapsed="false">
      <c r="A98" s="42"/>
      <c r="B98" s="42"/>
      <c r="C98" s="67" t="s">
        <v>121</v>
      </c>
      <c r="D98" s="70"/>
      <c r="E98" s="70"/>
      <c r="F98" s="68"/>
      <c r="G98" s="42" t="s">
        <v>122</v>
      </c>
      <c r="H98" s="42"/>
      <c r="I98" s="42"/>
      <c r="J98" s="42"/>
      <c r="K98" s="42"/>
      <c r="L98" s="42"/>
      <c r="M98" s="42"/>
      <c r="N98" s="42"/>
      <c r="O98" s="42"/>
      <c r="P98" s="42"/>
      <c r="Q98" s="42"/>
      <c r="R98" s="42"/>
    </row>
    <row r="99" customFormat="false" ht="12" hidden="false" customHeight="true" outlineLevel="0" collapsed="false">
      <c r="A99" s="42"/>
      <c r="B99" s="42"/>
      <c r="C99" s="42" t="s">
        <v>123</v>
      </c>
      <c r="D99" s="42"/>
      <c r="E99" s="42"/>
      <c r="F99" s="42"/>
      <c r="G99" s="42"/>
      <c r="H99" s="42"/>
      <c r="I99" s="42"/>
      <c r="J99" s="42"/>
      <c r="K99" s="42"/>
      <c r="L99" s="42"/>
      <c r="M99" s="42"/>
      <c r="N99" s="42"/>
      <c r="O99" s="42"/>
      <c r="P99" s="42"/>
      <c r="Q99" s="42"/>
      <c r="R99" s="42"/>
    </row>
    <row r="100" customFormat="false" ht="12" hidden="false" customHeight="true" outlineLevel="0" collapsed="false">
      <c r="A100" s="42"/>
      <c r="B100" s="42"/>
      <c r="C100" s="42" t="s">
        <v>124</v>
      </c>
      <c r="D100" s="42"/>
      <c r="E100" s="42"/>
      <c r="F100" s="42"/>
      <c r="G100" s="42"/>
      <c r="H100" s="42"/>
      <c r="I100" s="42"/>
      <c r="J100" s="42"/>
      <c r="K100" s="42"/>
      <c r="L100" s="42"/>
      <c r="M100" s="42"/>
      <c r="N100" s="42"/>
      <c r="O100" s="42"/>
      <c r="P100" s="42"/>
      <c r="Q100" s="42"/>
      <c r="R100" s="42"/>
    </row>
    <row r="101" customFormat="false" ht="12" hidden="false" customHeight="true" outlineLevel="0" collapsed="false">
      <c r="A101" s="42"/>
      <c r="B101" s="42"/>
      <c r="C101" s="42" t="s">
        <v>125</v>
      </c>
      <c r="D101" s="42"/>
      <c r="E101" s="42"/>
      <c r="F101" s="42"/>
      <c r="G101" s="42"/>
      <c r="H101" s="42"/>
      <c r="I101" s="42"/>
      <c r="J101" s="42"/>
      <c r="K101" s="42"/>
      <c r="L101" s="42"/>
      <c r="M101" s="42"/>
      <c r="N101" s="42"/>
      <c r="O101" s="42"/>
      <c r="P101" s="42"/>
      <c r="Q101" s="42"/>
      <c r="R101" s="42"/>
    </row>
    <row r="102" customFormat="false" ht="12" hidden="false" customHeight="true" outlineLevel="0" collapsed="false">
      <c r="A102" s="42"/>
      <c r="B102" s="42"/>
      <c r="C102" s="42" t="s">
        <v>126</v>
      </c>
      <c r="D102" s="42"/>
      <c r="E102" s="42"/>
      <c r="F102" s="42"/>
      <c r="G102" s="42"/>
      <c r="H102" s="42"/>
      <c r="I102" s="42"/>
      <c r="J102" s="42"/>
      <c r="K102" s="42"/>
      <c r="L102" s="42"/>
      <c r="M102" s="42"/>
      <c r="N102" s="42"/>
      <c r="O102" s="42"/>
      <c r="P102" s="42"/>
      <c r="Q102" s="42"/>
      <c r="R102" s="42"/>
    </row>
    <row r="103" customFormat="false" ht="12" hidden="false" customHeight="true" outlineLevel="0" collapsed="false">
      <c r="A103" s="42"/>
      <c r="B103" s="42"/>
      <c r="C103" s="42"/>
      <c r="D103" s="42"/>
      <c r="E103" s="42"/>
      <c r="F103" s="42"/>
      <c r="G103" s="42"/>
      <c r="H103" s="42"/>
      <c r="I103" s="42"/>
      <c r="J103" s="42"/>
      <c r="K103" s="42"/>
      <c r="L103" s="42"/>
      <c r="M103" s="42"/>
      <c r="N103" s="42"/>
      <c r="O103" s="42"/>
      <c r="P103" s="42"/>
      <c r="Q103" s="42"/>
      <c r="R103" s="42"/>
    </row>
    <row r="104" customFormat="false" ht="12" hidden="false" customHeight="true" outlineLevel="0" collapsed="false">
      <c r="A104" s="42"/>
      <c r="B104" s="42"/>
      <c r="C104" s="42"/>
      <c r="D104" s="42"/>
      <c r="E104" s="42"/>
      <c r="F104" s="42"/>
      <c r="G104" s="42"/>
      <c r="H104" s="42"/>
      <c r="I104" s="42"/>
      <c r="J104" s="42"/>
      <c r="K104" s="42"/>
      <c r="L104" s="42"/>
      <c r="M104" s="42"/>
      <c r="N104" s="42"/>
      <c r="O104" s="42"/>
      <c r="P104" s="42"/>
      <c r="Q104" s="42"/>
      <c r="R104" s="42"/>
    </row>
    <row r="105" customFormat="false" ht="12" hidden="false" customHeight="true" outlineLevel="0" collapsed="false">
      <c r="A105" s="42"/>
      <c r="B105" s="42"/>
      <c r="C105" s="42"/>
      <c r="D105" s="42"/>
      <c r="E105" s="42"/>
      <c r="F105" s="42"/>
      <c r="G105" s="42"/>
      <c r="H105" s="42"/>
      <c r="I105" s="42"/>
      <c r="J105" s="42"/>
      <c r="K105" s="42"/>
      <c r="L105" s="42"/>
      <c r="M105" s="42"/>
      <c r="N105" s="42"/>
      <c r="O105" s="42"/>
      <c r="P105" s="42"/>
      <c r="Q105" s="42"/>
      <c r="R105" s="42"/>
    </row>
    <row r="106" customFormat="false" ht="12" hidden="false" customHeight="true" outlineLevel="0" collapsed="false">
      <c r="A106" s="42"/>
      <c r="B106" s="42"/>
      <c r="C106" s="42"/>
      <c r="D106" s="42"/>
      <c r="E106" s="42"/>
      <c r="F106" s="42"/>
      <c r="G106" s="42"/>
      <c r="H106" s="42"/>
      <c r="I106" s="42"/>
      <c r="J106" s="42"/>
      <c r="K106" s="42"/>
      <c r="L106" s="42"/>
      <c r="M106" s="42"/>
      <c r="N106" s="42"/>
      <c r="O106" s="42"/>
      <c r="P106" s="42"/>
      <c r="Q106" s="42"/>
      <c r="R106" s="42"/>
    </row>
    <row r="107" customFormat="false" ht="15" hidden="false" customHeight="true" outlineLevel="0" collapsed="false">
      <c r="A107" s="42"/>
      <c r="B107" s="44" t="s">
        <v>127</v>
      </c>
      <c r="C107" s="45"/>
      <c r="D107" s="42" t="s">
        <v>128</v>
      </c>
      <c r="E107" s="42"/>
      <c r="F107" s="42"/>
      <c r="G107" s="42"/>
      <c r="H107" s="42"/>
      <c r="I107" s="42"/>
      <c r="J107" s="42"/>
      <c r="K107" s="42"/>
      <c r="L107" s="42"/>
      <c r="M107" s="42"/>
      <c r="N107" s="42"/>
      <c r="O107" s="42"/>
      <c r="P107" s="42"/>
      <c r="Q107" s="42"/>
      <c r="R107" s="42"/>
      <c r="S107" s="42"/>
    </row>
    <row r="108" customFormat="false" ht="12" hidden="false" customHeight="true" outlineLevel="0" collapsed="false">
      <c r="A108" s="42"/>
      <c r="B108" s="42"/>
      <c r="C108" s="42"/>
      <c r="D108" s="42"/>
      <c r="E108" s="42"/>
      <c r="F108" s="42"/>
      <c r="G108" s="42"/>
      <c r="H108" s="42"/>
      <c r="I108" s="42"/>
      <c r="J108" s="42"/>
      <c r="K108" s="42"/>
      <c r="L108" s="42"/>
      <c r="M108" s="42"/>
      <c r="N108" s="42"/>
      <c r="O108" s="42"/>
      <c r="P108" s="42"/>
      <c r="Q108" s="42"/>
      <c r="R108" s="42"/>
      <c r="S108" s="42"/>
    </row>
    <row r="109" customFormat="false" ht="12" hidden="false" customHeight="true" outlineLevel="0" collapsed="false">
      <c r="A109" s="42"/>
      <c r="B109" s="71" t="n">
        <v>1</v>
      </c>
      <c r="C109" s="42" t="s">
        <v>129</v>
      </c>
      <c r="D109" s="42"/>
      <c r="E109" s="42"/>
      <c r="F109" s="42"/>
      <c r="G109" s="42"/>
      <c r="H109" s="42"/>
      <c r="I109" s="42"/>
      <c r="J109" s="42"/>
      <c r="K109" s="42"/>
      <c r="L109" s="42"/>
      <c r="M109" s="42"/>
      <c r="N109" s="42"/>
      <c r="O109" s="42"/>
      <c r="P109" s="42"/>
      <c r="Q109" s="42"/>
      <c r="R109" s="42"/>
      <c r="S109" s="42"/>
    </row>
    <row r="110" customFormat="false" ht="12" hidden="false" customHeight="true" outlineLevel="0" collapsed="false">
      <c r="A110" s="42"/>
      <c r="B110" s="55"/>
      <c r="C110" s="42"/>
      <c r="D110" s="42"/>
      <c r="E110" s="42"/>
      <c r="F110" s="42"/>
      <c r="G110" s="42"/>
      <c r="H110" s="42"/>
      <c r="I110" s="42"/>
      <c r="J110" s="42"/>
      <c r="K110" s="42"/>
      <c r="L110" s="42"/>
      <c r="M110" s="42"/>
      <c r="N110" s="42"/>
      <c r="O110" s="42"/>
      <c r="P110" s="42"/>
      <c r="Q110" s="42"/>
      <c r="R110" s="42"/>
      <c r="S110" s="42"/>
    </row>
    <row r="111" customFormat="false" ht="12" hidden="false" customHeight="true" outlineLevel="0" collapsed="false">
      <c r="A111" s="42"/>
      <c r="B111" s="55" t="n">
        <v>2</v>
      </c>
      <c r="C111" s="42" t="s">
        <v>130</v>
      </c>
      <c r="D111" s="42"/>
      <c r="E111" s="42"/>
      <c r="F111" s="42"/>
      <c r="G111" s="42"/>
      <c r="H111" s="42"/>
      <c r="I111" s="42"/>
      <c r="J111" s="42"/>
      <c r="K111" s="42"/>
      <c r="L111" s="42"/>
      <c r="M111" s="42"/>
      <c r="N111" s="42"/>
      <c r="O111" s="42"/>
      <c r="P111" s="42"/>
      <c r="Q111" s="42"/>
      <c r="R111" s="42"/>
      <c r="S111" s="42"/>
    </row>
    <row r="112" customFormat="false" ht="12" hidden="false" customHeight="true" outlineLevel="0" collapsed="false">
      <c r="A112" s="42"/>
      <c r="B112" s="55"/>
      <c r="C112" s="42"/>
      <c r="D112" s="42"/>
      <c r="E112" s="42"/>
      <c r="F112" s="42"/>
      <c r="G112" s="42"/>
      <c r="H112" s="42"/>
      <c r="I112" s="42"/>
      <c r="J112" s="42"/>
      <c r="K112" s="42"/>
      <c r="L112" s="42"/>
      <c r="M112" s="42"/>
      <c r="N112" s="42"/>
      <c r="O112" s="42"/>
      <c r="P112" s="42"/>
      <c r="Q112" s="42"/>
      <c r="R112" s="42"/>
      <c r="S112" s="42"/>
    </row>
    <row r="113" customFormat="false" ht="12" hidden="false" customHeight="true" outlineLevel="0" collapsed="false">
      <c r="A113" s="42"/>
      <c r="B113" s="55" t="n">
        <v>3</v>
      </c>
      <c r="C113" s="42" t="s">
        <v>131</v>
      </c>
      <c r="D113" s="42"/>
      <c r="E113" s="42"/>
      <c r="F113" s="42"/>
      <c r="G113" s="42"/>
      <c r="H113" s="42"/>
      <c r="I113" s="42"/>
      <c r="J113" s="42"/>
      <c r="K113" s="42"/>
      <c r="L113" s="42"/>
      <c r="M113" s="42"/>
      <c r="N113" s="42"/>
      <c r="O113" s="42"/>
      <c r="P113" s="42"/>
      <c r="Q113" s="42"/>
      <c r="R113" s="42"/>
      <c r="S113" s="42"/>
    </row>
    <row r="114" customFormat="false" ht="12" hidden="false" customHeight="true" outlineLevel="0" collapsed="false">
      <c r="A114" s="42"/>
      <c r="B114" s="55"/>
      <c r="C114" s="42"/>
      <c r="D114" s="42"/>
      <c r="E114" s="42"/>
      <c r="F114" s="42"/>
      <c r="G114" s="42"/>
      <c r="H114" s="42"/>
      <c r="I114" s="42"/>
      <c r="J114" s="42"/>
      <c r="K114" s="42"/>
      <c r="L114" s="42"/>
      <c r="M114" s="42"/>
      <c r="N114" s="42"/>
      <c r="O114" s="42"/>
      <c r="P114" s="42"/>
      <c r="Q114" s="42"/>
      <c r="R114" s="42"/>
      <c r="S114" s="42"/>
    </row>
    <row r="115" customFormat="false" ht="12" hidden="false" customHeight="true" outlineLevel="0" collapsed="false">
      <c r="A115" s="42"/>
      <c r="B115" s="55" t="n">
        <v>4</v>
      </c>
      <c r="C115" s="42" t="s">
        <v>132</v>
      </c>
      <c r="D115" s="42"/>
      <c r="E115" s="42"/>
      <c r="F115" s="42"/>
      <c r="G115" s="42"/>
      <c r="H115" s="42"/>
      <c r="I115" s="42"/>
      <c r="J115" s="42"/>
      <c r="K115" s="42"/>
      <c r="L115" s="42"/>
      <c r="M115" s="42"/>
      <c r="N115" s="42"/>
      <c r="O115" s="42"/>
      <c r="P115" s="42"/>
      <c r="Q115" s="42"/>
      <c r="R115" s="42"/>
      <c r="S115" s="42"/>
    </row>
    <row r="116" customFormat="false" ht="12" hidden="false" customHeight="true" outlineLevel="0" collapsed="false">
      <c r="A116" s="42"/>
      <c r="B116" s="55"/>
      <c r="C116" s="42"/>
      <c r="D116" s="42"/>
      <c r="E116" s="42"/>
      <c r="F116" s="42"/>
      <c r="G116" s="42"/>
      <c r="H116" s="42"/>
      <c r="I116" s="42"/>
      <c r="J116" s="42"/>
      <c r="K116" s="42"/>
      <c r="L116" s="42"/>
      <c r="M116" s="42"/>
      <c r="N116" s="42"/>
      <c r="O116" s="42"/>
      <c r="P116" s="42"/>
      <c r="Q116" s="42"/>
      <c r="R116" s="42"/>
      <c r="S116" s="42"/>
    </row>
    <row r="117" customFormat="false" ht="12" hidden="false" customHeight="true" outlineLevel="0" collapsed="false">
      <c r="A117" s="42"/>
      <c r="B117" s="55" t="n">
        <v>5</v>
      </c>
      <c r="C117" s="42" t="s">
        <v>133</v>
      </c>
      <c r="D117" s="42"/>
      <c r="E117" s="42"/>
      <c r="F117" s="42"/>
      <c r="G117" s="42"/>
      <c r="H117" s="42"/>
      <c r="I117" s="42"/>
      <c r="J117" s="42"/>
      <c r="K117" s="42"/>
      <c r="L117" s="42"/>
      <c r="M117" s="42"/>
      <c r="N117" s="42"/>
      <c r="O117" s="42"/>
      <c r="P117" s="42"/>
      <c r="Q117" s="42"/>
      <c r="R117" s="42"/>
      <c r="S117" s="42"/>
    </row>
    <row r="118" customFormat="false" ht="12" hidden="false" customHeight="true" outlineLevel="0" collapsed="false">
      <c r="A118" s="42"/>
      <c r="B118" s="55"/>
      <c r="C118" s="42" t="s">
        <v>134</v>
      </c>
      <c r="D118" s="42"/>
      <c r="E118" s="42"/>
      <c r="F118" s="42"/>
      <c r="G118" s="42"/>
      <c r="H118" s="42"/>
      <c r="I118" s="42"/>
      <c r="J118" s="42"/>
      <c r="K118" s="42"/>
      <c r="L118" s="42"/>
      <c r="M118" s="42"/>
      <c r="N118" s="42"/>
      <c r="O118" s="42"/>
      <c r="P118" s="42"/>
      <c r="Q118" s="42"/>
      <c r="R118" s="42"/>
      <c r="S118" s="42"/>
    </row>
    <row r="119" customFormat="false" ht="12" hidden="false" customHeight="true" outlineLevel="0" collapsed="false">
      <c r="A119" s="42"/>
      <c r="B119" s="55"/>
      <c r="C119" s="42"/>
      <c r="D119" s="42"/>
      <c r="E119" s="42"/>
      <c r="F119" s="42"/>
      <c r="G119" s="42"/>
      <c r="H119" s="42"/>
      <c r="I119" s="42"/>
      <c r="J119" s="42"/>
      <c r="K119" s="42"/>
      <c r="L119" s="42"/>
      <c r="M119" s="42"/>
      <c r="N119" s="42"/>
      <c r="O119" s="42"/>
      <c r="P119" s="42"/>
      <c r="Q119" s="42"/>
      <c r="R119" s="42"/>
      <c r="S119" s="42"/>
    </row>
    <row r="120" customFormat="false" ht="12" hidden="false" customHeight="true" outlineLevel="0" collapsed="false">
      <c r="A120" s="42"/>
      <c r="B120" s="55" t="n">
        <v>6</v>
      </c>
      <c r="C120" s="42" t="s">
        <v>135</v>
      </c>
      <c r="D120" s="42"/>
      <c r="E120" s="42"/>
      <c r="F120" s="42"/>
      <c r="G120" s="42"/>
      <c r="H120" s="42"/>
      <c r="I120" s="42"/>
      <c r="J120" s="42"/>
      <c r="K120" s="42"/>
      <c r="L120" s="42"/>
      <c r="M120" s="42"/>
      <c r="N120" s="42"/>
      <c r="O120" s="42"/>
      <c r="P120" s="42"/>
      <c r="Q120" s="42"/>
      <c r="R120" s="42"/>
      <c r="S120" s="42"/>
    </row>
    <row r="121" customFormat="false" ht="12" hidden="false" customHeight="true" outlineLevel="0" collapsed="false">
      <c r="A121" s="42"/>
      <c r="B121" s="55"/>
      <c r="C121" s="42"/>
      <c r="D121" s="42"/>
      <c r="E121" s="42"/>
      <c r="F121" s="42"/>
      <c r="G121" s="42"/>
      <c r="H121" s="42"/>
      <c r="I121" s="42"/>
      <c r="J121" s="42"/>
      <c r="K121" s="42"/>
      <c r="L121" s="42"/>
      <c r="M121" s="42"/>
      <c r="N121" s="42"/>
      <c r="O121" s="42"/>
      <c r="P121" s="42"/>
      <c r="Q121" s="42"/>
      <c r="R121" s="42"/>
      <c r="S121" s="42"/>
    </row>
    <row r="122" customFormat="false" ht="12" hidden="false" customHeight="true" outlineLevel="0" collapsed="false">
      <c r="A122" s="42"/>
      <c r="B122" s="55" t="n">
        <v>7</v>
      </c>
      <c r="C122" s="42" t="s">
        <v>136</v>
      </c>
      <c r="D122" s="42"/>
      <c r="E122" s="42"/>
      <c r="F122" s="42"/>
      <c r="G122" s="42"/>
      <c r="H122" s="42"/>
      <c r="I122" s="42"/>
      <c r="J122" s="42"/>
      <c r="K122" s="42"/>
      <c r="L122" s="42"/>
      <c r="M122" s="42"/>
      <c r="N122" s="42"/>
      <c r="O122" s="42"/>
      <c r="P122" s="42"/>
      <c r="Q122" s="42"/>
      <c r="R122" s="42"/>
      <c r="S122" s="42"/>
    </row>
    <row r="123" customFormat="false" ht="12" hidden="false" customHeight="true" outlineLevel="0" collapsed="false">
      <c r="A123" s="42"/>
      <c r="B123" s="42"/>
      <c r="C123" s="42"/>
      <c r="D123" s="42"/>
      <c r="E123" s="42"/>
      <c r="F123" s="42"/>
      <c r="G123" s="42"/>
      <c r="H123" s="42"/>
      <c r="I123" s="42"/>
      <c r="J123" s="42"/>
      <c r="K123" s="42"/>
      <c r="L123" s="42"/>
      <c r="M123" s="42"/>
      <c r="N123" s="42"/>
      <c r="O123" s="42"/>
      <c r="P123" s="42"/>
      <c r="Q123" s="42"/>
      <c r="R123" s="42"/>
      <c r="S123" s="42"/>
    </row>
    <row r="124" customFormat="false" ht="12" hidden="false" customHeight="true" outlineLevel="0" collapsed="false">
      <c r="A124" s="42"/>
      <c r="B124" s="55" t="n">
        <v>8</v>
      </c>
      <c r="C124" s="42" t="s">
        <v>137</v>
      </c>
      <c r="D124" s="42"/>
      <c r="E124" s="42"/>
      <c r="F124" s="42"/>
      <c r="G124" s="42"/>
      <c r="H124" s="42"/>
      <c r="I124" s="42"/>
      <c r="J124" s="42"/>
      <c r="K124" s="42"/>
      <c r="L124" s="42"/>
      <c r="M124" s="42"/>
      <c r="N124" s="42"/>
      <c r="O124" s="42"/>
      <c r="P124" s="42"/>
      <c r="Q124" s="42"/>
      <c r="R124" s="42"/>
      <c r="S124" s="42"/>
    </row>
    <row r="125" customFormat="false" ht="12" hidden="false" customHeight="true" outlineLevel="0" collapsed="false">
      <c r="A125" s="42"/>
      <c r="B125" s="42"/>
      <c r="C125" s="42"/>
      <c r="D125" s="42"/>
      <c r="E125" s="42"/>
      <c r="F125" s="42"/>
      <c r="G125" s="42"/>
      <c r="H125" s="42"/>
      <c r="I125" s="42"/>
      <c r="J125" s="42"/>
      <c r="K125" s="42"/>
      <c r="L125" s="42"/>
      <c r="M125" s="42"/>
      <c r="N125" s="42"/>
      <c r="O125" s="42"/>
      <c r="P125" s="42"/>
      <c r="Q125" s="42"/>
      <c r="R125" s="42"/>
      <c r="S125" s="42"/>
    </row>
    <row r="126" customFormat="false" ht="12" hidden="false" customHeight="true" outlineLevel="0" collapsed="false">
      <c r="A126" s="42"/>
      <c r="B126" s="55" t="n">
        <v>9</v>
      </c>
      <c r="C126" s="42" t="s">
        <v>138</v>
      </c>
      <c r="D126" s="42"/>
      <c r="E126" s="42"/>
      <c r="F126" s="42"/>
      <c r="G126" s="42"/>
      <c r="H126" s="42"/>
      <c r="I126" s="42"/>
      <c r="J126" s="42"/>
      <c r="K126" s="42"/>
      <c r="L126" s="42"/>
      <c r="M126" s="42"/>
      <c r="N126" s="42"/>
      <c r="O126" s="42"/>
      <c r="P126" s="42"/>
      <c r="Q126" s="42"/>
      <c r="R126" s="42"/>
      <c r="S126" s="42"/>
    </row>
    <row r="127" customFormat="false" ht="12" hidden="false" customHeight="true" outlineLevel="0" collapsed="false">
      <c r="A127" s="42"/>
      <c r="B127" s="42"/>
      <c r="C127" s="42"/>
      <c r="D127" s="42"/>
      <c r="E127" s="42"/>
      <c r="F127" s="42"/>
      <c r="G127" s="42"/>
      <c r="H127" s="42"/>
      <c r="I127" s="42"/>
      <c r="J127" s="42"/>
      <c r="K127" s="42"/>
      <c r="L127" s="42"/>
      <c r="M127" s="42"/>
      <c r="N127" s="42"/>
      <c r="O127" s="42"/>
      <c r="P127" s="42"/>
      <c r="Q127" s="42"/>
      <c r="R127" s="42"/>
      <c r="S127" s="42"/>
    </row>
    <row r="128" customFormat="false" ht="12" hidden="false" customHeight="true" outlineLevel="0" collapsed="false">
      <c r="B128" s="42"/>
      <c r="C128" s="42"/>
      <c r="D128" s="42"/>
      <c r="E128" s="42"/>
      <c r="F128" s="42"/>
      <c r="G128" s="42"/>
      <c r="H128" s="42"/>
      <c r="I128" s="42"/>
      <c r="J128" s="42"/>
      <c r="K128" s="42"/>
      <c r="L128" s="42"/>
      <c r="M128" s="42"/>
      <c r="N128" s="42"/>
      <c r="O128" s="42"/>
      <c r="P128" s="42"/>
      <c r="Q128" s="42"/>
      <c r="R128" s="42"/>
      <c r="S128" s="42"/>
    </row>
    <row r="129" customFormat="false" ht="15" hidden="false" customHeight="true" outlineLevel="0" collapsed="false">
      <c r="A129" s="42"/>
      <c r="B129" s="44" t="s">
        <v>139</v>
      </c>
      <c r="C129" s="45"/>
      <c r="D129" s="42" t="s">
        <v>140</v>
      </c>
      <c r="E129" s="42"/>
      <c r="F129" s="42"/>
      <c r="G129" s="42"/>
      <c r="H129" s="42"/>
      <c r="I129" s="42"/>
      <c r="J129" s="42"/>
      <c r="K129" s="42"/>
      <c r="L129" s="42"/>
      <c r="M129" s="42"/>
      <c r="N129" s="42"/>
      <c r="O129" s="42"/>
      <c r="P129" s="42"/>
      <c r="Q129" s="42"/>
      <c r="R129" s="42"/>
      <c r="S129" s="42"/>
    </row>
    <row r="130" customFormat="false" ht="12" hidden="false" customHeight="true" outlineLevel="0" collapsed="false">
      <c r="A130" s="42"/>
      <c r="B130" s="42"/>
      <c r="C130" s="42"/>
      <c r="D130" s="42"/>
      <c r="E130" s="42"/>
      <c r="F130" s="42"/>
      <c r="G130" s="42"/>
      <c r="H130" s="42"/>
      <c r="I130" s="42"/>
      <c r="J130" s="42"/>
      <c r="K130" s="42"/>
      <c r="L130" s="42"/>
      <c r="M130" s="42"/>
      <c r="N130" s="42"/>
      <c r="O130" s="42"/>
      <c r="P130" s="42"/>
      <c r="Q130" s="42"/>
      <c r="R130" s="42"/>
      <c r="S130" s="42"/>
    </row>
    <row r="131" customFormat="false" ht="12" hidden="false" customHeight="true" outlineLevel="0" collapsed="false">
      <c r="A131" s="55"/>
      <c r="B131" s="72" t="s">
        <v>141</v>
      </c>
      <c r="C131" s="72" t="s">
        <v>142</v>
      </c>
      <c r="D131" s="73" t="s">
        <v>143</v>
      </c>
      <c r="E131" s="74"/>
      <c r="F131" s="75"/>
      <c r="G131" s="75"/>
      <c r="H131" s="75"/>
      <c r="I131" s="75"/>
      <c r="J131" s="75"/>
      <c r="K131" s="75"/>
      <c r="L131" s="75"/>
      <c r="M131" s="75"/>
      <c r="N131" s="75"/>
      <c r="O131" s="76"/>
      <c r="P131" s="42"/>
      <c r="Q131" s="42"/>
      <c r="R131" s="42"/>
      <c r="S131" s="42"/>
    </row>
    <row r="132" customFormat="false" ht="12" hidden="false" customHeight="true" outlineLevel="0" collapsed="false">
      <c r="A132" s="42"/>
      <c r="B132" s="77" t="n">
        <v>2</v>
      </c>
      <c r="C132" s="78" t="n">
        <v>38382</v>
      </c>
      <c r="D132" s="79" t="s">
        <v>144</v>
      </c>
      <c r="E132" s="75"/>
      <c r="F132" s="75"/>
      <c r="G132" s="75"/>
      <c r="H132" s="75"/>
      <c r="I132" s="75"/>
      <c r="J132" s="75"/>
      <c r="K132" s="75"/>
      <c r="L132" s="75"/>
      <c r="M132" s="75"/>
      <c r="N132" s="75"/>
      <c r="O132" s="76"/>
      <c r="P132" s="42"/>
      <c r="Q132" s="42"/>
      <c r="R132" s="42"/>
      <c r="S132" s="42"/>
    </row>
    <row r="133" customFormat="false" ht="12" hidden="false" customHeight="true" outlineLevel="0" collapsed="false">
      <c r="A133" s="42"/>
      <c r="B133" s="80" t="n">
        <v>2.1</v>
      </c>
      <c r="C133" s="78" t="n">
        <v>38390</v>
      </c>
      <c r="D133" s="81" t="s">
        <v>145</v>
      </c>
      <c r="E133" s="75"/>
      <c r="F133" s="75"/>
      <c r="G133" s="75"/>
      <c r="H133" s="75"/>
      <c r="I133" s="75"/>
      <c r="J133" s="75"/>
      <c r="K133" s="75"/>
      <c r="L133" s="75"/>
      <c r="M133" s="75"/>
      <c r="N133" s="75"/>
      <c r="O133" s="76"/>
      <c r="P133" s="42"/>
      <c r="Q133" s="42"/>
      <c r="R133" s="42"/>
      <c r="S133" s="42"/>
    </row>
    <row r="134" customFormat="false" ht="12" hidden="false" customHeight="true" outlineLevel="0" collapsed="false">
      <c r="A134" s="42"/>
      <c r="B134" s="80" t="s">
        <v>146</v>
      </c>
      <c r="C134" s="78" t="n">
        <v>38395</v>
      </c>
      <c r="D134" s="81" t="s">
        <v>147</v>
      </c>
      <c r="E134" s="75"/>
      <c r="F134" s="75"/>
      <c r="G134" s="75"/>
      <c r="H134" s="75"/>
      <c r="I134" s="75"/>
      <c r="J134" s="75"/>
      <c r="K134" s="75"/>
      <c r="L134" s="75"/>
      <c r="M134" s="75"/>
      <c r="N134" s="75"/>
      <c r="O134" s="76"/>
      <c r="P134" s="42"/>
      <c r="Q134" s="42"/>
      <c r="R134" s="42"/>
      <c r="S134" s="42"/>
    </row>
    <row r="135" customFormat="false" ht="12" hidden="false" customHeight="true" outlineLevel="0" collapsed="false">
      <c r="A135" s="42"/>
      <c r="B135" s="80" t="s">
        <v>148</v>
      </c>
      <c r="C135" s="78" t="n">
        <v>38404</v>
      </c>
      <c r="D135" s="81" t="s">
        <v>149</v>
      </c>
      <c r="E135" s="75"/>
      <c r="F135" s="75"/>
      <c r="G135" s="75"/>
      <c r="H135" s="75"/>
      <c r="I135" s="75"/>
      <c r="J135" s="75"/>
      <c r="K135" s="75"/>
      <c r="L135" s="75"/>
      <c r="M135" s="75"/>
      <c r="N135" s="75"/>
      <c r="O135" s="76"/>
      <c r="P135" s="42"/>
      <c r="Q135" s="42"/>
      <c r="R135" s="42"/>
      <c r="S135" s="42"/>
    </row>
    <row r="136" customFormat="false" ht="12" hidden="false" customHeight="true" outlineLevel="0" collapsed="false">
      <c r="A136" s="42"/>
      <c r="B136" s="80" t="s">
        <v>150</v>
      </c>
      <c r="C136" s="78" t="n">
        <v>38409</v>
      </c>
      <c r="D136" s="81" t="s">
        <v>151</v>
      </c>
      <c r="E136" s="75"/>
      <c r="F136" s="75"/>
      <c r="G136" s="75"/>
      <c r="H136" s="75"/>
      <c r="I136" s="75"/>
      <c r="J136" s="75"/>
      <c r="K136" s="75"/>
      <c r="L136" s="75"/>
      <c r="M136" s="75"/>
      <c r="N136" s="75"/>
      <c r="O136" s="76"/>
      <c r="P136" s="42"/>
      <c r="Q136" s="42"/>
      <c r="R136" s="42"/>
      <c r="S136" s="42"/>
    </row>
    <row r="137" customFormat="false" ht="12" hidden="false" customHeight="true" outlineLevel="0" collapsed="false">
      <c r="A137" s="42"/>
      <c r="B137" s="80" t="s">
        <v>152</v>
      </c>
      <c r="C137" s="78" t="n">
        <v>38410</v>
      </c>
      <c r="D137" s="81" t="s">
        <v>153</v>
      </c>
      <c r="E137" s="75"/>
      <c r="F137" s="75"/>
      <c r="G137" s="75"/>
      <c r="H137" s="75"/>
      <c r="I137" s="75"/>
      <c r="J137" s="75"/>
      <c r="K137" s="75"/>
      <c r="L137" s="75"/>
      <c r="M137" s="75"/>
      <c r="N137" s="75"/>
      <c r="O137" s="76"/>
      <c r="P137" s="42"/>
      <c r="Q137" s="42"/>
      <c r="R137" s="42"/>
      <c r="S137" s="42"/>
    </row>
    <row r="138" customFormat="false" ht="12" hidden="false" customHeight="true" outlineLevel="0" collapsed="false">
      <c r="A138" s="42"/>
      <c r="B138" s="80" t="n">
        <v>2.2</v>
      </c>
      <c r="C138" s="78" t="n">
        <v>38410</v>
      </c>
      <c r="D138" s="81" t="s">
        <v>154</v>
      </c>
      <c r="E138" s="75"/>
      <c r="F138" s="75"/>
      <c r="G138" s="75"/>
      <c r="H138" s="75"/>
      <c r="I138" s="75"/>
      <c r="J138" s="75"/>
      <c r="K138" s="75"/>
      <c r="L138" s="75"/>
      <c r="M138" s="75"/>
      <c r="N138" s="75"/>
      <c r="O138" s="76"/>
      <c r="P138" s="42"/>
      <c r="Q138" s="42"/>
      <c r="R138" s="42"/>
      <c r="S138" s="42"/>
    </row>
    <row r="139" customFormat="false" ht="12" hidden="false" customHeight="true" outlineLevel="0" collapsed="false">
      <c r="A139" s="42"/>
      <c r="B139" s="80" t="s">
        <v>155</v>
      </c>
      <c r="C139" s="78" t="n">
        <v>38487</v>
      </c>
      <c r="D139" s="81" t="s">
        <v>156</v>
      </c>
      <c r="E139" s="75"/>
      <c r="F139" s="75"/>
      <c r="G139" s="75"/>
      <c r="H139" s="75"/>
      <c r="I139" s="75"/>
      <c r="J139" s="75"/>
      <c r="K139" s="75"/>
      <c r="L139" s="75"/>
      <c r="M139" s="75"/>
      <c r="N139" s="75"/>
      <c r="O139" s="76"/>
      <c r="P139" s="42"/>
      <c r="Q139" s="42"/>
      <c r="R139" s="42"/>
      <c r="S139" s="42"/>
    </row>
    <row r="140" customFormat="false" ht="12" hidden="false" customHeight="true" outlineLevel="0" collapsed="false">
      <c r="A140" s="42"/>
      <c r="B140" s="80" t="s">
        <v>157</v>
      </c>
      <c r="C140" s="78" t="n">
        <v>38526</v>
      </c>
      <c r="D140" s="81" t="s">
        <v>158</v>
      </c>
      <c r="E140" s="75"/>
      <c r="F140" s="75"/>
      <c r="G140" s="75"/>
      <c r="H140" s="75"/>
      <c r="I140" s="75"/>
      <c r="J140" s="75"/>
      <c r="K140" s="75"/>
      <c r="L140" s="75"/>
      <c r="M140" s="75"/>
      <c r="N140" s="75"/>
      <c r="O140" s="76"/>
      <c r="P140" s="42"/>
      <c r="Q140" s="42"/>
      <c r="R140" s="42"/>
      <c r="S140" s="42"/>
    </row>
    <row r="141" customFormat="false" ht="12" hidden="false" customHeight="true" outlineLevel="0" collapsed="false">
      <c r="A141" s="42"/>
      <c r="B141" s="80" t="n">
        <v>2.3</v>
      </c>
      <c r="C141" s="78" t="n">
        <v>38549</v>
      </c>
      <c r="D141" s="81" t="s">
        <v>159</v>
      </c>
      <c r="E141" s="75"/>
      <c r="F141" s="75"/>
      <c r="G141" s="75"/>
      <c r="H141" s="75"/>
      <c r="I141" s="75"/>
      <c r="J141" s="75"/>
      <c r="K141" s="75"/>
      <c r="L141" s="75"/>
      <c r="M141" s="75"/>
      <c r="N141" s="75"/>
      <c r="O141" s="76"/>
      <c r="P141" s="42"/>
      <c r="Q141" s="42"/>
      <c r="R141" s="42"/>
      <c r="S141" s="42"/>
    </row>
    <row r="142" customFormat="false" ht="12" hidden="false" customHeight="true" outlineLevel="0" collapsed="false">
      <c r="A142" s="42"/>
      <c r="B142" s="80" t="s">
        <v>160</v>
      </c>
      <c r="C142" s="78" t="n">
        <v>38623</v>
      </c>
      <c r="D142" s="81" t="s">
        <v>161</v>
      </c>
      <c r="E142" s="75"/>
      <c r="F142" s="75"/>
      <c r="G142" s="75"/>
      <c r="H142" s="75"/>
      <c r="I142" s="75"/>
      <c r="J142" s="75"/>
      <c r="K142" s="75"/>
      <c r="L142" s="75"/>
      <c r="M142" s="75"/>
      <c r="N142" s="75"/>
      <c r="O142" s="76"/>
      <c r="P142" s="42"/>
      <c r="Q142" s="42"/>
      <c r="R142" s="42"/>
      <c r="S142" s="42"/>
    </row>
    <row r="143" customFormat="false" ht="12" hidden="false" customHeight="true" outlineLevel="0" collapsed="false">
      <c r="A143" s="42"/>
      <c r="B143" s="80" t="s">
        <v>162</v>
      </c>
      <c r="C143" s="78" t="n">
        <v>38629</v>
      </c>
      <c r="D143" s="81" t="s">
        <v>163</v>
      </c>
      <c r="E143" s="75"/>
      <c r="F143" s="75"/>
      <c r="G143" s="75"/>
      <c r="H143" s="75"/>
      <c r="I143" s="75"/>
      <c r="J143" s="75"/>
      <c r="K143" s="75"/>
      <c r="L143" s="75"/>
      <c r="M143" s="75"/>
      <c r="N143" s="75"/>
      <c r="O143" s="76"/>
      <c r="P143" s="42"/>
      <c r="Q143" s="42"/>
      <c r="R143" s="42"/>
      <c r="S143" s="42"/>
    </row>
    <row r="144" customFormat="false" ht="12" hidden="false" customHeight="true" outlineLevel="0" collapsed="false">
      <c r="A144" s="42"/>
      <c r="B144" s="80" t="n">
        <v>2.4</v>
      </c>
      <c r="C144" s="78" t="n">
        <v>39012</v>
      </c>
      <c r="D144" s="81" t="s">
        <v>164</v>
      </c>
      <c r="E144" s="75"/>
      <c r="F144" s="75"/>
      <c r="G144" s="75"/>
      <c r="H144" s="75"/>
      <c r="I144" s="75"/>
      <c r="J144" s="75"/>
      <c r="K144" s="75"/>
      <c r="L144" s="75"/>
      <c r="M144" s="75"/>
      <c r="N144" s="75"/>
      <c r="O144" s="76"/>
      <c r="P144" s="42"/>
      <c r="Q144" s="42"/>
      <c r="R144" s="42"/>
      <c r="S144" s="42"/>
    </row>
    <row r="145" customFormat="false" ht="12" hidden="false" customHeight="true" outlineLevel="0" collapsed="false">
      <c r="A145" s="42"/>
      <c r="B145" s="80" t="n">
        <v>2.5</v>
      </c>
      <c r="C145" s="82" t="s">
        <v>165</v>
      </c>
      <c r="D145" s="81" t="s">
        <v>166</v>
      </c>
      <c r="E145" s="75"/>
      <c r="F145" s="75"/>
      <c r="G145" s="75"/>
      <c r="H145" s="75"/>
      <c r="I145" s="75"/>
      <c r="J145" s="75"/>
      <c r="K145" s="75"/>
      <c r="L145" s="75"/>
      <c r="M145" s="75"/>
      <c r="N145" s="75"/>
      <c r="O145" s="76"/>
      <c r="P145" s="42"/>
      <c r="Q145" s="42"/>
      <c r="R145" s="42"/>
      <c r="S145" s="42"/>
    </row>
    <row r="146" customFormat="false" ht="12" hidden="false" customHeight="true" outlineLevel="0" collapsed="false">
      <c r="A146" s="42"/>
      <c r="B146" s="80" t="s">
        <v>167</v>
      </c>
      <c r="C146" s="78" t="n">
        <v>39513</v>
      </c>
      <c r="D146" s="81" t="s">
        <v>168</v>
      </c>
      <c r="E146" s="75"/>
      <c r="F146" s="75"/>
      <c r="G146" s="75"/>
      <c r="H146" s="75"/>
      <c r="I146" s="75"/>
      <c r="J146" s="75"/>
      <c r="K146" s="75"/>
      <c r="L146" s="75"/>
      <c r="M146" s="75"/>
      <c r="N146" s="75"/>
      <c r="O146" s="76"/>
      <c r="P146" s="42"/>
      <c r="Q146" s="42"/>
      <c r="R146" s="42"/>
      <c r="S146" s="42"/>
    </row>
    <row r="147" customFormat="false" ht="12" hidden="false" customHeight="true" outlineLevel="0" collapsed="false">
      <c r="A147" s="42"/>
      <c r="B147" s="80" t="s">
        <v>169</v>
      </c>
      <c r="C147" s="78" t="n">
        <v>39525</v>
      </c>
      <c r="D147" s="81" t="s">
        <v>170</v>
      </c>
      <c r="E147" s="75"/>
      <c r="F147" s="75"/>
      <c r="G147" s="75"/>
      <c r="H147" s="75"/>
      <c r="I147" s="75"/>
      <c r="J147" s="75"/>
      <c r="K147" s="75"/>
      <c r="L147" s="75"/>
      <c r="M147" s="75"/>
      <c r="N147" s="75"/>
      <c r="O147" s="76"/>
      <c r="P147" s="42"/>
      <c r="Q147" s="42"/>
      <c r="R147" s="42"/>
      <c r="S147" s="42"/>
    </row>
    <row r="148" customFormat="false" ht="12" hidden="false" customHeight="true" outlineLevel="0" collapsed="false">
      <c r="A148" s="42"/>
      <c r="B148" s="80" t="s">
        <v>171</v>
      </c>
      <c r="C148" s="78" t="n">
        <v>39799</v>
      </c>
      <c r="D148" s="81" t="s">
        <v>172</v>
      </c>
      <c r="E148" s="75"/>
      <c r="F148" s="75"/>
      <c r="G148" s="75"/>
      <c r="H148" s="75"/>
      <c r="I148" s="75"/>
      <c r="J148" s="75"/>
      <c r="K148" s="75"/>
      <c r="L148" s="75"/>
      <c r="M148" s="75"/>
      <c r="N148" s="75"/>
      <c r="O148" s="76"/>
      <c r="P148" s="42"/>
      <c r="Q148" s="42"/>
      <c r="R148" s="42"/>
      <c r="S148" s="42"/>
    </row>
    <row r="149" customFormat="false" ht="12" hidden="false" customHeight="true" outlineLevel="0" collapsed="false">
      <c r="A149" s="42"/>
      <c r="B149" s="80" t="s">
        <v>173</v>
      </c>
      <c r="C149" s="78" t="n">
        <v>41709</v>
      </c>
      <c r="D149" s="81" t="s">
        <v>174</v>
      </c>
      <c r="E149" s="75"/>
      <c r="F149" s="75"/>
      <c r="G149" s="75"/>
      <c r="H149" s="75"/>
      <c r="I149" s="75"/>
      <c r="J149" s="75"/>
      <c r="K149" s="75"/>
      <c r="L149" s="75"/>
      <c r="M149" s="75"/>
      <c r="N149" s="75"/>
      <c r="O149" s="76"/>
      <c r="P149" s="42"/>
      <c r="Q149" s="42"/>
      <c r="R149" s="42"/>
      <c r="S149" s="42"/>
    </row>
    <row r="150" customFormat="false" ht="12" hidden="false" customHeight="true" outlineLevel="0" collapsed="false">
      <c r="A150" s="42"/>
      <c r="B150" s="83" t="s">
        <v>175</v>
      </c>
      <c r="C150" s="84" t="n">
        <v>42663</v>
      </c>
      <c r="D150" s="81" t="s">
        <v>176</v>
      </c>
      <c r="E150" s="75"/>
      <c r="F150" s="75"/>
      <c r="G150" s="75"/>
      <c r="H150" s="75"/>
      <c r="I150" s="75"/>
      <c r="J150" s="75"/>
      <c r="K150" s="75"/>
      <c r="L150" s="75"/>
      <c r="M150" s="75"/>
      <c r="N150" s="75"/>
      <c r="O150" s="76"/>
      <c r="P150" s="42"/>
      <c r="Q150" s="42"/>
      <c r="R150" s="42"/>
      <c r="S150" s="42"/>
    </row>
    <row r="151" customFormat="false" ht="12" hidden="false" customHeight="true" outlineLevel="0" collapsed="false">
      <c r="A151" s="42"/>
      <c r="B151" s="42"/>
      <c r="C151" s="42"/>
      <c r="D151" s="42"/>
      <c r="E151" s="42"/>
      <c r="F151" s="42"/>
      <c r="G151" s="42"/>
      <c r="H151" s="42"/>
      <c r="I151" s="42"/>
      <c r="J151" s="42"/>
      <c r="K151" s="42"/>
      <c r="L151" s="42"/>
      <c r="M151" s="42"/>
      <c r="N151" s="42"/>
      <c r="O151" s="42"/>
      <c r="P151" s="42"/>
      <c r="Q151" s="42"/>
      <c r="R151" s="42"/>
      <c r="S151" s="42"/>
    </row>
    <row r="152" customFormat="false" ht="12" hidden="false" customHeight="true" outlineLevel="0" collapsed="false">
      <c r="A152" s="42"/>
      <c r="B152" s="42"/>
      <c r="C152" s="42"/>
      <c r="D152" s="42"/>
      <c r="E152" s="42"/>
      <c r="F152" s="42"/>
      <c r="G152" s="42"/>
      <c r="H152" s="42"/>
      <c r="I152" s="42"/>
      <c r="J152" s="42"/>
      <c r="K152" s="42"/>
      <c r="L152" s="42"/>
      <c r="M152" s="42"/>
      <c r="N152" s="42"/>
      <c r="O152" s="42"/>
      <c r="P152" s="42"/>
      <c r="Q152" s="42"/>
      <c r="R152" s="42"/>
      <c r="S152" s="42"/>
    </row>
    <row r="153" customFormat="false" ht="12" hidden="false" customHeight="true" outlineLevel="0" collapsed="false">
      <c r="A153" s="42"/>
      <c r="B153" s="42"/>
      <c r="C153" s="42"/>
      <c r="D153" s="42"/>
      <c r="E153" s="42"/>
      <c r="F153" s="42"/>
      <c r="G153" s="42"/>
      <c r="H153" s="42"/>
      <c r="I153" s="42"/>
      <c r="J153" s="42"/>
      <c r="K153" s="42"/>
      <c r="L153" s="42"/>
      <c r="M153" s="42"/>
      <c r="N153" s="42"/>
      <c r="O153" s="42"/>
      <c r="P153" s="42"/>
      <c r="Q153" s="42"/>
      <c r="R153" s="42"/>
      <c r="S153" s="42"/>
    </row>
    <row r="154" customFormat="false" ht="12" hidden="false" customHeight="true" outlineLevel="0" collapsed="false">
      <c r="A154" s="42"/>
      <c r="B154" s="42"/>
      <c r="C154" s="42"/>
      <c r="D154" s="42"/>
      <c r="E154" s="42"/>
      <c r="F154" s="42"/>
      <c r="G154" s="42"/>
      <c r="H154" s="42"/>
      <c r="I154" s="42"/>
      <c r="J154" s="42"/>
      <c r="K154" s="42"/>
      <c r="L154" s="42"/>
      <c r="M154" s="42"/>
      <c r="N154" s="42"/>
      <c r="O154" s="42"/>
      <c r="P154" s="42"/>
      <c r="Q154" s="42"/>
      <c r="R154" s="42"/>
      <c r="S154" s="42"/>
    </row>
    <row r="155" customFormat="false" ht="12" hidden="false" customHeight="true" outlineLevel="0" collapsed="false">
      <c r="A155" s="42"/>
      <c r="B155" s="42"/>
      <c r="C155" s="42"/>
      <c r="D155" s="42"/>
      <c r="E155" s="42"/>
      <c r="F155" s="42"/>
      <c r="G155" s="42"/>
      <c r="H155" s="42"/>
      <c r="I155" s="42"/>
      <c r="J155" s="42"/>
      <c r="K155" s="42"/>
      <c r="L155" s="42"/>
      <c r="M155" s="42"/>
      <c r="N155" s="42"/>
      <c r="O155" s="42"/>
      <c r="P155" s="42"/>
      <c r="Q155" s="42"/>
      <c r="R155" s="42"/>
      <c r="S155" s="42"/>
    </row>
    <row r="156" customFormat="false" ht="12" hidden="false" customHeight="true" outlineLevel="0" collapsed="false">
      <c r="A156" s="42"/>
      <c r="B156" s="42"/>
      <c r="C156" s="42"/>
      <c r="D156" s="42"/>
      <c r="E156" s="42"/>
      <c r="F156" s="42"/>
      <c r="G156" s="42"/>
      <c r="H156" s="42"/>
      <c r="I156" s="42"/>
      <c r="J156" s="42"/>
      <c r="K156" s="42"/>
      <c r="L156" s="42"/>
      <c r="M156" s="42"/>
      <c r="N156" s="42"/>
      <c r="O156" s="42"/>
      <c r="P156" s="42"/>
      <c r="Q156" s="42"/>
      <c r="R156" s="42"/>
      <c r="S156" s="42"/>
    </row>
    <row r="157" customFormat="false" ht="12" hidden="false" customHeight="true" outlineLevel="0" collapsed="false">
      <c r="A157" s="42"/>
      <c r="B157" s="42"/>
      <c r="C157" s="42"/>
      <c r="D157" s="42"/>
      <c r="E157" s="42"/>
      <c r="F157" s="42"/>
      <c r="G157" s="42"/>
      <c r="H157" s="42"/>
      <c r="I157" s="42"/>
      <c r="J157" s="42"/>
      <c r="K157" s="42"/>
      <c r="L157" s="42"/>
      <c r="M157" s="42"/>
      <c r="N157" s="42"/>
      <c r="O157" s="42"/>
      <c r="P157" s="42"/>
      <c r="Q157" s="42"/>
      <c r="R157" s="42"/>
      <c r="S157" s="42"/>
    </row>
    <row r="158" customFormat="false" ht="12" hidden="false" customHeight="true" outlineLevel="0" collapsed="false">
      <c r="A158" s="42"/>
      <c r="B158" s="42"/>
      <c r="C158" s="42"/>
      <c r="D158" s="42"/>
      <c r="E158" s="42"/>
      <c r="F158" s="42"/>
      <c r="G158" s="42"/>
      <c r="H158" s="42"/>
      <c r="I158" s="42"/>
      <c r="J158" s="42"/>
      <c r="K158" s="42"/>
      <c r="L158" s="42"/>
      <c r="M158" s="42"/>
      <c r="N158" s="42"/>
      <c r="O158" s="42"/>
      <c r="P158" s="42"/>
      <c r="Q158" s="42"/>
      <c r="R158" s="42"/>
      <c r="S158" s="42"/>
    </row>
    <row r="159" customFormat="false" ht="12" hidden="false" customHeight="true" outlineLevel="0" collapsed="false">
      <c r="A159" s="42"/>
      <c r="B159" s="42"/>
      <c r="C159" s="42"/>
      <c r="D159" s="42"/>
      <c r="E159" s="42"/>
      <c r="F159" s="42"/>
      <c r="G159" s="42"/>
      <c r="H159" s="42"/>
      <c r="I159" s="42"/>
      <c r="J159" s="42"/>
      <c r="K159" s="42"/>
      <c r="L159" s="42"/>
      <c r="M159" s="42"/>
      <c r="N159" s="42"/>
      <c r="O159" s="42"/>
      <c r="P159" s="42"/>
      <c r="Q159" s="42"/>
      <c r="R159" s="42"/>
      <c r="S159" s="42"/>
    </row>
    <row r="160" customFormat="false" ht="12" hidden="false" customHeight="true" outlineLevel="0" collapsed="false">
      <c r="A160" s="42"/>
      <c r="B160" s="42"/>
      <c r="C160" s="42"/>
      <c r="D160" s="42"/>
      <c r="E160" s="42"/>
      <c r="F160" s="42"/>
      <c r="G160" s="42"/>
      <c r="H160" s="42"/>
      <c r="I160" s="42"/>
      <c r="J160" s="42"/>
      <c r="K160" s="42"/>
      <c r="L160" s="42"/>
      <c r="M160" s="42"/>
      <c r="N160" s="42"/>
      <c r="O160" s="42"/>
      <c r="P160" s="42"/>
      <c r="Q160" s="42"/>
      <c r="R160" s="42"/>
      <c r="S160" s="42"/>
    </row>
    <row r="161" customFormat="false" ht="12" hidden="false" customHeight="true" outlineLevel="0" collapsed="false">
      <c r="A161" s="42"/>
      <c r="B161" s="42"/>
      <c r="C161" s="42"/>
      <c r="D161" s="42"/>
      <c r="E161" s="42"/>
      <c r="F161" s="42"/>
      <c r="G161" s="42"/>
      <c r="H161" s="42"/>
      <c r="I161" s="42"/>
      <c r="J161" s="42"/>
      <c r="K161" s="42"/>
      <c r="L161" s="42"/>
      <c r="M161" s="42"/>
      <c r="N161" s="42"/>
      <c r="O161" s="42"/>
      <c r="P161" s="42"/>
      <c r="Q161" s="42"/>
      <c r="R161" s="42"/>
      <c r="S161" s="42"/>
    </row>
    <row r="162" customFormat="false" ht="12" hidden="false" customHeight="true" outlineLevel="0" collapsed="false">
      <c r="A162" s="42"/>
      <c r="B162" s="42"/>
      <c r="C162" s="42"/>
      <c r="D162" s="42"/>
      <c r="E162" s="42"/>
      <c r="F162" s="42"/>
      <c r="G162" s="42"/>
      <c r="H162" s="42"/>
      <c r="I162" s="42"/>
      <c r="J162" s="42"/>
      <c r="K162" s="42"/>
      <c r="L162" s="42"/>
      <c r="M162" s="42"/>
      <c r="N162" s="42"/>
      <c r="O162" s="42"/>
      <c r="P162" s="42"/>
      <c r="Q162" s="42"/>
      <c r="R162" s="42"/>
      <c r="S162" s="42"/>
    </row>
    <row r="163" customFormat="false" ht="12" hidden="false" customHeight="true" outlineLevel="0" collapsed="false">
      <c r="A163" s="42"/>
      <c r="B163" s="42"/>
      <c r="C163" s="42"/>
      <c r="D163" s="42"/>
      <c r="E163" s="42"/>
      <c r="F163" s="42"/>
      <c r="G163" s="42"/>
      <c r="H163" s="42"/>
      <c r="I163" s="42"/>
      <c r="J163" s="42"/>
      <c r="K163" s="42"/>
      <c r="L163" s="42"/>
      <c r="M163" s="42"/>
      <c r="N163" s="42"/>
      <c r="O163" s="42"/>
      <c r="P163" s="42"/>
      <c r="Q163" s="42"/>
      <c r="R163" s="42"/>
      <c r="S163" s="42"/>
    </row>
    <row r="164" customFormat="false" ht="12" hidden="false" customHeight="true" outlineLevel="0" collapsed="false">
      <c r="A164" s="42"/>
      <c r="B164" s="42"/>
      <c r="C164" s="42"/>
      <c r="D164" s="42"/>
      <c r="E164" s="42"/>
      <c r="F164" s="42"/>
      <c r="G164" s="42"/>
      <c r="H164" s="42"/>
      <c r="I164" s="42"/>
      <c r="J164" s="42"/>
      <c r="K164" s="42"/>
      <c r="L164" s="42"/>
      <c r="M164" s="42"/>
      <c r="N164" s="42"/>
      <c r="O164" s="42"/>
      <c r="P164" s="42"/>
      <c r="Q164" s="42"/>
      <c r="R164" s="42"/>
      <c r="S164" s="42"/>
    </row>
    <row r="165" customFormat="false" ht="12" hidden="false" customHeight="true" outlineLevel="0" collapsed="false">
      <c r="A165" s="42"/>
      <c r="B165" s="42"/>
      <c r="C165" s="42"/>
      <c r="D165" s="42"/>
      <c r="E165" s="42"/>
      <c r="F165" s="42"/>
      <c r="G165" s="42"/>
      <c r="H165" s="42"/>
      <c r="I165" s="42"/>
      <c r="J165" s="42"/>
      <c r="K165" s="42"/>
      <c r="L165" s="42"/>
      <c r="M165" s="42"/>
      <c r="N165" s="42"/>
      <c r="O165" s="42"/>
      <c r="P165" s="42"/>
      <c r="Q165" s="42"/>
      <c r="R165" s="42"/>
      <c r="S165" s="42"/>
    </row>
    <row r="166" customFormat="false" ht="12" hidden="false" customHeight="true" outlineLevel="0" collapsed="false">
      <c r="A166" s="42"/>
      <c r="B166" s="42"/>
      <c r="C166" s="42"/>
      <c r="D166" s="42"/>
      <c r="E166" s="42"/>
      <c r="F166" s="42"/>
      <c r="G166" s="42"/>
      <c r="H166" s="42"/>
      <c r="I166" s="42"/>
      <c r="J166" s="42"/>
      <c r="K166" s="42"/>
      <c r="L166" s="42"/>
      <c r="M166" s="42"/>
      <c r="N166" s="42"/>
      <c r="O166" s="42"/>
      <c r="P166" s="42"/>
      <c r="Q166" s="42"/>
      <c r="R166" s="42"/>
      <c r="S166" s="42"/>
    </row>
    <row r="167" customFormat="false" ht="12" hidden="false" customHeight="true" outlineLevel="0" collapsed="false">
      <c r="A167" s="42"/>
      <c r="B167" s="42"/>
      <c r="C167" s="42"/>
      <c r="D167" s="42"/>
      <c r="E167" s="42"/>
      <c r="F167" s="42"/>
      <c r="G167" s="42"/>
      <c r="H167" s="42"/>
      <c r="I167" s="42"/>
      <c r="J167" s="42"/>
      <c r="K167" s="42"/>
      <c r="L167" s="42"/>
      <c r="M167" s="42"/>
      <c r="N167" s="42"/>
      <c r="O167" s="42"/>
      <c r="P167" s="42"/>
      <c r="Q167" s="42"/>
      <c r="R167" s="42"/>
      <c r="S167" s="42"/>
    </row>
    <row r="168" customFormat="false" ht="12" hidden="false" customHeight="true" outlineLevel="0" collapsed="false">
      <c r="A168" s="42"/>
      <c r="B168" s="42"/>
      <c r="C168" s="42"/>
      <c r="D168" s="42"/>
      <c r="E168" s="42"/>
      <c r="F168" s="42"/>
      <c r="G168" s="42"/>
      <c r="H168" s="42"/>
      <c r="I168" s="42"/>
      <c r="J168" s="42"/>
      <c r="K168" s="42"/>
      <c r="L168" s="42"/>
      <c r="M168" s="42"/>
      <c r="N168" s="42"/>
      <c r="O168" s="42"/>
      <c r="P168" s="42"/>
      <c r="Q168" s="42"/>
      <c r="R168" s="42"/>
      <c r="S168" s="42"/>
    </row>
    <row r="169" customFormat="false" ht="12" hidden="false" customHeight="true" outlineLevel="0" collapsed="false">
      <c r="A169" s="42"/>
      <c r="B169" s="42"/>
      <c r="C169" s="42"/>
      <c r="D169" s="42"/>
      <c r="E169" s="42"/>
      <c r="F169" s="42"/>
      <c r="G169" s="42"/>
      <c r="H169" s="42"/>
      <c r="I169" s="42"/>
      <c r="J169" s="42"/>
      <c r="K169" s="42"/>
      <c r="L169" s="42"/>
      <c r="M169" s="42"/>
      <c r="N169" s="42"/>
      <c r="O169" s="42"/>
      <c r="P169" s="42"/>
      <c r="Q169" s="42"/>
      <c r="R169" s="42"/>
      <c r="S169" s="42"/>
    </row>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00"/>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28.25"/>
    <col collapsed="false" customWidth="true" hidden="false" outlineLevel="0" max="2" min="2" style="1" width="19.25"/>
    <col collapsed="false" customWidth="true" hidden="false" outlineLevel="0" max="3" min="3" style="1" width="12.75"/>
    <col collapsed="false" customWidth="true" hidden="false" outlineLevel="0" max="4" min="4" style="1" width="11.25"/>
    <col collapsed="false" customWidth="true" hidden="false" outlineLevel="0" max="5" min="5" style="1" width="9.25"/>
    <col collapsed="false" customWidth="true" hidden="false" outlineLevel="0" max="6" min="6" style="1" width="8.88"/>
    <col collapsed="false" customWidth="true" hidden="false" outlineLevel="0" max="7" min="7" style="1" width="10.88"/>
    <col collapsed="false" customWidth="true" hidden="false" outlineLevel="0" max="9" min="8" style="1" width="8.88"/>
    <col collapsed="false" customWidth="true" hidden="false" outlineLevel="0" max="10" min="10" style="1" width="9.75"/>
    <col collapsed="false" customWidth="true" hidden="false" outlineLevel="0" max="11" min="11" style="1" width="10.75"/>
    <col collapsed="false" customWidth="true" hidden="false" outlineLevel="0" max="12" min="12" style="1" width="11"/>
    <col collapsed="false" customWidth="true" hidden="false" outlineLevel="0" max="13" min="13" style="1" width="8.88"/>
    <col collapsed="false" customWidth="true" hidden="false" outlineLevel="0" max="14" min="14" style="1" width="11.75"/>
    <col collapsed="false" customWidth="true" hidden="false" outlineLevel="0" max="15" min="15" style="1" width="16.12"/>
    <col collapsed="false" customWidth="true" hidden="false" outlineLevel="0" max="21" min="16" style="1" width="8.88"/>
    <col collapsed="false" customWidth="true" hidden="false" outlineLevel="0" max="26" min="22" style="1" width="14.38"/>
  </cols>
  <sheetData>
    <row r="1" customFormat="false" ht="21.75" hidden="false" customHeight="true" outlineLevel="0" collapsed="false">
      <c r="A1" s="85" t="s">
        <v>177</v>
      </c>
      <c r="B1" s="8"/>
      <c r="C1" s="8"/>
      <c r="D1" s="8"/>
      <c r="E1" s="86" t="str">
        <f aca="false">'Title Page'!F3</f>
        <v>Coconut Cubesat</v>
      </c>
      <c r="F1" s="8"/>
      <c r="G1" s="87" t="s">
        <v>0</v>
      </c>
      <c r="H1" s="8"/>
      <c r="I1" s="88" t="str">
        <f aca="false">'Title Page'!F23</f>
        <v>2025 June 06</v>
      </c>
      <c r="J1" s="87"/>
      <c r="K1" s="87" t="str">
        <f aca="false">'Title Page'!G1</f>
        <v> Version: 2.5.5</v>
      </c>
      <c r="L1" s="87"/>
      <c r="M1" s="8"/>
      <c r="N1" s="8"/>
      <c r="O1" s="8"/>
      <c r="P1" s="8"/>
      <c r="Q1" s="10"/>
      <c r="R1" s="10"/>
      <c r="S1" s="10"/>
      <c r="T1" s="10"/>
      <c r="U1" s="89"/>
    </row>
    <row r="2" customFormat="false" ht="12.75" hidden="false" customHeight="true" outlineLevel="0" collapsed="false">
      <c r="A2" s="90" t="s">
        <v>178</v>
      </c>
      <c r="B2" s="19"/>
      <c r="C2" s="19"/>
      <c r="D2" s="19"/>
      <c r="E2" s="91"/>
      <c r="F2" s="19"/>
      <c r="G2" s="21"/>
      <c r="H2" s="19"/>
      <c r="I2" s="21"/>
      <c r="J2" s="21"/>
      <c r="K2" s="21"/>
      <c r="L2" s="21"/>
      <c r="M2" s="19"/>
      <c r="N2" s="19"/>
      <c r="O2" s="19"/>
      <c r="P2" s="19"/>
      <c r="Q2" s="19"/>
      <c r="R2" s="19"/>
      <c r="S2" s="19"/>
      <c r="T2" s="19"/>
      <c r="U2" s="19"/>
    </row>
    <row r="3" customFormat="false" ht="12.75" hidden="false" customHeight="true" outlineLevel="0" collapsed="false">
      <c r="A3" s="90" t="s">
        <v>179</v>
      </c>
      <c r="B3" s="19"/>
      <c r="C3" s="19"/>
      <c r="D3" s="19"/>
      <c r="E3" s="91"/>
      <c r="F3" s="19"/>
      <c r="G3" s="21"/>
      <c r="H3" s="19"/>
      <c r="I3" s="21"/>
      <c r="J3" s="21"/>
      <c r="K3" s="21"/>
      <c r="L3" s="21"/>
      <c r="M3" s="19"/>
      <c r="N3" s="19"/>
      <c r="O3" s="19"/>
      <c r="P3" s="19"/>
      <c r="Q3" s="19"/>
      <c r="R3" s="19"/>
      <c r="S3" s="19"/>
      <c r="T3" s="19"/>
      <c r="U3" s="19"/>
    </row>
    <row r="4" customFormat="false" ht="12.75" hidden="false" customHeight="true" outlineLevel="0" collapsed="false">
      <c r="A4" s="92" t="s">
        <v>180</v>
      </c>
      <c r="B4" s="93" t="s">
        <v>181</v>
      </c>
      <c r="C4" s="94" t="n">
        <v>1</v>
      </c>
      <c r="D4" s="95" t="str">
        <f aca="false" t="array" ref="D4:D4">INDEX(C6:DC9,C4,1)</f>
        <v>LEO</v>
      </c>
      <c r="E4" s="91"/>
      <c r="F4" s="93" t="s">
        <v>182</v>
      </c>
      <c r="G4" s="96" t="n">
        <f aca="false" t="array" ref="G4:G4">INDEX(D6:D9,C4,1)</f>
        <v>1223.085472</v>
      </c>
      <c r="H4" s="97" t="s">
        <v>183</v>
      </c>
      <c r="I4" s="19" t="s">
        <v>184</v>
      </c>
      <c r="J4" s="21"/>
      <c r="K4" s="21"/>
      <c r="L4" s="21"/>
      <c r="M4" s="19"/>
      <c r="N4" s="19"/>
      <c r="O4" s="19"/>
      <c r="P4" s="19"/>
      <c r="Q4" s="19"/>
      <c r="R4" s="19"/>
      <c r="S4" s="19"/>
      <c r="T4" s="19"/>
      <c r="U4" s="19"/>
    </row>
    <row r="5" customFormat="false" ht="12.75" hidden="false" customHeight="true" outlineLevel="0" collapsed="false">
      <c r="A5" s="21"/>
      <c r="B5" s="98" t="s">
        <v>185</v>
      </c>
      <c r="C5" s="98" t="s">
        <v>21</v>
      </c>
      <c r="D5" s="98" t="s">
        <v>186</v>
      </c>
      <c r="E5" s="91"/>
      <c r="F5" s="28"/>
      <c r="G5" s="21"/>
      <c r="H5" s="19"/>
      <c r="I5" s="19"/>
      <c r="J5" s="21"/>
      <c r="K5" s="21"/>
      <c r="L5" s="21"/>
      <c r="M5" s="19"/>
      <c r="N5" s="19"/>
      <c r="O5" s="19"/>
      <c r="P5" s="19"/>
      <c r="Q5" s="19"/>
      <c r="R5" s="19"/>
      <c r="S5" s="19"/>
      <c r="T5" s="19"/>
      <c r="U5" s="19"/>
    </row>
    <row r="6" customFormat="false" ht="12.75" hidden="false" customHeight="true" outlineLevel="0" collapsed="false">
      <c r="A6" s="99"/>
      <c r="B6" s="100" t="n">
        <v>1</v>
      </c>
      <c r="C6" s="100" t="s">
        <v>187</v>
      </c>
      <c r="D6" s="101" t="n">
        <f aca="false">B36</f>
        <v>1223.085472</v>
      </c>
      <c r="E6" s="19" t="s">
        <v>183</v>
      </c>
      <c r="F6" s="19"/>
      <c r="G6" s="21"/>
      <c r="H6" s="19"/>
      <c r="I6" s="21"/>
      <c r="J6" s="21"/>
      <c r="K6" s="21"/>
      <c r="L6" s="21"/>
      <c r="M6" s="19" t="s">
        <v>0</v>
      </c>
      <c r="N6" s="19"/>
      <c r="O6" s="19"/>
      <c r="P6" s="19"/>
      <c r="Q6" s="19"/>
      <c r="R6" s="19"/>
      <c r="S6" s="19"/>
      <c r="T6" s="19"/>
      <c r="U6" s="19"/>
    </row>
    <row r="7" customFormat="false" ht="12.75" hidden="false" customHeight="true" outlineLevel="0" collapsed="false">
      <c r="A7" s="99"/>
      <c r="B7" s="100" t="n">
        <v>2</v>
      </c>
      <c r="C7" s="100" t="s">
        <v>188</v>
      </c>
      <c r="D7" s="101" t="n">
        <f aca="false">K63</f>
        <v>41126.7531875527</v>
      </c>
      <c r="E7" s="19" t="s">
        <v>183</v>
      </c>
      <c r="F7" s="19"/>
      <c r="G7" s="21"/>
      <c r="H7" s="19"/>
      <c r="I7" s="21"/>
      <c r="J7" s="21"/>
      <c r="K7" s="21"/>
      <c r="L7" s="21"/>
      <c r="M7" s="19"/>
      <c r="N7" s="19"/>
      <c r="O7" s="19"/>
      <c r="P7" s="19"/>
      <c r="Q7" s="19"/>
      <c r="R7" s="19"/>
      <c r="S7" s="19"/>
      <c r="T7" s="19"/>
      <c r="U7" s="19"/>
    </row>
    <row r="8" customFormat="false" ht="12.75" hidden="false" customHeight="true" outlineLevel="0" collapsed="false">
      <c r="A8" s="99"/>
      <c r="B8" s="100" t="n">
        <v>3</v>
      </c>
      <c r="C8" s="100" t="s">
        <v>189</v>
      </c>
      <c r="D8" s="101" t="n">
        <f aca="false">B104</f>
        <v>36488.15589</v>
      </c>
      <c r="E8" s="19" t="s">
        <v>183</v>
      </c>
      <c r="F8" s="19"/>
      <c r="G8" s="21"/>
      <c r="H8" s="19"/>
      <c r="I8" s="21"/>
      <c r="J8" s="21"/>
      <c r="K8" s="21"/>
      <c r="L8" s="21"/>
      <c r="M8" s="19"/>
      <c r="N8" s="19"/>
      <c r="O8" s="19"/>
      <c r="P8" s="19"/>
      <c r="Q8" s="19"/>
      <c r="R8" s="19"/>
      <c r="S8" s="19"/>
      <c r="T8" s="19"/>
      <c r="U8" s="19"/>
    </row>
    <row r="9" customFormat="false" ht="12.75" hidden="false" customHeight="true" outlineLevel="0" collapsed="false">
      <c r="A9" s="99"/>
      <c r="B9" s="100" t="n">
        <v>4</v>
      </c>
      <c r="C9" s="100" t="s">
        <v>190</v>
      </c>
      <c r="D9" s="102" t="n">
        <f aca="false">D125</f>
        <v>315000000</v>
      </c>
      <c r="E9" s="19" t="s">
        <v>183</v>
      </c>
      <c r="F9" s="19"/>
      <c r="G9" s="21"/>
      <c r="H9" s="19"/>
      <c r="I9" s="21"/>
      <c r="J9" s="21"/>
      <c r="K9" s="21"/>
      <c r="L9" s="21"/>
      <c r="M9" s="19"/>
      <c r="N9" s="19"/>
      <c r="O9" s="19"/>
      <c r="P9" s="19"/>
      <c r="Q9" s="19"/>
      <c r="R9" s="19"/>
      <c r="S9" s="19"/>
      <c r="T9" s="19"/>
      <c r="U9" s="19"/>
    </row>
    <row r="10" customFormat="false" ht="12.75" hidden="false" customHeight="true" outlineLevel="0" collapsed="false">
      <c r="A10" s="103"/>
      <c r="B10" s="19"/>
      <c r="C10" s="19"/>
      <c r="D10" s="19"/>
      <c r="E10" s="19"/>
      <c r="F10" s="19"/>
      <c r="G10" s="19"/>
      <c r="H10" s="19"/>
      <c r="I10" s="19"/>
      <c r="J10" s="19"/>
      <c r="K10" s="19"/>
      <c r="L10" s="19"/>
      <c r="M10" s="19"/>
      <c r="N10" s="19"/>
      <c r="O10" s="19"/>
      <c r="P10" s="19"/>
      <c r="Q10" s="19"/>
      <c r="R10" s="19"/>
      <c r="S10" s="19"/>
      <c r="T10" s="19"/>
      <c r="U10" s="19"/>
    </row>
    <row r="11" customFormat="false" ht="12.75" hidden="false" customHeight="true" outlineLevel="0" collapsed="false">
      <c r="A11" s="19"/>
      <c r="B11" s="37"/>
      <c r="C11" s="19"/>
      <c r="D11" s="52" t="s">
        <v>191</v>
      </c>
      <c r="E11" s="19" t="s">
        <v>192</v>
      </c>
      <c r="F11" s="19"/>
      <c r="G11" s="19"/>
      <c r="H11" s="19"/>
      <c r="I11" s="57" t="s">
        <v>193</v>
      </c>
      <c r="J11" s="104" t="s">
        <v>194</v>
      </c>
      <c r="K11" s="19"/>
      <c r="L11" s="21" t="s">
        <v>195</v>
      </c>
      <c r="M11" s="19"/>
      <c r="N11" s="19"/>
      <c r="O11" s="19"/>
      <c r="P11" s="19"/>
      <c r="Q11" s="19"/>
      <c r="R11" s="19"/>
      <c r="S11" s="19"/>
      <c r="T11" s="19"/>
      <c r="U11" s="19"/>
    </row>
    <row r="12" customFormat="false" ht="12" hidden="false" customHeight="true" outlineLevel="0" collapsed="false">
      <c r="A12" s="19" t="s">
        <v>196</v>
      </c>
      <c r="B12" s="52" t="s">
        <v>197</v>
      </c>
      <c r="C12" s="19"/>
      <c r="D12" s="105" t="s">
        <v>198</v>
      </c>
      <c r="E12" s="19" t="s">
        <v>199</v>
      </c>
      <c r="F12" s="19"/>
      <c r="G12" s="19"/>
      <c r="H12" s="19"/>
      <c r="I12" s="106" t="s">
        <v>200</v>
      </c>
      <c r="J12" s="104" t="s">
        <v>201</v>
      </c>
      <c r="K12" s="19"/>
      <c r="L12" s="19"/>
      <c r="M12" s="19"/>
      <c r="N12" s="19"/>
      <c r="O12" s="19"/>
      <c r="P12" s="19"/>
      <c r="Q12" s="19"/>
      <c r="R12" s="19"/>
      <c r="S12" s="19"/>
      <c r="T12" s="19"/>
      <c r="U12" s="19"/>
    </row>
    <row r="13" customFormat="false" ht="12.75" hidden="false" customHeight="true" outlineLevel="0" collapsed="false">
      <c r="A13" s="107"/>
      <c r="B13" s="108"/>
      <c r="C13" s="107"/>
      <c r="D13" s="109"/>
      <c r="E13" s="107"/>
      <c r="F13" s="107"/>
      <c r="G13" s="107"/>
      <c r="H13" s="107"/>
      <c r="I13" s="108"/>
      <c r="J13" s="110"/>
      <c r="K13" s="107"/>
      <c r="L13" s="107"/>
      <c r="M13" s="107"/>
      <c r="N13" s="107"/>
      <c r="O13" s="107"/>
      <c r="P13" s="107"/>
      <c r="Q13" s="107"/>
      <c r="R13" s="107"/>
      <c r="S13" s="107"/>
      <c r="T13" s="107"/>
      <c r="U13" s="107"/>
    </row>
    <row r="14" customFormat="false" ht="15" hidden="false" customHeight="true" outlineLevel="0" collapsed="false">
      <c r="A14" s="111" t="s">
        <v>202</v>
      </c>
      <c r="B14" s="23" t="s">
        <v>203</v>
      </c>
      <c r="C14" s="112"/>
      <c r="D14" s="112"/>
      <c r="E14" s="112"/>
      <c r="F14" s="112"/>
      <c r="G14" s="112"/>
      <c r="H14" s="112"/>
      <c r="I14" s="112"/>
      <c r="J14" s="112"/>
      <c r="K14" s="112"/>
      <c r="L14" s="112"/>
      <c r="M14" s="112"/>
      <c r="N14" s="112"/>
      <c r="O14" s="112"/>
      <c r="P14" s="112"/>
      <c r="Q14" s="112"/>
      <c r="R14" s="112"/>
      <c r="S14" s="112"/>
      <c r="T14" s="112"/>
      <c r="U14" s="112"/>
    </row>
    <row r="15" customFormat="false" ht="15" hidden="false" customHeight="true" outlineLevel="0" collapsed="false">
      <c r="A15" s="113" t="s">
        <v>204</v>
      </c>
      <c r="B15" s="113"/>
      <c r="C15" s="113"/>
      <c r="Q15" s="19"/>
      <c r="R15" s="19"/>
      <c r="S15" s="19"/>
      <c r="T15" s="19"/>
      <c r="U15" s="19"/>
    </row>
    <row r="16" customFormat="false" ht="12" hidden="false" customHeight="true" outlineLevel="0" collapsed="false">
      <c r="A16" s="21" t="s">
        <v>205</v>
      </c>
      <c r="B16" s="21"/>
      <c r="C16" s="21"/>
      <c r="Q16" s="19"/>
      <c r="R16" s="19"/>
      <c r="S16" s="19"/>
      <c r="T16" s="19"/>
      <c r="U16" s="19"/>
    </row>
    <row r="17" customFormat="false" ht="12" hidden="false" customHeight="true" outlineLevel="0" collapsed="false">
      <c r="A17" s="114" t="s">
        <v>206</v>
      </c>
      <c r="B17" s="115" t="s">
        <v>207</v>
      </c>
      <c r="C17" s="116" t="s">
        <v>208</v>
      </c>
      <c r="Q17" s="19"/>
      <c r="R17" s="19"/>
      <c r="S17" s="19"/>
      <c r="T17" s="19"/>
      <c r="U17" s="19"/>
    </row>
    <row r="18" customFormat="false" ht="12" hidden="false" customHeight="true" outlineLevel="0" collapsed="false">
      <c r="A18" s="27" t="s">
        <v>209</v>
      </c>
      <c r="B18" s="117" t="n">
        <v>6378.136</v>
      </c>
      <c r="C18" s="27" t="s">
        <v>183</v>
      </c>
      <c r="Q18" s="19"/>
      <c r="R18" s="19"/>
      <c r="S18" s="19"/>
      <c r="T18" s="19"/>
      <c r="U18" s="19"/>
    </row>
    <row r="19" customFormat="false" ht="12" hidden="false" customHeight="true" outlineLevel="0" collapsed="false">
      <c r="A19" s="27" t="s">
        <v>210</v>
      </c>
      <c r="B19" s="118" t="n">
        <v>422</v>
      </c>
      <c r="C19" s="27" t="s">
        <v>183</v>
      </c>
      <c r="Q19" s="19"/>
      <c r="R19" s="19"/>
      <c r="S19" s="19"/>
      <c r="T19" s="19"/>
      <c r="U19" s="19"/>
    </row>
    <row r="20" customFormat="false" ht="12" hidden="false" customHeight="true" outlineLevel="0" collapsed="false">
      <c r="A20" s="27" t="s">
        <v>211</v>
      </c>
      <c r="B20" s="119" t="n">
        <v>418</v>
      </c>
      <c r="C20" s="27" t="s">
        <v>183</v>
      </c>
      <c r="Q20" s="19"/>
      <c r="R20" s="19"/>
      <c r="S20" s="19"/>
      <c r="T20" s="19"/>
      <c r="U20" s="19"/>
    </row>
    <row r="21" customFormat="false" ht="12" hidden="false" customHeight="true" outlineLevel="0" collapsed="false">
      <c r="A21" s="19" t="s">
        <v>212</v>
      </c>
      <c r="B21" s="120" t="n">
        <f aca="false">(B19+B20+2*B18)/2</f>
        <v>6798.136</v>
      </c>
      <c r="C21" s="19" t="s">
        <v>183</v>
      </c>
      <c r="Q21" s="19"/>
      <c r="R21" s="19"/>
      <c r="S21" s="19"/>
      <c r="T21" s="19"/>
      <c r="U21" s="19"/>
    </row>
    <row r="22" customFormat="false" ht="12" hidden="false" customHeight="true" outlineLevel="0" collapsed="false">
      <c r="A22" s="19" t="s">
        <v>213</v>
      </c>
      <c r="B22" s="121" t="n">
        <f aca="false">((B19+B18)-(B20+B18))/((B19+B18)+(B20+B18))</f>
        <v>0.000294198292</v>
      </c>
      <c r="C22" s="19"/>
      <c r="Q22" s="19"/>
      <c r="R22" s="19"/>
      <c r="S22" s="19"/>
      <c r="T22" s="19"/>
      <c r="U22" s="19"/>
    </row>
    <row r="23" customFormat="false" ht="12" hidden="false" customHeight="true" outlineLevel="0" collapsed="false">
      <c r="A23" s="19" t="s">
        <v>214</v>
      </c>
      <c r="B23" s="122" t="n">
        <v>51.607</v>
      </c>
      <c r="C23" s="19" t="s">
        <v>215</v>
      </c>
      <c r="Q23" s="19"/>
      <c r="R23" s="19"/>
      <c r="S23" s="19"/>
      <c r="T23" s="19"/>
      <c r="U23" s="19"/>
    </row>
    <row r="24" customFormat="false" ht="12" hidden="false" customHeight="true" outlineLevel="0" collapsed="false">
      <c r="A24" s="19" t="s">
        <v>216</v>
      </c>
      <c r="B24" s="123" t="n">
        <v>285.1</v>
      </c>
      <c r="C24" s="19" t="s">
        <v>215</v>
      </c>
      <c r="Q24" s="19"/>
      <c r="R24" s="19"/>
      <c r="S24" s="19"/>
      <c r="T24" s="19"/>
      <c r="U24" s="19"/>
    </row>
    <row r="25" customFormat="false" ht="12" hidden="false" customHeight="true" outlineLevel="0" collapsed="false">
      <c r="A25" s="19" t="s">
        <v>217</v>
      </c>
      <c r="B25" s="124" t="n">
        <v>150.17</v>
      </c>
      <c r="C25" s="19" t="s">
        <v>215</v>
      </c>
      <c r="Q25" s="19"/>
      <c r="R25" s="19"/>
      <c r="S25" s="19"/>
      <c r="T25" s="19"/>
      <c r="U25" s="19"/>
    </row>
    <row r="26" customFormat="false" ht="12" hidden="false" customHeight="true" outlineLevel="0" collapsed="false">
      <c r="A26" s="19" t="s">
        <v>218</v>
      </c>
      <c r="B26" s="125" t="n">
        <v>0</v>
      </c>
      <c r="C26" s="19" t="s">
        <v>215</v>
      </c>
      <c r="Q26" s="19"/>
      <c r="R26" s="19"/>
      <c r="S26" s="19"/>
      <c r="T26" s="19"/>
      <c r="U26" s="19"/>
    </row>
    <row r="27" customFormat="false" ht="12" hidden="false" customHeight="true" outlineLevel="0" collapsed="false">
      <c r="A27" s="19" t="s">
        <v>219</v>
      </c>
      <c r="B27" s="126" t="n">
        <f aca="false">84.4892*((B21/B18)^1.5)</f>
        <v>92.97053021</v>
      </c>
      <c r="C27" s="19" t="s">
        <v>220</v>
      </c>
      <c r="Q27" s="19"/>
      <c r="R27" s="19"/>
      <c r="S27" s="19"/>
      <c r="T27" s="19"/>
      <c r="U27" s="19"/>
    </row>
    <row r="28" customFormat="false" ht="12" hidden="false" customHeight="true" outlineLevel="0" collapsed="false">
      <c r="A28" s="19" t="s">
        <v>221</v>
      </c>
      <c r="B28" s="127" t="n">
        <f aca="false">19.919482*((B18/B21)^3.5)*(1-1.25*((SIN(B23/57.29578))^2))/((1-B22^2)^2)</f>
        <v>3.698937085</v>
      </c>
      <c r="C28" s="19" t="s">
        <v>222</v>
      </c>
      <c r="Q28" s="19"/>
      <c r="R28" s="19"/>
      <c r="S28" s="19"/>
      <c r="T28" s="19"/>
      <c r="U28" s="19"/>
    </row>
    <row r="29" customFormat="false" ht="12" hidden="false" customHeight="true" outlineLevel="0" collapsed="false">
      <c r="A29" s="19" t="s">
        <v>223</v>
      </c>
      <c r="B29" s="127" t="n">
        <f aca="false">(-9.9597408/(1-B22^2)^2)*((B18/B21)^3.5)*COS(B23/57.29578)</f>
        <v>-4.948115684</v>
      </c>
      <c r="C29" s="19" t="s">
        <v>222</v>
      </c>
      <c r="Q29" s="19"/>
      <c r="R29" s="19"/>
      <c r="S29" s="19"/>
      <c r="T29" s="19"/>
      <c r="U29" s="19"/>
    </row>
    <row r="30" customFormat="false" ht="12" hidden="false" customHeight="true" outlineLevel="0" collapsed="false">
      <c r="A30" s="19" t="s">
        <v>224</v>
      </c>
      <c r="B30" s="105" t="s">
        <v>225</v>
      </c>
      <c r="C30" s="19" t="s">
        <v>222</v>
      </c>
      <c r="Q30" s="19"/>
      <c r="R30" s="19"/>
      <c r="S30" s="19"/>
      <c r="T30" s="19"/>
      <c r="U30" s="19"/>
    </row>
    <row r="31" customFormat="false" ht="12" hidden="false" customHeight="true" outlineLevel="0" collapsed="false">
      <c r="A31" s="19" t="s">
        <v>226</v>
      </c>
      <c r="B31" s="128" t="n">
        <f aca="false">(B19+B20)/2</f>
        <v>420</v>
      </c>
      <c r="C31" s="19" t="s">
        <v>183</v>
      </c>
      <c r="Q31" s="19"/>
      <c r="R31" s="19"/>
      <c r="S31" s="19"/>
      <c r="T31" s="19"/>
      <c r="U31" s="19"/>
    </row>
    <row r="32" customFormat="false" ht="12" hidden="false" customHeight="true" outlineLevel="0" collapsed="false">
      <c r="A32" s="19" t="s">
        <v>227</v>
      </c>
      <c r="B32" s="117" t="n">
        <f aca="false">B31+B18</f>
        <v>6798.136</v>
      </c>
      <c r="C32" s="19" t="s">
        <v>183</v>
      </c>
      <c r="Q32" s="19"/>
      <c r="R32" s="19"/>
      <c r="S32" s="19"/>
      <c r="T32" s="19"/>
      <c r="U32" s="19"/>
    </row>
    <row r="33" customFormat="false" ht="12" hidden="false" customHeight="true" outlineLevel="0" collapsed="false">
      <c r="A33" s="19" t="s">
        <v>228</v>
      </c>
      <c r="B33" s="128" t="n">
        <f aca="false">57.2958*ACOS((0.98561)/(-9.95974/(((1-B22^2)^2))*(B18/B21)^3.5))</f>
        <v>97.10611117</v>
      </c>
      <c r="C33" s="19" t="s">
        <v>229</v>
      </c>
      <c r="Q33" s="19"/>
      <c r="R33" s="19"/>
      <c r="S33" s="19"/>
      <c r="T33" s="19"/>
      <c r="U33" s="19"/>
    </row>
    <row r="34" customFormat="false" ht="12" hidden="false" customHeight="true" outlineLevel="0" collapsed="false">
      <c r="A34" s="19" t="s">
        <v>230</v>
      </c>
      <c r="B34" s="129" t="n">
        <v>15</v>
      </c>
      <c r="C34" s="19" t="s">
        <v>229</v>
      </c>
      <c r="Q34" s="19"/>
      <c r="R34" s="19"/>
      <c r="S34" s="19"/>
      <c r="T34" s="19"/>
      <c r="U34" s="19"/>
    </row>
    <row r="35" customFormat="false" ht="12.75" hidden="false" customHeight="true" outlineLevel="0" collapsed="false">
      <c r="A35" s="19"/>
      <c r="B35" s="28"/>
      <c r="C35" s="19"/>
      <c r="Q35" s="19"/>
      <c r="R35" s="19"/>
      <c r="S35" s="19"/>
      <c r="T35" s="19"/>
      <c r="U35" s="19"/>
    </row>
    <row r="36" customFormat="false" ht="12.75" hidden="false" customHeight="true" outlineLevel="0" collapsed="false">
      <c r="A36" s="19" t="s">
        <v>231</v>
      </c>
      <c r="B36" s="130" t="n">
        <f aca="false">B18*((((B32^2/B18^2)-(COS(B34/57.2958))^2)^0.5)-SIN(B34/57.2958))</f>
        <v>1223.085472</v>
      </c>
      <c r="C36" s="19" t="s">
        <v>232</v>
      </c>
      <c r="Q36" s="19"/>
      <c r="R36" s="19"/>
      <c r="S36" s="19"/>
      <c r="T36" s="19"/>
      <c r="U36" s="19"/>
    </row>
    <row r="37" customFormat="false" ht="12.75" hidden="false" customHeight="true" outlineLevel="0" collapsed="false">
      <c r="A37" s="107"/>
      <c r="B37" s="131"/>
      <c r="C37" s="107"/>
      <c r="D37" s="132"/>
      <c r="E37" s="132"/>
      <c r="F37" s="132"/>
      <c r="G37" s="132"/>
      <c r="H37" s="132"/>
      <c r="I37" s="132"/>
      <c r="J37" s="132"/>
      <c r="K37" s="132"/>
      <c r="L37" s="132"/>
      <c r="M37" s="132"/>
      <c r="N37" s="132"/>
      <c r="O37" s="132"/>
      <c r="P37" s="132"/>
      <c r="Q37" s="107"/>
      <c r="R37" s="107"/>
      <c r="S37" s="107"/>
      <c r="T37" s="107"/>
      <c r="U37" s="107"/>
    </row>
    <row r="38" customFormat="false" ht="15.75" hidden="false" customHeight="true" outlineLevel="0" collapsed="false">
      <c r="A38" s="133" t="s">
        <v>233</v>
      </c>
      <c r="B38" s="112"/>
      <c r="C38" s="134" t="s">
        <v>60</v>
      </c>
      <c r="D38" s="112"/>
      <c r="E38" s="112"/>
      <c r="F38" s="112"/>
      <c r="G38" s="135"/>
      <c r="H38" s="112"/>
      <c r="I38" s="112"/>
      <c r="J38" s="112" t="s">
        <v>234</v>
      </c>
      <c r="K38" s="112"/>
      <c r="L38" s="112"/>
      <c r="M38" s="112"/>
      <c r="N38" s="112"/>
      <c r="O38" s="112"/>
      <c r="P38" s="112"/>
      <c r="Q38" s="112"/>
      <c r="R38" s="112"/>
      <c r="S38" s="112"/>
      <c r="T38" s="112"/>
      <c r="U38" s="112"/>
    </row>
    <row r="39" customFormat="false" ht="15" hidden="false" customHeight="true" outlineLevel="0" collapsed="false">
      <c r="A39" s="113" t="s">
        <v>235</v>
      </c>
      <c r="B39" s="113"/>
      <c r="C39" s="113"/>
      <c r="D39" s="136"/>
      <c r="E39" s="137"/>
      <c r="F39" s="137"/>
      <c r="G39" s="137"/>
      <c r="H39" s="137"/>
      <c r="I39" s="137"/>
      <c r="J39" s="137"/>
      <c r="K39" s="137"/>
      <c r="L39" s="137"/>
      <c r="M39" s="138"/>
      <c r="N39" s="19"/>
      <c r="O39" s="19"/>
      <c r="P39" s="19"/>
      <c r="Q39" s="19"/>
      <c r="R39" s="19"/>
      <c r="S39" s="19"/>
      <c r="T39" s="19"/>
      <c r="U39" s="19"/>
    </row>
    <row r="40" customFormat="false" ht="12" hidden="false" customHeight="true" outlineLevel="0" collapsed="false">
      <c r="A40" s="21" t="s">
        <v>236</v>
      </c>
      <c r="B40" s="21"/>
      <c r="C40" s="21"/>
      <c r="D40" s="139"/>
      <c r="E40" s="140"/>
      <c r="F40" s="140"/>
      <c r="G40" s="140"/>
      <c r="H40" s="140"/>
      <c r="I40" s="140"/>
      <c r="J40" s="140"/>
      <c r="K40" s="140"/>
      <c r="L40" s="140"/>
      <c r="M40" s="141"/>
      <c r="N40" s="19"/>
      <c r="O40" s="19"/>
      <c r="P40" s="19"/>
      <c r="Q40" s="19"/>
      <c r="R40" s="19"/>
      <c r="S40" s="19"/>
      <c r="T40" s="19"/>
      <c r="U40" s="19"/>
    </row>
    <row r="41" customFormat="false" ht="12" hidden="false" customHeight="true" outlineLevel="0" collapsed="false">
      <c r="A41" s="114" t="s">
        <v>206</v>
      </c>
      <c r="B41" s="115" t="s">
        <v>207</v>
      </c>
      <c r="C41" s="115" t="s">
        <v>208</v>
      </c>
      <c r="D41" s="139"/>
      <c r="E41" s="140"/>
      <c r="F41" s="140"/>
      <c r="G41" s="140"/>
      <c r="H41" s="140"/>
      <c r="I41" s="140"/>
      <c r="J41" s="140"/>
      <c r="K41" s="140"/>
      <c r="L41" s="140"/>
      <c r="M41" s="141"/>
      <c r="N41" s="19"/>
      <c r="O41" s="19"/>
      <c r="P41" s="19"/>
      <c r="Q41" s="19"/>
      <c r="R41" s="19"/>
      <c r="S41" s="19"/>
      <c r="T41" s="19"/>
      <c r="U41" s="19"/>
    </row>
    <row r="42" customFormat="false" ht="12" hidden="false" customHeight="true" outlineLevel="0" collapsed="false">
      <c r="A42" s="27" t="s">
        <v>209</v>
      </c>
      <c r="B42" s="117" t="n">
        <v>6378.137</v>
      </c>
      <c r="C42" s="27" t="s">
        <v>183</v>
      </c>
      <c r="D42" s="139"/>
      <c r="E42" s="140"/>
      <c r="F42" s="140"/>
      <c r="G42" s="140"/>
      <c r="H42" s="140"/>
      <c r="I42" s="140"/>
      <c r="J42" s="140"/>
      <c r="K42" s="140"/>
      <c r="L42" s="140"/>
      <c r="M42" s="141"/>
      <c r="N42" s="19"/>
      <c r="O42" s="19"/>
      <c r="P42" s="19"/>
      <c r="Q42" s="19"/>
      <c r="R42" s="19"/>
      <c r="S42" s="19"/>
      <c r="T42" s="19"/>
      <c r="U42" s="19"/>
    </row>
    <row r="43" customFormat="false" ht="12" hidden="false" customHeight="true" outlineLevel="0" collapsed="false">
      <c r="A43" s="27" t="s">
        <v>237</v>
      </c>
      <c r="B43" s="142" t="n">
        <v>35786</v>
      </c>
      <c r="C43" s="27" t="s">
        <v>183</v>
      </c>
      <c r="D43" s="139"/>
      <c r="E43" s="140"/>
      <c r="F43" s="140"/>
      <c r="G43" s="140"/>
      <c r="H43" s="140"/>
      <c r="I43" s="140"/>
      <c r="J43" s="140"/>
      <c r="K43" s="140"/>
      <c r="L43" s="140"/>
      <c r="M43" s="141"/>
      <c r="N43" s="19"/>
      <c r="O43" s="19"/>
      <c r="P43" s="19"/>
      <c r="Q43" s="19"/>
      <c r="R43" s="19"/>
      <c r="S43" s="19"/>
      <c r="T43" s="19"/>
      <c r="U43" s="19"/>
    </row>
    <row r="44" customFormat="false" ht="12" hidden="false" customHeight="true" outlineLevel="0" collapsed="false">
      <c r="A44" s="27" t="s">
        <v>238</v>
      </c>
      <c r="B44" s="143" t="n">
        <v>500</v>
      </c>
      <c r="C44" s="27" t="s">
        <v>183</v>
      </c>
      <c r="D44" s="139"/>
      <c r="E44" s="140"/>
      <c r="F44" s="140"/>
      <c r="G44" s="140"/>
      <c r="H44" s="140"/>
      <c r="I44" s="140"/>
      <c r="J44" s="140"/>
      <c r="K44" s="140"/>
      <c r="L44" s="140"/>
      <c r="M44" s="141"/>
      <c r="N44" s="19"/>
      <c r="O44" s="19"/>
      <c r="P44" s="19"/>
      <c r="Q44" s="19"/>
      <c r="R44" s="19"/>
      <c r="S44" s="19"/>
      <c r="T44" s="19"/>
      <c r="U44" s="19"/>
    </row>
    <row r="45" customFormat="false" ht="12" hidden="false" customHeight="true" outlineLevel="0" collapsed="false">
      <c r="A45" s="19" t="s">
        <v>212</v>
      </c>
      <c r="B45" s="117" t="n">
        <f aca="false">(B43+B44+2*B42)/2</f>
        <v>24521.137</v>
      </c>
      <c r="C45" s="19" t="s">
        <v>183</v>
      </c>
      <c r="D45" s="139"/>
      <c r="E45" s="140"/>
      <c r="F45" s="140"/>
      <c r="G45" s="140"/>
      <c r="H45" s="140"/>
      <c r="I45" s="140"/>
      <c r="J45" s="140"/>
      <c r="K45" s="140"/>
      <c r="L45" s="140"/>
      <c r="M45" s="141"/>
      <c r="N45" s="19"/>
      <c r="O45" s="19"/>
      <c r="P45" s="19"/>
      <c r="Q45" s="19"/>
      <c r="R45" s="19"/>
      <c r="S45" s="19"/>
      <c r="T45" s="19"/>
      <c r="U45" s="19"/>
    </row>
    <row r="46" customFormat="false" ht="12" hidden="false" customHeight="true" outlineLevel="0" collapsed="false">
      <c r="A46" s="19" t="s">
        <v>213</v>
      </c>
      <c r="B46" s="121" t="n">
        <f aca="false">((B43+B42)-(B44+B42))/((B43+B42)+(B44+B42))</f>
        <v>0.7195017099</v>
      </c>
      <c r="C46" s="19"/>
      <c r="D46" s="139"/>
      <c r="E46" s="140"/>
      <c r="F46" s="140"/>
      <c r="G46" s="140"/>
      <c r="H46" s="140"/>
      <c r="I46" s="140"/>
      <c r="J46" s="140"/>
      <c r="K46" s="140"/>
      <c r="L46" s="140"/>
      <c r="M46" s="141"/>
      <c r="N46" s="19"/>
      <c r="O46" s="19"/>
      <c r="P46" s="19"/>
      <c r="Q46" s="19"/>
      <c r="R46" s="19"/>
      <c r="S46" s="19"/>
      <c r="T46" s="19"/>
      <c r="U46" s="19"/>
    </row>
    <row r="47" customFormat="false" ht="12" hidden="false" customHeight="true" outlineLevel="0" collapsed="false">
      <c r="A47" s="19" t="s">
        <v>214</v>
      </c>
      <c r="B47" s="144" t="n">
        <v>7</v>
      </c>
      <c r="C47" s="19" t="s">
        <v>239</v>
      </c>
      <c r="D47" s="139"/>
      <c r="E47" s="140"/>
      <c r="F47" s="140"/>
      <c r="G47" s="140"/>
      <c r="H47" s="140"/>
      <c r="I47" s="140"/>
      <c r="J47" s="140"/>
      <c r="K47" s="140"/>
      <c r="L47" s="140"/>
      <c r="M47" s="141"/>
      <c r="N47" s="19"/>
      <c r="O47" s="19"/>
      <c r="P47" s="19"/>
      <c r="Q47" s="19"/>
      <c r="R47" s="19"/>
      <c r="S47" s="19"/>
      <c r="T47" s="19"/>
      <c r="U47" s="19"/>
    </row>
    <row r="48" customFormat="false" ht="12" hidden="false" customHeight="true" outlineLevel="0" collapsed="false">
      <c r="A48" s="19" t="s">
        <v>216</v>
      </c>
      <c r="B48" s="145" t="n">
        <v>180</v>
      </c>
      <c r="C48" s="19" t="s">
        <v>239</v>
      </c>
      <c r="D48" s="139"/>
      <c r="E48" s="140"/>
      <c r="F48" s="140"/>
      <c r="G48" s="140"/>
      <c r="H48" s="140"/>
      <c r="I48" s="140"/>
      <c r="J48" s="140"/>
      <c r="K48" s="140"/>
      <c r="L48" s="140"/>
      <c r="M48" s="141"/>
      <c r="N48" s="19"/>
      <c r="O48" s="19"/>
      <c r="P48" s="19"/>
      <c r="Q48" s="19"/>
      <c r="R48" s="19"/>
      <c r="S48" s="19"/>
      <c r="T48" s="19"/>
      <c r="U48" s="19"/>
    </row>
    <row r="49" customFormat="false" ht="12" hidden="false" customHeight="true" outlineLevel="0" collapsed="false">
      <c r="A49" s="19" t="s">
        <v>217</v>
      </c>
      <c r="B49" s="125" t="n">
        <v>0</v>
      </c>
      <c r="C49" s="19" t="s">
        <v>239</v>
      </c>
      <c r="D49" s="139"/>
      <c r="E49" s="140"/>
      <c r="F49" s="140"/>
      <c r="G49" s="140"/>
      <c r="H49" s="140"/>
      <c r="I49" s="140"/>
      <c r="J49" s="140"/>
      <c r="K49" s="140"/>
      <c r="L49" s="140"/>
      <c r="M49" s="141"/>
      <c r="N49" s="19"/>
      <c r="O49" s="19"/>
      <c r="P49" s="19"/>
      <c r="Q49" s="19"/>
      <c r="R49" s="19"/>
      <c r="S49" s="19"/>
      <c r="T49" s="19"/>
      <c r="U49" s="19"/>
    </row>
    <row r="50" customFormat="false" ht="12" hidden="false" customHeight="true" outlineLevel="0" collapsed="false">
      <c r="A50" s="19" t="s">
        <v>218</v>
      </c>
      <c r="B50" s="128" t="n">
        <f aca="false" t="array" ref="B50:B50">INDEX(C65:C78,B63,1)</f>
        <v>179.99999</v>
      </c>
      <c r="C50" s="19" t="s">
        <v>239</v>
      </c>
      <c r="D50" s="139"/>
      <c r="E50" s="140"/>
      <c r="F50" s="140"/>
      <c r="G50" s="140"/>
      <c r="H50" s="140"/>
      <c r="I50" s="140"/>
      <c r="J50" s="140"/>
      <c r="K50" s="140"/>
      <c r="L50" s="140"/>
      <c r="M50" s="141"/>
      <c r="N50" s="19"/>
      <c r="O50" s="19"/>
      <c r="P50" s="19"/>
      <c r="Q50" s="19"/>
      <c r="R50" s="19"/>
      <c r="S50" s="19"/>
      <c r="T50" s="19"/>
      <c r="U50" s="19"/>
    </row>
    <row r="51" customFormat="false" ht="12" hidden="false" customHeight="true" outlineLevel="0" collapsed="false">
      <c r="A51" s="19" t="s">
        <v>219</v>
      </c>
      <c r="B51" s="128" t="n">
        <f aca="false">84.4892*((B45/B42)^1.5)</f>
        <v>636.9001312</v>
      </c>
      <c r="C51" s="19" t="s">
        <v>220</v>
      </c>
      <c r="D51" s="139"/>
      <c r="E51" s="140"/>
      <c r="F51" s="140"/>
      <c r="G51" s="140"/>
      <c r="H51" s="140"/>
      <c r="I51" s="140"/>
      <c r="J51" s="140"/>
      <c r="K51" s="140"/>
      <c r="L51" s="140"/>
      <c r="M51" s="141"/>
      <c r="N51" s="19"/>
      <c r="O51" s="19"/>
      <c r="P51" s="19"/>
      <c r="Q51" s="19"/>
      <c r="R51" s="19"/>
      <c r="S51" s="19"/>
      <c r="T51" s="19"/>
      <c r="U51" s="19"/>
    </row>
    <row r="52" customFormat="false" ht="12" hidden="false" customHeight="true" outlineLevel="0" collapsed="false">
      <c r="A52" s="19" t="s">
        <v>221</v>
      </c>
      <c r="B52" s="127" t="n">
        <f aca="false">19.919482*((B42/B45)^3.5)*(1-1.25*((SIN(B47/57.29578))^2))/((1-B46^2)^2)</f>
        <v>0.7542410847</v>
      </c>
      <c r="C52" s="19" t="s">
        <v>222</v>
      </c>
      <c r="D52" s="139"/>
      <c r="E52" s="140"/>
      <c r="F52" s="140"/>
      <c r="G52" s="140"/>
      <c r="H52" s="140"/>
      <c r="I52" s="140"/>
      <c r="J52" s="140"/>
      <c r="K52" s="140"/>
      <c r="L52" s="140"/>
      <c r="M52" s="141"/>
      <c r="N52" s="19"/>
      <c r="O52" s="19"/>
      <c r="P52" s="19"/>
      <c r="Q52" s="19"/>
      <c r="R52" s="19"/>
      <c r="S52" s="19"/>
      <c r="T52" s="19"/>
      <c r="U52" s="19"/>
    </row>
    <row r="53" customFormat="false" ht="12" hidden="false" customHeight="true" outlineLevel="0" collapsed="false">
      <c r="A53" s="19" t="s">
        <v>223</v>
      </c>
      <c r="B53" s="127" t="n">
        <f aca="false">(-9.9597408/(1-B46^2)^2)*((B42/B45)^3.5)*COS(B47/57.29578)</f>
        <v>-0.381390108</v>
      </c>
      <c r="C53" s="19" t="s">
        <v>222</v>
      </c>
      <c r="D53" s="139"/>
      <c r="E53" s="140"/>
      <c r="F53" s="140"/>
      <c r="G53" s="140"/>
      <c r="H53" s="140"/>
      <c r="I53" s="140"/>
      <c r="J53" s="140"/>
      <c r="K53" s="140"/>
      <c r="L53" s="140"/>
      <c r="M53" s="141"/>
      <c r="N53" s="19"/>
      <c r="O53" s="19"/>
      <c r="P53" s="19"/>
      <c r="Q53" s="19"/>
      <c r="R53" s="19"/>
      <c r="S53" s="19"/>
      <c r="T53" s="19"/>
      <c r="U53" s="19"/>
    </row>
    <row r="54" customFormat="false" ht="12" hidden="false" customHeight="true" outlineLevel="0" collapsed="false">
      <c r="A54" s="19"/>
      <c r="B54" s="28"/>
      <c r="C54" s="19"/>
      <c r="D54" s="139"/>
      <c r="E54" s="140"/>
      <c r="F54" s="140"/>
      <c r="G54" s="140"/>
      <c r="H54" s="140"/>
      <c r="I54" s="140"/>
      <c r="J54" s="140"/>
      <c r="K54" s="140"/>
      <c r="L54" s="140"/>
      <c r="M54" s="141"/>
      <c r="N54" s="19"/>
      <c r="O54" s="19"/>
      <c r="P54" s="19"/>
      <c r="Q54" s="19"/>
      <c r="R54" s="19"/>
      <c r="S54" s="19"/>
      <c r="T54" s="19"/>
      <c r="U54" s="19"/>
    </row>
    <row r="55" customFormat="false" ht="12" hidden="false" customHeight="true" outlineLevel="0" collapsed="false">
      <c r="A55" s="19"/>
      <c r="B55" s="28" t="s">
        <v>0</v>
      </c>
      <c r="C55" s="19"/>
      <c r="D55" s="139"/>
      <c r="E55" s="140"/>
      <c r="F55" s="140"/>
      <c r="G55" s="140"/>
      <c r="H55" s="140"/>
      <c r="I55" s="140"/>
      <c r="J55" s="140"/>
      <c r="K55" s="140"/>
      <c r="L55" s="140"/>
      <c r="M55" s="141"/>
      <c r="N55" s="19"/>
      <c r="O55" s="19"/>
      <c r="P55" s="19"/>
      <c r="Q55" s="19"/>
      <c r="R55" s="19"/>
      <c r="S55" s="19"/>
      <c r="T55" s="19"/>
      <c r="U55" s="19"/>
    </row>
    <row r="56" customFormat="false" ht="12" hidden="false" customHeight="true" outlineLevel="0" collapsed="false">
      <c r="A56" s="19"/>
      <c r="B56" s="28"/>
      <c r="C56" s="19"/>
      <c r="D56" s="139"/>
      <c r="E56" s="140"/>
      <c r="F56" s="140"/>
      <c r="G56" s="140"/>
      <c r="H56" s="140"/>
      <c r="I56" s="140"/>
      <c r="J56" s="140"/>
      <c r="K56" s="140"/>
      <c r="L56" s="140"/>
      <c r="M56" s="141"/>
      <c r="N56" s="19"/>
      <c r="O56" s="19"/>
      <c r="P56" s="19"/>
      <c r="Q56" s="19"/>
      <c r="R56" s="19"/>
      <c r="S56" s="19"/>
      <c r="T56" s="19"/>
      <c r="U56" s="19"/>
    </row>
    <row r="57" customFormat="false" ht="12" hidden="false" customHeight="true" outlineLevel="0" collapsed="false">
      <c r="A57" s="19"/>
      <c r="B57" s="28"/>
      <c r="C57" s="19"/>
      <c r="D57" s="139"/>
      <c r="E57" s="140"/>
      <c r="F57" s="140"/>
      <c r="G57" s="140"/>
      <c r="H57" s="140"/>
      <c r="I57" s="140"/>
      <c r="J57" s="140"/>
      <c r="K57" s="140"/>
      <c r="L57" s="140"/>
      <c r="M57" s="141"/>
      <c r="N57" s="19"/>
      <c r="O57" s="19"/>
      <c r="P57" s="19"/>
      <c r="Q57" s="19"/>
      <c r="R57" s="19"/>
      <c r="S57" s="19"/>
      <c r="T57" s="19"/>
      <c r="U57" s="19"/>
    </row>
    <row r="58" customFormat="false" ht="12" hidden="false" customHeight="true" outlineLevel="0" collapsed="false">
      <c r="A58" s="19"/>
      <c r="B58" s="28"/>
      <c r="C58" s="146" t="s">
        <v>188</v>
      </c>
      <c r="D58" s="139"/>
      <c r="E58" s="140"/>
      <c r="F58" s="140"/>
      <c r="G58" s="140"/>
      <c r="H58" s="140"/>
      <c r="I58" s="140"/>
      <c r="J58" s="140"/>
      <c r="K58" s="140"/>
      <c r="L58" s="140"/>
      <c r="M58" s="141"/>
      <c r="N58" s="19"/>
      <c r="O58" s="19"/>
      <c r="P58" s="19"/>
      <c r="Q58" s="19"/>
      <c r="R58" s="19"/>
      <c r="S58" s="19"/>
      <c r="T58" s="19"/>
      <c r="U58" s="19"/>
    </row>
    <row r="59" customFormat="false" ht="12" hidden="false" customHeight="true" outlineLevel="0" collapsed="false">
      <c r="A59" s="19"/>
      <c r="B59" s="28"/>
      <c r="C59" s="146" t="s">
        <v>240</v>
      </c>
      <c r="D59" s="139"/>
      <c r="E59" s="140"/>
      <c r="F59" s="140"/>
      <c r="G59" s="140"/>
      <c r="H59" s="140"/>
      <c r="I59" s="140"/>
      <c r="J59" s="140"/>
      <c r="K59" s="140"/>
      <c r="L59" s="140"/>
      <c r="M59" s="141"/>
      <c r="N59" s="19"/>
      <c r="O59" s="19"/>
      <c r="P59" s="19"/>
      <c r="Q59" s="19"/>
      <c r="R59" s="19"/>
      <c r="S59" s="19"/>
      <c r="T59" s="19"/>
      <c r="U59" s="19"/>
    </row>
    <row r="60" customFormat="false" ht="12" hidden="false" customHeight="true" outlineLevel="0" collapsed="false">
      <c r="A60" s="19"/>
      <c r="B60" s="28"/>
      <c r="C60" s="146" t="s">
        <v>241</v>
      </c>
      <c r="D60" s="139"/>
      <c r="E60" s="140"/>
      <c r="F60" s="140"/>
      <c r="G60" s="140"/>
      <c r="H60" s="140"/>
      <c r="I60" s="140"/>
      <c r="J60" s="140"/>
      <c r="K60" s="140"/>
      <c r="L60" s="140"/>
      <c r="M60" s="141"/>
      <c r="N60" s="19"/>
      <c r="O60" s="19"/>
      <c r="P60" s="19"/>
      <c r="Q60" s="19"/>
      <c r="R60" s="19"/>
      <c r="S60" s="19"/>
      <c r="T60" s="19"/>
      <c r="U60" s="19"/>
    </row>
    <row r="61" customFormat="false" ht="12.75" hidden="false" customHeight="true" outlineLevel="0" collapsed="false">
      <c r="A61" s="19"/>
      <c r="B61" s="28"/>
      <c r="C61" s="19"/>
      <c r="D61" s="147"/>
      <c r="E61" s="148"/>
      <c r="F61" s="148"/>
      <c r="G61" s="148"/>
      <c r="H61" s="148"/>
      <c r="I61" s="148"/>
      <c r="J61" s="148"/>
      <c r="K61" s="148"/>
      <c r="L61" s="148"/>
      <c r="M61" s="149"/>
      <c r="N61" s="19"/>
      <c r="O61" s="19"/>
      <c r="P61" s="19"/>
      <c r="Q61" s="19"/>
      <c r="R61" s="19"/>
      <c r="S61" s="19"/>
      <c r="T61" s="19"/>
      <c r="U61" s="19"/>
    </row>
    <row r="62" customFormat="false" ht="12.75" hidden="false" customHeight="true" outlineLevel="0" collapsed="false">
      <c r="A62" s="19"/>
      <c r="B62" s="28"/>
      <c r="C62" s="19"/>
      <c r="D62" s="19"/>
      <c r="E62" s="19"/>
      <c r="F62" s="19"/>
      <c r="G62" s="19"/>
      <c r="H62" s="19"/>
      <c r="I62" s="19"/>
      <c r="J62" s="19"/>
      <c r="K62" s="19"/>
      <c r="L62" s="19"/>
      <c r="M62" s="19"/>
      <c r="N62" s="19"/>
      <c r="O62" s="19"/>
      <c r="P62" s="19"/>
      <c r="Q62" s="19"/>
      <c r="R62" s="19"/>
      <c r="S62" s="19"/>
      <c r="T62" s="19"/>
      <c r="U62" s="19"/>
    </row>
    <row r="63" customFormat="false" ht="12.75" hidden="false" customHeight="true" outlineLevel="0" collapsed="false">
      <c r="A63" s="150" t="s">
        <v>242</v>
      </c>
      <c r="B63" s="151" t="n">
        <v>13</v>
      </c>
      <c r="C63" s="152" t="n">
        <f aca="false" t="array" ref="C63:C63">INDEX(D65:D78,B63,1)</f>
        <v>35786</v>
      </c>
      <c r="D63" s="153" t="s">
        <v>243</v>
      </c>
      <c r="E63" s="19"/>
      <c r="F63" s="93" t="s">
        <v>244</v>
      </c>
      <c r="G63" s="154" t="n">
        <v>5</v>
      </c>
      <c r="H63" s="19" t="s">
        <v>215</v>
      </c>
      <c r="I63" s="155" t="s">
        <v>245</v>
      </c>
      <c r="J63" s="19"/>
      <c r="K63" s="156" t="n">
        <f aca="false">B90*(((((C63+B90)^2/B90^2)-(COS(G63/57.2958))^2)^0.5)-SIN(G63/57.2958))</f>
        <v>41126.7531875527</v>
      </c>
      <c r="L63" s="157" t="s">
        <v>183</v>
      </c>
      <c r="M63" s="19"/>
      <c r="N63" s="19"/>
      <c r="O63" s="19"/>
      <c r="P63" s="19"/>
      <c r="Q63" s="19"/>
      <c r="R63" s="19"/>
      <c r="S63" s="19"/>
      <c r="T63" s="19"/>
      <c r="U63" s="19"/>
    </row>
    <row r="64" customFormat="false" ht="12" hidden="false" customHeight="true" outlineLevel="0" collapsed="false">
      <c r="A64" s="158" t="s">
        <v>246</v>
      </c>
      <c r="B64" s="158" t="s">
        <v>247</v>
      </c>
      <c r="C64" s="158" t="s">
        <v>248</v>
      </c>
      <c r="D64" s="158" t="s">
        <v>249</v>
      </c>
      <c r="E64" s="159" t="s">
        <v>250</v>
      </c>
      <c r="F64" s="19"/>
      <c r="G64" s="159" t="s">
        <v>251</v>
      </c>
      <c r="H64" s="19"/>
      <c r="I64" s="19"/>
      <c r="J64" s="19"/>
      <c r="K64" s="19"/>
      <c r="L64" s="19"/>
      <c r="M64" s="19"/>
      <c r="N64" s="19"/>
      <c r="O64" s="19"/>
      <c r="P64" s="19"/>
      <c r="Q64" s="19"/>
      <c r="R64" s="19"/>
      <c r="S64" s="19"/>
      <c r="T64" s="19"/>
      <c r="U64" s="19"/>
    </row>
    <row r="65" customFormat="false" ht="12" hidden="false" customHeight="true" outlineLevel="0" collapsed="false">
      <c r="A65" s="160" t="n">
        <v>1</v>
      </c>
      <c r="B65" s="161" t="n">
        <f aca="false">(B45*(1-(B46)^2))/(1+B46*COS(C65/57.29578))</f>
        <v>6878.137</v>
      </c>
      <c r="C65" s="162" t="n">
        <v>0</v>
      </c>
      <c r="D65" s="163" t="n">
        <f aca="false">B65-B42</f>
        <v>500</v>
      </c>
      <c r="E65" s="164" t="n">
        <f aca="false">180-C65</f>
        <v>180</v>
      </c>
      <c r="F65" s="112" t="s">
        <v>252</v>
      </c>
      <c r="G65" s="165" t="n">
        <v>35</v>
      </c>
      <c r="H65" s="112" t="s">
        <v>0</v>
      </c>
      <c r="I65" s="112"/>
      <c r="J65" s="112"/>
      <c r="K65" s="112"/>
      <c r="L65" s="112"/>
      <c r="M65" s="112"/>
      <c r="N65" s="19"/>
      <c r="O65" s="19"/>
      <c r="P65" s="19"/>
      <c r="Q65" s="19"/>
      <c r="R65" s="19"/>
      <c r="S65" s="19"/>
      <c r="T65" s="19"/>
      <c r="U65" s="19"/>
    </row>
    <row r="66" customFormat="false" ht="12.75" hidden="false" customHeight="true" outlineLevel="0" collapsed="false">
      <c r="A66" s="160" t="n">
        <v>2</v>
      </c>
      <c r="B66" s="161" t="n">
        <f aca="false">(B45*(1-(B46)^2))/(1+B46*COS(C66/57.29578))</f>
        <v>6977.623018</v>
      </c>
      <c r="C66" s="160" t="n">
        <v>15</v>
      </c>
      <c r="D66" s="163" t="n">
        <f aca="false">B66-B42</f>
        <v>599.4860175</v>
      </c>
      <c r="E66" s="164" t="n">
        <f aca="false">180-C66</f>
        <v>165</v>
      </c>
      <c r="F66" s="112" t="s">
        <v>252</v>
      </c>
      <c r="G66" s="165" t="n">
        <v>35</v>
      </c>
      <c r="H66" s="112"/>
      <c r="I66" s="112"/>
      <c r="J66" s="112"/>
      <c r="K66" s="112"/>
      <c r="L66" s="112"/>
      <c r="M66" s="112"/>
      <c r="N66" s="19"/>
      <c r="O66" s="19"/>
      <c r="P66" s="19"/>
      <c r="Q66" s="19"/>
      <c r="R66" s="19"/>
      <c r="S66" s="19"/>
      <c r="T66" s="19"/>
      <c r="U66" s="19"/>
    </row>
    <row r="67" customFormat="false" ht="12.75" hidden="false" customHeight="true" outlineLevel="0" collapsed="false">
      <c r="A67" s="160" t="n">
        <v>3</v>
      </c>
      <c r="B67" s="161" t="n">
        <f aca="false">(B45*(1-(B46)^2))/(1+B46*COS(C67/57.29578))</f>
        <v>7286.623789</v>
      </c>
      <c r="C67" s="160" t="n">
        <v>30</v>
      </c>
      <c r="D67" s="163" t="n">
        <f aca="false">B67-B42</f>
        <v>908.4867888</v>
      </c>
      <c r="E67" s="164" t="n">
        <f aca="false">180-C67</f>
        <v>150</v>
      </c>
      <c r="F67" s="112" t="s">
        <v>252</v>
      </c>
      <c r="G67" s="165" t="n">
        <v>35</v>
      </c>
      <c r="H67" s="166"/>
      <c r="I67" s="167" t="s">
        <v>253</v>
      </c>
      <c r="J67" s="167"/>
      <c r="K67" s="167"/>
      <c r="L67" s="168"/>
      <c r="M67" s="112"/>
      <c r="N67" s="19"/>
      <c r="O67" s="19"/>
      <c r="P67" s="19"/>
      <c r="Q67" s="19"/>
      <c r="R67" s="19"/>
      <c r="S67" s="19"/>
      <c r="T67" s="19"/>
      <c r="U67" s="19"/>
    </row>
    <row r="68" customFormat="false" ht="15" hidden="false" customHeight="true" outlineLevel="0" collapsed="false">
      <c r="A68" s="160" t="n">
        <v>4</v>
      </c>
      <c r="B68" s="161" t="n">
        <f aca="false">(B45*(1-(B46)^2))/(1+B46*COS(C68/57.29578))</f>
        <v>7838.842978</v>
      </c>
      <c r="C68" s="160" t="n">
        <v>45</v>
      </c>
      <c r="D68" s="163" t="n">
        <f aca="false">B68-B42</f>
        <v>1460.705978</v>
      </c>
      <c r="E68" s="164" t="n">
        <f aca="false">180-C68</f>
        <v>135</v>
      </c>
      <c r="F68" s="112" t="s">
        <v>252</v>
      </c>
      <c r="G68" s="165" t="n">
        <v>35</v>
      </c>
      <c r="H68" s="169" t="s">
        <v>254</v>
      </c>
      <c r="I68" s="8"/>
      <c r="J68" s="170"/>
      <c r="K68" s="171" t="n">
        <f aca="false">2*((ASIN(B42/(B42+C63)))*57.2958)</f>
        <v>17.400982397943</v>
      </c>
      <c r="L68" s="172" t="s">
        <v>215</v>
      </c>
      <c r="M68" s="112"/>
      <c r="N68" s="19"/>
      <c r="O68" s="19"/>
      <c r="P68" s="19"/>
      <c r="Q68" s="19"/>
      <c r="R68" s="19"/>
      <c r="S68" s="19"/>
      <c r="T68" s="19"/>
      <c r="U68" s="19"/>
    </row>
    <row r="69" customFormat="false" ht="12.75" hidden="false" customHeight="true" outlineLevel="0" collapsed="false">
      <c r="A69" s="160" t="n">
        <v>5</v>
      </c>
      <c r="B69" s="161" t="n">
        <f aca="false">(B45*(1-(B46)^2))/(1+B46*COS(C69/57.29578))</f>
        <v>8697.893619</v>
      </c>
      <c r="C69" s="160" t="n">
        <v>60</v>
      </c>
      <c r="D69" s="163" t="n">
        <f aca="false">B69-B42</f>
        <v>2319.756619</v>
      </c>
      <c r="E69" s="164" t="n">
        <f aca="false">180-C69</f>
        <v>120</v>
      </c>
      <c r="F69" s="112" t="s">
        <v>252</v>
      </c>
      <c r="G69" s="165" t="n">
        <v>35</v>
      </c>
      <c r="H69" s="173" t="s">
        <v>255</v>
      </c>
      <c r="I69" s="8"/>
      <c r="J69" s="170"/>
      <c r="K69" s="174" t="n">
        <v>10</v>
      </c>
      <c r="L69" s="175" t="s">
        <v>215</v>
      </c>
      <c r="M69" s="112"/>
      <c r="N69" s="19"/>
      <c r="O69" s="19"/>
      <c r="P69" s="19"/>
      <c r="Q69" s="19"/>
      <c r="R69" s="19"/>
      <c r="S69" s="19"/>
      <c r="T69" s="19"/>
      <c r="U69" s="19"/>
    </row>
    <row r="70" customFormat="false" ht="12.75" hidden="false" customHeight="true" outlineLevel="0" collapsed="false">
      <c r="A70" s="160" t="n">
        <v>6</v>
      </c>
      <c r="B70" s="161" t="n">
        <f aca="false">(B45*(1-(B46)^2))/(1+B46*COS(C70/57.29578))</f>
        <v>9970.292882</v>
      </c>
      <c r="C70" s="160" t="n">
        <v>75</v>
      </c>
      <c r="D70" s="163" t="n">
        <f aca="false">B70-B42</f>
        <v>3592.155882</v>
      </c>
      <c r="E70" s="164" t="n">
        <f aca="false">180-C70</f>
        <v>105</v>
      </c>
      <c r="F70" s="112" t="s">
        <v>252</v>
      </c>
      <c r="G70" s="165" t="n">
        <v>35</v>
      </c>
      <c r="H70" s="173" t="s">
        <v>256</v>
      </c>
      <c r="I70" s="8"/>
      <c r="J70" s="170"/>
      <c r="K70" s="171" t="n">
        <f aca="false">K68/2+K69</f>
        <v>18.7004911989715</v>
      </c>
      <c r="L70" s="172" t="s">
        <v>215</v>
      </c>
      <c r="M70" s="112"/>
      <c r="N70" s="19"/>
      <c r="O70" s="19"/>
      <c r="P70" s="19"/>
      <c r="Q70" s="19"/>
      <c r="R70" s="19"/>
      <c r="S70" s="19"/>
      <c r="T70" s="19"/>
      <c r="U70" s="19"/>
    </row>
    <row r="71" customFormat="false" ht="12.75" hidden="false" customHeight="true" outlineLevel="0" collapsed="false">
      <c r="A71" s="160" t="n">
        <v>7</v>
      </c>
      <c r="B71" s="161" t="n">
        <f aca="false">(B45*(1-(B46)^2))/(1+B46*COS(C71/57.29578))</f>
        <v>11826.96822</v>
      </c>
      <c r="C71" s="160" t="n">
        <v>90</v>
      </c>
      <c r="D71" s="163" t="n">
        <f aca="false">B71-B42</f>
        <v>5448.831219</v>
      </c>
      <c r="E71" s="164" t="n">
        <f aca="false">180-C71</f>
        <v>90</v>
      </c>
      <c r="F71" s="112" t="s">
        <v>252</v>
      </c>
      <c r="G71" s="165" t="n">
        <v>35</v>
      </c>
      <c r="H71" s="173" t="s">
        <v>257</v>
      </c>
      <c r="I71" s="8"/>
      <c r="J71" s="170"/>
      <c r="K71" s="176" t="n">
        <f aca="false">'Antenna Pointing Losses'!K63</f>
        <v>0</v>
      </c>
      <c r="L71" s="172" t="s">
        <v>258</v>
      </c>
      <c r="M71" s="112"/>
      <c r="N71" s="19"/>
      <c r="O71" s="19"/>
      <c r="P71" s="19"/>
      <c r="Q71" s="19"/>
      <c r="R71" s="19"/>
      <c r="S71" s="19"/>
      <c r="T71" s="19"/>
      <c r="U71" s="19"/>
    </row>
    <row r="72" customFormat="false" ht="12.75" hidden="false" customHeight="true" outlineLevel="0" collapsed="false">
      <c r="A72" s="160" t="n">
        <v>8</v>
      </c>
      <c r="B72" s="161" t="n">
        <f aca="false">(B45*(1-(B46)^2))/(1+B46*COS(C72/57.29578))</f>
        <v>14533.38619</v>
      </c>
      <c r="C72" s="160" t="n">
        <v>105</v>
      </c>
      <c r="D72" s="163" t="n">
        <f aca="false">B72-B42</f>
        <v>8155.249185</v>
      </c>
      <c r="E72" s="164" t="n">
        <f aca="false">180-C72</f>
        <v>75</v>
      </c>
      <c r="F72" s="112" t="s">
        <v>252</v>
      </c>
      <c r="G72" s="165" t="n">
        <v>35</v>
      </c>
      <c r="H72" s="173" t="s">
        <v>259</v>
      </c>
      <c r="I72" s="8"/>
      <c r="J72" s="170"/>
      <c r="K72" s="176" t="n">
        <f aca="false">'Antenna Pointing Losses'!K85</f>
        <v>0</v>
      </c>
      <c r="L72" s="172" t="s">
        <v>258</v>
      </c>
      <c r="M72" s="112"/>
      <c r="N72" s="19"/>
      <c r="O72" s="19"/>
      <c r="P72" s="19"/>
      <c r="Q72" s="19"/>
      <c r="R72" s="19"/>
      <c r="S72" s="19"/>
      <c r="T72" s="19"/>
      <c r="U72" s="19"/>
    </row>
    <row r="73" customFormat="false" ht="12.75" hidden="false" customHeight="true" outlineLevel="0" collapsed="false">
      <c r="A73" s="160" t="n">
        <v>9</v>
      </c>
      <c r="B73" s="161" t="n">
        <f aca="false">(B45*(1-(B46)^2))/(1+B46*COS(C73/57.29578))</f>
        <v>18472.44658</v>
      </c>
      <c r="C73" s="160" t="n">
        <v>120</v>
      </c>
      <c r="D73" s="163" t="n">
        <f aca="false">B73-B42</f>
        <v>12094.30958</v>
      </c>
      <c r="E73" s="164" t="n">
        <f aca="false">180-C73</f>
        <v>60</v>
      </c>
      <c r="F73" s="112" t="s">
        <v>252</v>
      </c>
      <c r="G73" s="165" t="n">
        <v>35</v>
      </c>
      <c r="H73" s="173" t="s">
        <v>260</v>
      </c>
      <c r="I73" s="8"/>
      <c r="J73" s="170"/>
      <c r="K73" s="171" t="n">
        <f aca="false">'Downlink Budget'!B30</f>
        <v>22.9583854337503</v>
      </c>
      <c r="L73" s="172" t="s">
        <v>258</v>
      </c>
      <c r="M73" s="112"/>
      <c r="N73" s="19"/>
      <c r="O73" s="19"/>
      <c r="P73" s="19"/>
      <c r="Q73" s="19"/>
      <c r="R73" s="19"/>
      <c r="S73" s="19"/>
      <c r="T73" s="19"/>
      <c r="U73" s="19"/>
    </row>
    <row r="74" customFormat="false" ht="12.75" hidden="false" customHeight="true" outlineLevel="0" collapsed="false">
      <c r="A74" s="160" t="n">
        <v>10</v>
      </c>
      <c r="B74" s="161" t="n">
        <f aca="false">(B45*(1-(B46)^2))/(1+B46*COS(C74/57.29578))</f>
        <v>24075.96561</v>
      </c>
      <c r="C74" s="160" t="n">
        <v>135</v>
      </c>
      <c r="D74" s="163" t="n">
        <f aca="false">B74-B42</f>
        <v>17697.82861</v>
      </c>
      <c r="E74" s="164" t="n">
        <f aca="false">180-C74</f>
        <v>45</v>
      </c>
      <c r="F74" s="112" t="s">
        <v>252</v>
      </c>
      <c r="G74" s="165" t="n">
        <v>40</v>
      </c>
      <c r="H74" s="9" t="s">
        <v>261</v>
      </c>
      <c r="I74" s="10"/>
      <c r="J74" s="89"/>
      <c r="K74" s="177" t="n">
        <f aca="false">'Uplink Budget'!B30</f>
        <v>35.9101479058681</v>
      </c>
      <c r="L74" s="178" t="s">
        <v>258</v>
      </c>
      <c r="M74" s="112"/>
      <c r="N74" s="19"/>
      <c r="O74" s="19"/>
      <c r="P74" s="19"/>
      <c r="Q74" s="19"/>
      <c r="R74" s="19"/>
      <c r="S74" s="19"/>
      <c r="T74" s="19"/>
      <c r="U74" s="19"/>
    </row>
    <row r="75" customFormat="false" ht="12" hidden="false" customHeight="true" outlineLevel="0" collapsed="false">
      <c r="A75" s="160" t="n">
        <v>11</v>
      </c>
      <c r="B75" s="161" t="n">
        <f aca="false">(B45*(1-(B46)^2))/(1+B46*COS(C75/57.29578))</f>
        <v>31380.15435</v>
      </c>
      <c r="C75" s="160" t="n">
        <v>150</v>
      </c>
      <c r="D75" s="163" t="n">
        <f aca="false">B75-B42</f>
        <v>25002.01735</v>
      </c>
      <c r="E75" s="164" t="n">
        <f aca="false">180-C75</f>
        <v>30</v>
      </c>
      <c r="F75" s="112" t="s">
        <v>252</v>
      </c>
      <c r="G75" s="165" t="n">
        <v>50</v>
      </c>
      <c r="H75" s="112"/>
      <c r="I75" s="112"/>
      <c r="J75" s="112"/>
      <c r="K75" s="112"/>
      <c r="L75" s="112"/>
      <c r="M75" s="112"/>
      <c r="N75" s="19"/>
      <c r="O75" s="19"/>
      <c r="P75" s="19"/>
      <c r="Q75" s="19"/>
      <c r="R75" s="19"/>
      <c r="S75" s="19"/>
      <c r="T75" s="19"/>
      <c r="U75" s="19"/>
    </row>
    <row r="76" customFormat="false" ht="12" hidden="false" customHeight="true" outlineLevel="0" collapsed="false">
      <c r="A76" s="160" t="n">
        <v>12</v>
      </c>
      <c r="B76" s="161" t="n">
        <f aca="false">(B45*(1-(B46)^2))/(1+B46*COS(C76/57.29578))</f>
        <v>38775.07386</v>
      </c>
      <c r="C76" s="160" t="n">
        <v>165</v>
      </c>
      <c r="D76" s="163" t="n">
        <f aca="false">B76-B42</f>
        <v>32396.93686</v>
      </c>
      <c r="E76" s="164" t="n">
        <f aca="false">180-C76</f>
        <v>15</v>
      </c>
      <c r="F76" s="112" t="s">
        <v>252</v>
      </c>
      <c r="G76" s="165" t="n">
        <v>90</v>
      </c>
      <c r="H76" s="112"/>
      <c r="I76" s="112"/>
      <c r="J76" s="112"/>
      <c r="K76" s="112"/>
      <c r="L76" s="112"/>
      <c r="M76" s="112"/>
      <c r="N76" s="19"/>
      <c r="O76" s="19"/>
      <c r="P76" s="19"/>
      <c r="Q76" s="19"/>
      <c r="R76" s="19"/>
      <c r="S76" s="19"/>
      <c r="T76" s="19"/>
      <c r="U76" s="19"/>
    </row>
    <row r="77" customFormat="false" ht="12" hidden="false" customHeight="true" outlineLevel="0" collapsed="false">
      <c r="A77" s="160" t="n">
        <v>13</v>
      </c>
      <c r="B77" s="161" t="n">
        <f aca="false">(B45*(1-(B46)^2))/(1+B46*COS(C77/57.29578))</f>
        <v>42164.137</v>
      </c>
      <c r="C77" s="162" t="n">
        <v>179.99999</v>
      </c>
      <c r="D77" s="163" t="n">
        <f aca="false">B77-B42</f>
        <v>35786</v>
      </c>
      <c r="E77" s="164" t="n">
        <f aca="false">180-C77</f>
        <v>1.00000000031741E-005</v>
      </c>
      <c r="F77" s="112" t="s">
        <v>252</v>
      </c>
      <c r="G77" s="165" t="n">
        <v>170</v>
      </c>
      <c r="H77" s="112"/>
      <c r="I77" s="112"/>
      <c r="J77" s="112"/>
      <c r="K77" s="112"/>
      <c r="L77" s="112"/>
      <c r="M77" s="112"/>
      <c r="N77" s="19"/>
      <c r="O77" s="19"/>
      <c r="P77" s="19"/>
      <c r="Q77" s="19"/>
      <c r="R77" s="19"/>
      <c r="S77" s="19"/>
      <c r="T77" s="19"/>
      <c r="U77" s="19"/>
    </row>
    <row r="78" customFormat="false" ht="12" hidden="false" customHeight="true" outlineLevel="0" collapsed="false">
      <c r="A78" s="179" t="n">
        <v>14</v>
      </c>
      <c r="B78" s="180" t="n">
        <f aca="false">(B45*(1-(B46)^2))/(1+B46*COS(C78/57.29578))</f>
        <v>41756.55439</v>
      </c>
      <c r="C78" s="181" t="n">
        <v>175</v>
      </c>
      <c r="D78" s="182" t="n">
        <f aca="false">B78-B42</f>
        <v>35378.41739</v>
      </c>
      <c r="E78" s="183" t="n">
        <f aca="false">180-C78</f>
        <v>5</v>
      </c>
      <c r="F78" s="184" t="s">
        <v>252</v>
      </c>
      <c r="G78" s="185" t="n">
        <v>160</v>
      </c>
      <c r="H78" s="184"/>
      <c r="I78" s="186" t="s">
        <v>262</v>
      </c>
      <c r="J78" s="184"/>
      <c r="K78" s="184"/>
      <c r="L78" s="184"/>
      <c r="M78" s="187"/>
      <c r="N78" s="19"/>
      <c r="O78" s="19"/>
      <c r="P78" s="19"/>
      <c r="Q78" s="19"/>
      <c r="R78" s="19"/>
      <c r="S78" s="19"/>
      <c r="T78" s="19"/>
      <c r="U78" s="19"/>
    </row>
    <row r="79" customFormat="false" ht="12" hidden="false" customHeight="true" outlineLevel="0" collapsed="false">
      <c r="A79" s="19"/>
      <c r="B79" s="19" t="s">
        <v>0</v>
      </c>
      <c r="C79" s="19"/>
      <c r="D79" s="19"/>
      <c r="E79" s="19" t="s">
        <v>0</v>
      </c>
      <c r="F79" s="19"/>
      <c r="G79" s="19"/>
      <c r="H79" s="19"/>
      <c r="I79" s="19"/>
      <c r="J79" s="19"/>
      <c r="K79" s="19"/>
      <c r="L79" s="19"/>
      <c r="M79" s="19"/>
      <c r="N79" s="19"/>
      <c r="O79" s="19"/>
      <c r="P79" s="19"/>
      <c r="Q79" s="19"/>
      <c r="R79" s="19"/>
      <c r="S79" s="19"/>
      <c r="T79" s="19"/>
      <c r="U79" s="19"/>
    </row>
    <row r="80" customFormat="false" ht="12" hidden="false" customHeight="true" outlineLevel="0" collapsed="false">
      <c r="A80" s="19"/>
      <c r="B80" s="19"/>
      <c r="C80" s="19"/>
      <c r="D80" s="19"/>
      <c r="E80" s="19"/>
      <c r="F80" s="19"/>
      <c r="G80" s="19"/>
      <c r="H80" s="19"/>
      <c r="I80" s="19"/>
      <c r="J80" s="19"/>
      <c r="K80" s="19"/>
      <c r="L80" s="19"/>
      <c r="M80" s="19"/>
      <c r="N80" s="19"/>
      <c r="O80" s="19"/>
      <c r="P80" s="19"/>
      <c r="Q80" s="19"/>
      <c r="R80" s="19"/>
      <c r="S80" s="19"/>
      <c r="T80" s="19"/>
      <c r="U80" s="19"/>
    </row>
    <row r="81" customFormat="false" ht="12" hidden="false" customHeight="true" outlineLevel="0" collapsed="false">
      <c r="A81" s="19"/>
      <c r="B81" s="19"/>
      <c r="C81" s="19"/>
      <c r="D81" s="19"/>
      <c r="E81" s="19"/>
      <c r="F81" s="19"/>
      <c r="G81" s="19"/>
      <c r="H81" s="19"/>
      <c r="I81" s="19"/>
      <c r="J81" s="19"/>
      <c r="K81" s="19"/>
      <c r="L81" s="19"/>
      <c r="M81" s="19"/>
      <c r="N81" s="19"/>
      <c r="O81" s="19"/>
      <c r="P81" s="19"/>
      <c r="Q81" s="19"/>
      <c r="R81" s="19"/>
      <c r="S81" s="19"/>
      <c r="T81" s="19"/>
      <c r="U81" s="19"/>
    </row>
    <row r="82" customFormat="false" ht="12" hidden="false" customHeight="true" outlineLevel="0" collapsed="false">
      <c r="A82" s="19"/>
      <c r="B82" s="19"/>
      <c r="C82" s="19"/>
      <c r="D82" s="19"/>
      <c r="E82" s="19"/>
      <c r="F82" s="19"/>
      <c r="G82" s="19"/>
      <c r="H82" s="19"/>
      <c r="I82" s="19"/>
      <c r="J82" s="19"/>
      <c r="K82" s="19"/>
      <c r="L82" s="19"/>
      <c r="M82" s="19"/>
      <c r="N82" s="19"/>
      <c r="O82" s="19"/>
      <c r="P82" s="19"/>
      <c r="Q82" s="19"/>
      <c r="R82" s="19"/>
      <c r="S82" s="19"/>
      <c r="T82" s="19"/>
      <c r="U82" s="19"/>
    </row>
    <row r="83" customFormat="false" ht="12" hidden="false" customHeight="true" outlineLevel="0" collapsed="false">
      <c r="A83" s="19"/>
      <c r="B83" s="19"/>
      <c r="C83" s="19"/>
      <c r="D83" s="19"/>
      <c r="E83" s="19"/>
      <c r="F83" s="19"/>
      <c r="G83" s="19"/>
      <c r="H83" s="19"/>
      <c r="I83" s="19"/>
      <c r="J83" s="19"/>
      <c r="K83" s="19"/>
      <c r="L83" s="19"/>
      <c r="M83" s="19"/>
      <c r="N83" s="19"/>
      <c r="O83" s="19"/>
      <c r="P83" s="19"/>
      <c r="Q83" s="19"/>
      <c r="R83" s="19"/>
      <c r="S83" s="19"/>
      <c r="T83" s="19"/>
      <c r="U83" s="19"/>
    </row>
    <row r="84" customFormat="false" ht="12.75" hidden="false" customHeight="true" outlineLevel="0" collapsed="false">
      <c r="A84" s="107"/>
      <c r="B84" s="107"/>
      <c r="C84" s="107"/>
      <c r="D84" s="107"/>
      <c r="E84" s="107"/>
      <c r="F84" s="107"/>
      <c r="G84" s="107"/>
      <c r="H84" s="107"/>
      <c r="I84" s="107"/>
      <c r="J84" s="107"/>
      <c r="K84" s="107"/>
      <c r="L84" s="107"/>
      <c r="M84" s="107"/>
      <c r="N84" s="107"/>
      <c r="O84" s="107"/>
      <c r="P84" s="107"/>
      <c r="Q84" s="107"/>
      <c r="R84" s="107"/>
      <c r="S84" s="107"/>
      <c r="T84" s="107"/>
      <c r="U84" s="107"/>
    </row>
    <row r="85" customFormat="false" ht="15" hidden="false" customHeight="true" outlineLevel="0" collapsed="false">
      <c r="A85" s="133" t="s">
        <v>263</v>
      </c>
      <c r="B85" s="112"/>
      <c r="C85" s="112"/>
      <c r="D85" s="134" t="s">
        <v>60</v>
      </c>
      <c r="E85" s="112"/>
      <c r="F85" s="112"/>
      <c r="G85" s="112"/>
      <c r="H85" s="112"/>
      <c r="I85" s="112"/>
      <c r="J85" s="112"/>
      <c r="K85" s="112"/>
      <c r="L85" s="112"/>
      <c r="M85" s="112"/>
      <c r="N85" s="112"/>
      <c r="O85" s="112"/>
      <c r="P85" s="112"/>
      <c r="Q85" s="112"/>
      <c r="R85" s="112"/>
      <c r="S85" s="112"/>
      <c r="T85" s="112"/>
      <c r="U85" s="112"/>
    </row>
    <row r="86" customFormat="false" ht="12" hidden="false" customHeight="true" outlineLevel="0" collapsed="false">
      <c r="A86" s="19"/>
      <c r="B86" s="19"/>
      <c r="C86" s="19"/>
      <c r="D86" s="19"/>
      <c r="E86" s="19"/>
      <c r="F86" s="19"/>
      <c r="G86" s="19"/>
      <c r="H86" s="19"/>
      <c r="I86" s="19"/>
      <c r="J86" s="19"/>
      <c r="K86" s="19"/>
      <c r="L86" s="19"/>
      <c r="M86" s="19"/>
      <c r="N86" s="19"/>
      <c r="O86" s="19"/>
      <c r="P86" s="19"/>
      <c r="Q86" s="19"/>
      <c r="R86" s="19"/>
      <c r="S86" s="19"/>
      <c r="T86" s="19"/>
      <c r="U86" s="19"/>
    </row>
    <row r="87" customFormat="false" ht="12" hidden="false" customHeight="true" outlineLevel="0" collapsed="false">
      <c r="A87" s="21" t="s">
        <v>264</v>
      </c>
      <c r="B87" s="19"/>
      <c r="C87" s="19"/>
      <c r="D87" s="19"/>
      <c r="E87" s="19"/>
      <c r="F87" s="19"/>
      <c r="G87" s="19"/>
      <c r="H87" s="19"/>
      <c r="I87" s="19"/>
      <c r="J87" s="19"/>
      <c r="K87" s="19"/>
      <c r="L87" s="19"/>
      <c r="M87" s="19"/>
      <c r="N87" s="19"/>
      <c r="O87" s="19"/>
      <c r="P87" s="19"/>
      <c r="Q87" s="19"/>
      <c r="R87" s="19"/>
      <c r="S87" s="19"/>
      <c r="T87" s="19"/>
      <c r="U87" s="19"/>
    </row>
    <row r="88" customFormat="false" ht="12.75" hidden="false" customHeight="true" outlineLevel="0" collapsed="false">
      <c r="A88" s="188" t="s">
        <v>206</v>
      </c>
      <c r="B88" s="189" t="s">
        <v>207</v>
      </c>
      <c r="C88" s="188" t="s">
        <v>208</v>
      </c>
      <c r="D88" s="188" t="s">
        <v>265</v>
      </c>
      <c r="E88" s="19"/>
      <c r="F88" s="19"/>
      <c r="G88" s="19"/>
      <c r="H88" s="19"/>
      <c r="I88" s="19"/>
      <c r="J88" s="19"/>
      <c r="K88" s="19"/>
      <c r="L88" s="19"/>
      <c r="M88" s="19"/>
      <c r="N88" s="19"/>
      <c r="O88" s="19"/>
      <c r="P88" s="19"/>
      <c r="Q88" s="19"/>
      <c r="R88" s="19"/>
      <c r="S88" s="19"/>
      <c r="T88" s="19"/>
      <c r="U88" s="19"/>
    </row>
    <row r="89" customFormat="false" ht="17.25" hidden="false" customHeight="true" outlineLevel="0" collapsed="false">
      <c r="A89" s="190" t="s">
        <v>266</v>
      </c>
      <c r="B89" s="191" t="n">
        <f aca="false">B91-B90</f>
        <v>35786.0187</v>
      </c>
      <c r="C89" s="190" t="s">
        <v>183</v>
      </c>
      <c r="D89" s="190" t="s">
        <v>267</v>
      </c>
      <c r="E89" s="19"/>
      <c r="F89" s="19"/>
      <c r="G89" s="19"/>
      <c r="H89" s="19"/>
      <c r="I89" s="19"/>
      <c r="J89" s="19"/>
      <c r="K89" s="19"/>
      <c r="L89" s="19"/>
      <c r="M89" s="19"/>
      <c r="N89" s="19"/>
      <c r="O89" s="19"/>
      <c r="P89" s="19"/>
      <c r="Q89" s="19"/>
      <c r="R89" s="19"/>
      <c r="S89" s="19"/>
      <c r="T89" s="19"/>
      <c r="U89" s="19"/>
    </row>
    <row r="90" customFormat="false" ht="12.75" hidden="false" customHeight="true" outlineLevel="0" collapsed="false">
      <c r="A90" s="190" t="s">
        <v>268</v>
      </c>
      <c r="B90" s="191" t="n">
        <v>6378.137</v>
      </c>
      <c r="C90" s="190" t="s">
        <v>183</v>
      </c>
      <c r="D90" s="192"/>
      <c r="E90" s="19"/>
      <c r="F90" s="19"/>
      <c r="G90" s="19"/>
      <c r="H90" s="19"/>
      <c r="I90" s="19"/>
      <c r="J90" s="19"/>
      <c r="K90" s="19"/>
      <c r="L90" s="19"/>
      <c r="M90" s="19"/>
      <c r="N90" s="19"/>
      <c r="O90" s="19"/>
      <c r="P90" s="19"/>
      <c r="Q90" s="19"/>
      <c r="R90" s="19"/>
      <c r="S90" s="19"/>
      <c r="T90" s="19"/>
      <c r="U90" s="19"/>
    </row>
    <row r="91" customFormat="false" ht="12.75" hidden="false" customHeight="true" outlineLevel="0" collapsed="false">
      <c r="A91" s="190" t="s">
        <v>269</v>
      </c>
      <c r="B91" s="191" t="n">
        <f aca="false">(398600000000000*(86400*(365.25/366.25)/(2*PI()))^2)^(1/3)/1000</f>
        <v>42164.1557</v>
      </c>
      <c r="C91" s="190" t="s">
        <v>183</v>
      </c>
      <c r="D91" s="19" t="s">
        <v>270</v>
      </c>
      <c r="E91" s="19"/>
      <c r="F91" s="19"/>
      <c r="G91" s="19"/>
      <c r="H91" s="19"/>
      <c r="I91" s="19"/>
      <c r="J91" s="19"/>
      <c r="K91" s="19"/>
      <c r="L91" s="19"/>
      <c r="M91" s="19"/>
      <c r="N91" s="19"/>
      <c r="O91" s="19"/>
      <c r="P91" s="19"/>
      <c r="Q91" s="19"/>
      <c r="R91" s="19"/>
      <c r="S91" s="19"/>
      <c r="T91" s="19"/>
      <c r="U91" s="19"/>
    </row>
    <row r="92" customFormat="false" ht="12.75" hidden="false" customHeight="true" outlineLevel="0" collapsed="false">
      <c r="A92" s="190" t="s">
        <v>271</v>
      </c>
      <c r="B92" s="191" t="n">
        <v>37410</v>
      </c>
      <c r="C92" s="19" t="s">
        <v>183</v>
      </c>
      <c r="D92" s="19" t="s">
        <v>272</v>
      </c>
      <c r="E92" s="19"/>
      <c r="F92" s="19"/>
      <c r="G92" s="19"/>
      <c r="H92" s="19"/>
      <c r="I92" s="19"/>
      <c r="J92" s="19"/>
      <c r="K92" s="19"/>
      <c r="L92" s="19"/>
      <c r="M92" s="19"/>
      <c r="N92" s="19"/>
      <c r="O92" s="19"/>
      <c r="P92" s="19"/>
      <c r="Q92" s="19"/>
      <c r="R92" s="19"/>
      <c r="S92" s="19"/>
      <c r="T92" s="19"/>
      <c r="U92" s="19"/>
    </row>
    <row r="93" customFormat="false" ht="12.75" hidden="false" customHeight="true" outlineLevel="0" collapsed="false">
      <c r="A93" s="190" t="s">
        <v>273</v>
      </c>
      <c r="B93" s="191" t="n">
        <v>35786.019</v>
      </c>
      <c r="C93" s="190" t="s">
        <v>183</v>
      </c>
      <c r="D93" s="19" t="s">
        <v>274</v>
      </c>
      <c r="E93" s="19"/>
      <c r="F93" s="19"/>
      <c r="G93" s="19"/>
      <c r="H93" s="19"/>
      <c r="I93" s="19"/>
      <c r="J93" s="19"/>
      <c r="K93" s="19"/>
      <c r="L93" s="19"/>
      <c r="M93" s="19"/>
      <c r="N93" s="19"/>
      <c r="O93" s="19"/>
      <c r="P93" s="19"/>
      <c r="Q93" s="19"/>
      <c r="R93" s="19"/>
      <c r="S93" s="19"/>
      <c r="T93" s="19"/>
      <c r="U93" s="19"/>
    </row>
    <row r="94" customFormat="false" ht="12.75" hidden="false" customHeight="true" outlineLevel="0" collapsed="false">
      <c r="A94" s="190" t="s">
        <v>275</v>
      </c>
      <c r="B94" s="191" t="n">
        <v>41678.957</v>
      </c>
      <c r="C94" s="190" t="s">
        <v>183</v>
      </c>
      <c r="D94" s="19" t="s">
        <v>276</v>
      </c>
      <c r="E94" s="19"/>
      <c r="F94" s="19"/>
      <c r="G94" s="19"/>
      <c r="H94" s="19"/>
      <c r="I94" s="19"/>
      <c r="J94" s="19"/>
      <c r="K94" s="19"/>
      <c r="L94" s="19"/>
      <c r="M94" s="19"/>
      <c r="N94" s="19"/>
      <c r="O94" s="19"/>
      <c r="P94" s="19"/>
      <c r="Q94" s="19"/>
      <c r="R94" s="19"/>
      <c r="S94" s="19"/>
      <c r="T94" s="19"/>
      <c r="U94" s="19"/>
    </row>
    <row r="95" customFormat="false" ht="12.75" hidden="false" customHeight="true" outlineLevel="0" collapsed="false">
      <c r="A95" s="19" t="s">
        <v>0</v>
      </c>
      <c r="B95" s="193" t="s">
        <v>0</v>
      </c>
      <c r="C95" s="19" t="s">
        <v>0</v>
      </c>
      <c r="D95" s="19"/>
      <c r="E95" s="19"/>
      <c r="F95" s="19"/>
      <c r="G95" s="19"/>
      <c r="H95" s="19"/>
      <c r="I95" s="19"/>
      <c r="J95" s="19"/>
      <c r="K95" s="19"/>
      <c r="L95" s="19"/>
      <c r="M95" s="19"/>
      <c r="N95" s="19"/>
      <c r="O95" s="194" t="s">
        <v>277</v>
      </c>
      <c r="P95" s="19"/>
      <c r="Q95" s="19"/>
      <c r="R95" s="19"/>
      <c r="S95" s="19"/>
      <c r="T95" s="19"/>
      <c r="U95" s="19"/>
    </row>
    <row r="96" customFormat="false" ht="12.75" hidden="false" customHeight="true" outlineLevel="0" collapsed="false">
      <c r="A96" s="19" t="s">
        <v>0</v>
      </c>
      <c r="B96" s="195" t="s">
        <v>278</v>
      </c>
      <c r="C96" s="19"/>
      <c r="D96" s="19"/>
      <c r="E96" s="19"/>
      <c r="F96" s="19"/>
      <c r="G96" s="196" t="s">
        <v>279</v>
      </c>
      <c r="H96" s="19"/>
      <c r="I96" s="19"/>
      <c r="J96" s="19"/>
      <c r="K96" s="19"/>
      <c r="L96" s="19"/>
      <c r="M96" s="195" t="s">
        <v>280</v>
      </c>
      <c r="N96" s="19"/>
      <c r="O96" s="197" t="s">
        <v>60</v>
      </c>
      <c r="P96" s="19"/>
      <c r="Q96" s="19"/>
      <c r="R96" s="19"/>
      <c r="S96" s="19"/>
      <c r="T96" s="19"/>
      <c r="U96" s="19"/>
    </row>
    <row r="97" customFormat="false" ht="12.75" hidden="false" customHeight="true" outlineLevel="0" collapsed="false">
      <c r="A97" s="19"/>
      <c r="B97" s="194" t="s">
        <v>281</v>
      </c>
      <c r="C97" s="19"/>
      <c r="D97" s="19"/>
      <c r="E97" s="19"/>
      <c r="F97" s="19"/>
      <c r="G97" s="19"/>
      <c r="H97" s="19"/>
      <c r="I97" s="19"/>
      <c r="J97" s="19"/>
      <c r="K97" s="19"/>
      <c r="L97" s="19"/>
      <c r="M97" s="19"/>
      <c r="N97" s="19"/>
      <c r="O97" s="194" t="s">
        <v>0</v>
      </c>
      <c r="P97" s="19"/>
      <c r="Q97" s="19"/>
      <c r="R97" s="19"/>
      <c r="S97" s="19"/>
      <c r="T97" s="19"/>
      <c r="U97" s="19"/>
    </row>
    <row r="98" customFormat="false" ht="12.75" hidden="false" customHeight="true" outlineLevel="0" collapsed="false">
      <c r="A98" s="19" t="s">
        <v>282</v>
      </c>
      <c r="B98" s="198" t="n">
        <v>19.0622</v>
      </c>
      <c r="C98" s="19" t="s">
        <v>215</v>
      </c>
      <c r="D98" s="19" t="s">
        <v>283</v>
      </c>
      <c r="E98" s="19"/>
      <c r="F98" s="19"/>
      <c r="G98" s="19"/>
      <c r="H98" s="19"/>
      <c r="I98" s="19"/>
      <c r="J98" s="19"/>
      <c r="K98" s="19"/>
      <c r="L98" s="19"/>
      <c r="M98" s="27" t="s">
        <v>282</v>
      </c>
      <c r="N98" s="19"/>
      <c r="O98" s="198" t="n">
        <v>17.4292</v>
      </c>
      <c r="P98" s="19" t="s">
        <v>215</v>
      </c>
      <c r="Q98" s="19"/>
      <c r="R98" s="19"/>
      <c r="S98" s="19"/>
      <c r="T98" s="19"/>
      <c r="U98" s="19"/>
    </row>
    <row r="99" customFormat="false" ht="12.75" hidden="false" customHeight="true" outlineLevel="0" collapsed="false">
      <c r="A99" s="19"/>
      <c r="B99" s="199" t="s">
        <v>0</v>
      </c>
      <c r="C99" s="19"/>
      <c r="D99" s="19"/>
      <c r="E99" s="19"/>
      <c r="F99" s="19"/>
      <c r="G99" s="19"/>
      <c r="H99" s="19"/>
      <c r="I99" s="19"/>
      <c r="J99" s="19"/>
      <c r="K99" s="19"/>
      <c r="L99" s="19"/>
      <c r="M99" s="27"/>
      <c r="N99" s="19"/>
      <c r="O99" s="19"/>
      <c r="P99" s="19"/>
      <c r="Q99" s="19"/>
      <c r="R99" s="19"/>
      <c r="S99" s="19"/>
      <c r="T99" s="19"/>
      <c r="U99" s="19"/>
    </row>
    <row r="100" customFormat="false" ht="12.75" hidden="false" customHeight="true" outlineLevel="0" collapsed="false">
      <c r="A100" s="19" t="s">
        <v>284</v>
      </c>
      <c r="B100" s="198" t="n">
        <v>72.8742</v>
      </c>
      <c r="C100" s="19" t="s">
        <v>215</v>
      </c>
      <c r="D100" s="19" t="s">
        <v>285</v>
      </c>
      <c r="E100" s="19"/>
      <c r="F100" s="19"/>
      <c r="G100" s="19"/>
      <c r="H100" s="19"/>
      <c r="I100" s="19"/>
      <c r="J100" s="19"/>
      <c r="K100" s="19"/>
      <c r="L100" s="19"/>
      <c r="M100" s="27" t="s">
        <v>284</v>
      </c>
      <c r="N100" s="19"/>
      <c r="O100" s="198" t="n">
        <v>78.4658</v>
      </c>
      <c r="P100" s="19" t="s">
        <v>215</v>
      </c>
      <c r="Q100" s="19"/>
      <c r="R100" s="19"/>
      <c r="S100" s="19"/>
      <c r="T100" s="19"/>
      <c r="U100" s="19"/>
    </row>
    <row r="101" customFormat="false" ht="12.75" hidden="false" customHeight="true" outlineLevel="0" collapsed="false">
      <c r="A101" s="19"/>
      <c r="B101" s="200" t="n">
        <f aca="false">(B100-B102)</f>
        <v>-16.6258</v>
      </c>
      <c r="C101" s="19"/>
      <c r="D101" s="19"/>
      <c r="E101" s="19"/>
      <c r="F101" s="19"/>
      <c r="G101" s="19"/>
      <c r="H101" s="19"/>
      <c r="I101" s="19"/>
      <c r="J101" s="19"/>
      <c r="K101" s="19"/>
      <c r="L101" s="19"/>
      <c r="M101" s="27"/>
      <c r="N101" s="19"/>
      <c r="O101" s="200" t="n">
        <f aca="false">O100-O102</f>
        <v>-11.0342</v>
      </c>
      <c r="P101" s="19"/>
      <c r="Q101" s="19"/>
      <c r="R101" s="19"/>
      <c r="S101" s="19"/>
      <c r="T101" s="19"/>
      <c r="U101" s="19"/>
    </row>
    <row r="102" customFormat="false" ht="12.75" hidden="false" customHeight="true" outlineLevel="0" collapsed="false">
      <c r="A102" s="19" t="s">
        <v>286</v>
      </c>
      <c r="B102" s="198" t="n">
        <v>89.5</v>
      </c>
      <c r="C102" s="19" t="s">
        <v>215</v>
      </c>
      <c r="D102" s="19" t="s">
        <v>287</v>
      </c>
      <c r="E102" s="19"/>
      <c r="F102" s="19"/>
      <c r="G102" s="19"/>
      <c r="H102" s="19"/>
      <c r="I102" s="19"/>
      <c r="J102" s="19"/>
      <c r="K102" s="19"/>
      <c r="L102" s="19"/>
      <c r="M102" s="201" t="s">
        <v>288</v>
      </c>
      <c r="N102" s="19"/>
      <c r="O102" s="202" t="n">
        <f aca="false">B102</f>
        <v>89.5</v>
      </c>
      <c r="P102" s="19" t="s">
        <v>215</v>
      </c>
      <c r="Q102" s="19" t="s">
        <v>289</v>
      </c>
      <c r="R102" s="19"/>
      <c r="S102" s="19"/>
      <c r="T102" s="19"/>
      <c r="U102" s="19"/>
    </row>
    <row r="103" customFormat="false" ht="12.75" hidden="false" customHeight="true" outlineLevel="0" collapsed="false">
      <c r="A103" s="19"/>
      <c r="B103" s="19"/>
      <c r="C103" s="19"/>
      <c r="D103" s="19"/>
      <c r="E103" s="19"/>
      <c r="F103" s="19"/>
      <c r="G103" s="19"/>
      <c r="H103" s="19"/>
      <c r="I103" s="19"/>
      <c r="J103" s="19"/>
      <c r="K103" s="19"/>
      <c r="L103" s="19"/>
      <c r="M103" s="27"/>
      <c r="N103" s="19"/>
      <c r="O103" s="19"/>
      <c r="P103" s="19"/>
      <c r="Q103" s="19"/>
      <c r="R103" s="19"/>
      <c r="S103" s="19"/>
      <c r="T103" s="19"/>
      <c r="U103" s="19"/>
    </row>
    <row r="104" customFormat="false" ht="12.75" hidden="false" customHeight="true" outlineLevel="0" collapsed="false">
      <c r="A104" s="19" t="s">
        <v>290</v>
      </c>
      <c r="B104" s="203" t="n">
        <f aca="false">SQRT($B$91^2+$B$90^2-2*$B$91*$B$90*COS(B110/57.29578))</f>
        <v>36488.15589</v>
      </c>
      <c r="C104" s="19" t="s">
        <v>183</v>
      </c>
      <c r="D104" s="19" t="s">
        <v>291</v>
      </c>
      <c r="E104" s="19"/>
      <c r="F104" s="19"/>
      <c r="G104" s="19"/>
      <c r="H104" s="19"/>
      <c r="I104" s="19"/>
      <c r="J104" s="19"/>
      <c r="K104" s="19"/>
      <c r="L104" s="19"/>
      <c r="M104" s="201" t="s">
        <v>290</v>
      </c>
      <c r="N104" s="19"/>
      <c r="O104" s="203" t="n">
        <f aca="false">SQRT($B$91^2+$B$90^2-2*$B$91*$B$90*COS(O110/57.29578))</f>
        <v>36260.44878</v>
      </c>
      <c r="P104" s="19" t="s">
        <v>183</v>
      </c>
      <c r="Q104" s="19"/>
      <c r="R104" s="19"/>
      <c r="S104" s="19"/>
      <c r="T104" s="19"/>
      <c r="U104" s="19"/>
    </row>
    <row r="105" customFormat="false" ht="12.75" hidden="false" customHeight="true" outlineLevel="0" collapsed="false">
      <c r="A105" s="19"/>
      <c r="B105" s="19"/>
      <c r="C105" s="19"/>
      <c r="D105" s="19"/>
      <c r="E105" s="19"/>
      <c r="F105" s="19"/>
      <c r="G105" s="19"/>
      <c r="H105" s="19"/>
      <c r="I105" s="19"/>
      <c r="J105" s="19"/>
      <c r="K105" s="19"/>
      <c r="L105" s="19"/>
      <c r="M105" s="27"/>
      <c r="N105" s="19"/>
      <c r="O105" s="19"/>
      <c r="P105" s="19"/>
      <c r="Q105" s="19"/>
      <c r="R105" s="19"/>
      <c r="S105" s="19"/>
      <c r="T105" s="19"/>
      <c r="U105" s="19"/>
    </row>
    <row r="106" customFormat="false" ht="12.75" hidden="false" customHeight="true" outlineLevel="0" collapsed="false">
      <c r="A106" s="19" t="s">
        <v>292</v>
      </c>
      <c r="B106" s="204" t="n">
        <f aca="false">57.29578*ATAN((COS(B110/57.29578)-($B$90/$B$91))/SIN(B110/57.29578))</f>
        <v>60.66045583</v>
      </c>
      <c r="C106" s="19" t="s">
        <v>215</v>
      </c>
      <c r="D106" s="19" t="s">
        <v>293</v>
      </c>
      <c r="E106" s="19"/>
      <c r="F106" s="19"/>
      <c r="G106" s="19"/>
      <c r="H106" s="19"/>
      <c r="I106" s="19"/>
      <c r="J106" s="19"/>
      <c r="K106" s="19"/>
      <c r="L106" s="19"/>
      <c r="M106" s="27" t="s">
        <v>292</v>
      </c>
      <c r="N106" s="19"/>
      <c r="O106" s="204" t="n">
        <f aca="false">57.29578*ATAN((COS(O110/57.29578)-($B$90/$B$91))/SIN(O110/57.29578))</f>
        <v>65.92592777</v>
      </c>
      <c r="P106" s="19" t="s">
        <v>215</v>
      </c>
      <c r="Q106" s="19"/>
      <c r="R106" s="19"/>
      <c r="S106" s="19"/>
      <c r="T106" s="19"/>
      <c r="U106" s="19"/>
    </row>
    <row r="107" customFormat="false" ht="12.75" hidden="false" customHeight="true" outlineLevel="0" collapsed="false">
      <c r="A107" s="19"/>
      <c r="B107" s="205" t="n">
        <f aca="false">57.29578*ATAN(SIN($B$101/57.29578)/((-SIN($B$98/57.29578)*COS($B$101/57.29578))))</f>
        <v>42.43649014</v>
      </c>
      <c r="C107" s="19"/>
      <c r="D107" s="19"/>
      <c r="E107" s="19"/>
      <c r="F107" s="19"/>
      <c r="G107" s="19"/>
      <c r="H107" s="19"/>
      <c r="I107" s="19"/>
      <c r="J107" s="19"/>
      <c r="K107" s="19"/>
      <c r="L107" s="19"/>
      <c r="M107" s="27"/>
      <c r="N107" s="19"/>
      <c r="O107" s="205" t="n">
        <f aca="false">57.29578*ATAN(SIN(O101/57.29578)/((-SIN(O98/57.29578)*COS(O101/57.29578))))</f>
        <v>33.06516416</v>
      </c>
      <c r="P107" s="19"/>
      <c r="Q107" s="19"/>
      <c r="R107" s="19"/>
      <c r="S107" s="19"/>
      <c r="T107" s="19"/>
      <c r="U107" s="19"/>
    </row>
    <row r="108" customFormat="false" ht="12.75" hidden="false" customHeight="true" outlineLevel="0" collapsed="false">
      <c r="A108" s="19" t="s">
        <v>294</v>
      </c>
      <c r="B108" s="204" t="n">
        <f aca="false">'GEO Azimuth Calc Data'!E19</f>
        <v>137.5635099</v>
      </c>
      <c r="C108" s="19" t="s">
        <v>215</v>
      </c>
      <c r="D108" s="19" t="s">
        <v>295</v>
      </c>
      <c r="E108" s="19"/>
      <c r="F108" s="19"/>
      <c r="G108" s="19"/>
      <c r="H108" s="19"/>
      <c r="I108" s="19"/>
      <c r="J108" s="19"/>
      <c r="K108" s="19"/>
      <c r="L108" s="19"/>
      <c r="M108" s="27" t="s">
        <v>294</v>
      </c>
      <c r="N108" s="19"/>
      <c r="O108" s="204" t="n">
        <f aca="false">'GEO Azimuth Calc Data'!E40</f>
        <v>146.9348358</v>
      </c>
      <c r="P108" s="19" t="s">
        <v>215</v>
      </c>
      <c r="Q108" s="19"/>
      <c r="R108" s="19"/>
      <c r="S108" s="19"/>
      <c r="T108" s="19"/>
      <c r="U108" s="19"/>
    </row>
    <row r="109" customFormat="false" ht="12.75" hidden="false" customHeight="true" outlineLevel="0" collapsed="false">
      <c r="A109" s="19"/>
      <c r="B109" s="19" t="s">
        <v>0</v>
      </c>
      <c r="C109" s="19"/>
      <c r="D109" s="19"/>
      <c r="E109" s="19"/>
      <c r="F109" s="19"/>
      <c r="G109" s="19"/>
      <c r="H109" s="19"/>
      <c r="I109" s="19"/>
      <c r="J109" s="19"/>
      <c r="K109" s="19"/>
      <c r="L109" s="19"/>
      <c r="M109" s="19"/>
      <c r="N109" s="19"/>
      <c r="O109" s="19"/>
      <c r="P109" s="19"/>
      <c r="Q109" s="19"/>
      <c r="R109" s="19"/>
      <c r="S109" s="19"/>
      <c r="T109" s="19"/>
      <c r="U109" s="19"/>
    </row>
    <row r="110" customFormat="false" ht="12.75" hidden="false" customHeight="true" outlineLevel="0" collapsed="false">
      <c r="A110" s="19" t="s">
        <v>296</v>
      </c>
      <c r="B110" s="206" t="n">
        <f aca="false">57.29578*ACOS(COS(B98/57.29578)*COS(B101/57.29578))</f>
        <v>25.08891183</v>
      </c>
      <c r="C110" s="19" t="s">
        <v>215</v>
      </c>
      <c r="D110" s="19" t="s">
        <v>297</v>
      </c>
      <c r="E110" s="19"/>
      <c r="F110" s="19"/>
      <c r="G110" s="19"/>
      <c r="H110" s="19"/>
      <c r="I110" s="19"/>
      <c r="J110" s="19"/>
      <c r="K110" s="19"/>
      <c r="L110" s="19"/>
      <c r="M110" s="19" t="s">
        <v>296</v>
      </c>
      <c r="N110" s="19"/>
      <c r="O110" s="206" t="n">
        <f aca="false">57.29578*ACOS(COS(O98/57.29578)*COS(O101/57.29578))</f>
        <v>20.53637112</v>
      </c>
      <c r="P110" s="19" t="s">
        <v>215</v>
      </c>
      <c r="Q110" s="19"/>
      <c r="R110" s="19"/>
      <c r="S110" s="19"/>
      <c r="T110" s="19"/>
      <c r="U110" s="19"/>
    </row>
    <row r="111" customFormat="false" ht="12" hidden="false" customHeight="true" outlineLevel="0" collapsed="false">
      <c r="A111" s="19"/>
      <c r="B111" s="207"/>
      <c r="C111" s="19"/>
      <c r="D111" s="19"/>
      <c r="E111" s="19"/>
      <c r="F111" s="19"/>
      <c r="G111" s="19"/>
      <c r="H111" s="19"/>
      <c r="I111" s="19"/>
      <c r="J111" s="19"/>
      <c r="K111" s="19"/>
      <c r="L111" s="19"/>
      <c r="M111" s="19"/>
      <c r="N111" s="19"/>
      <c r="O111" s="19"/>
      <c r="P111" s="19"/>
      <c r="Q111" s="19"/>
      <c r="R111" s="19"/>
      <c r="S111" s="19"/>
      <c r="T111" s="19"/>
      <c r="U111" s="19"/>
    </row>
    <row r="112" customFormat="false" ht="12" hidden="false" customHeight="true" outlineLevel="0" collapsed="false">
      <c r="A112" s="19"/>
      <c r="B112" s="207" t="s">
        <v>0</v>
      </c>
      <c r="C112" s="19"/>
      <c r="D112" s="19"/>
      <c r="E112" s="19"/>
      <c r="F112" s="19"/>
      <c r="G112" s="19"/>
      <c r="H112" s="19"/>
      <c r="I112" s="19"/>
      <c r="J112" s="19"/>
      <c r="K112" s="19"/>
      <c r="L112" s="19"/>
      <c r="M112" s="19"/>
      <c r="N112" s="19"/>
      <c r="O112" s="19"/>
      <c r="P112" s="19"/>
      <c r="Q112" s="19"/>
      <c r="R112" s="19"/>
      <c r="S112" s="19"/>
      <c r="T112" s="19"/>
      <c r="U112" s="19"/>
    </row>
    <row r="113" customFormat="false" ht="12" hidden="false" customHeight="true" outlineLevel="0" collapsed="false">
      <c r="A113" s="19"/>
      <c r="B113" s="207"/>
      <c r="C113" s="19"/>
      <c r="D113" s="19"/>
      <c r="E113" s="19"/>
      <c r="F113" s="19"/>
      <c r="G113" s="19"/>
      <c r="H113" s="19"/>
      <c r="I113" s="19"/>
      <c r="J113" s="19"/>
      <c r="K113" s="19"/>
      <c r="L113" s="19"/>
      <c r="M113" s="19"/>
      <c r="N113" s="19"/>
      <c r="O113" s="19"/>
      <c r="P113" s="19"/>
      <c r="Q113" s="19"/>
      <c r="R113" s="19"/>
      <c r="S113" s="19"/>
      <c r="T113" s="19"/>
      <c r="U113" s="19"/>
    </row>
    <row r="114" customFormat="false" ht="12.75" hidden="false" customHeight="true" outlineLevel="0" collapsed="false">
      <c r="A114" s="107"/>
      <c r="B114" s="107"/>
      <c r="C114" s="107"/>
      <c r="D114" s="107"/>
      <c r="E114" s="107"/>
      <c r="F114" s="107"/>
      <c r="G114" s="19"/>
      <c r="H114" s="107"/>
      <c r="I114" s="107"/>
      <c r="J114" s="107"/>
      <c r="K114" s="107"/>
      <c r="L114" s="107"/>
      <c r="M114" s="107"/>
      <c r="N114" s="107"/>
      <c r="O114" s="107"/>
      <c r="P114" s="107"/>
      <c r="Q114" s="107"/>
      <c r="R114" s="107"/>
      <c r="S114" s="107"/>
      <c r="T114" s="107"/>
      <c r="U114" s="107"/>
    </row>
    <row r="115" customFormat="false" ht="15" hidden="false" customHeight="true" outlineLevel="0" collapsed="false">
      <c r="A115" s="111" t="s">
        <v>298</v>
      </c>
      <c r="B115" s="208"/>
      <c r="C115" s="209"/>
      <c r="D115" s="209"/>
      <c r="E115" s="209"/>
      <c r="F115" s="209"/>
      <c r="G115" s="210" t="s">
        <v>60</v>
      </c>
      <c r="H115" s="209"/>
      <c r="I115" s="209"/>
      <c r="J115" s="209"/>
      <c r="K115" s="209"/>
      <c r="L115" s="209"/>
      <c r="M115" s="209"/>
      <c r="N115" s="209"/>
      <c r="O115" s="209"/>
      <c r="P115" s="209"/>
      <c r="Q115" s="209"/>
      <c r="R115" s="112"/>
      <c r="S115" s="112"/>
      <c r="T115" s="112"/>
      <c r="U115" s="112"/>
    </row>
    <row r="116" customFormat="false" ht="12" hidden="false" customHeight="true" outlineLevel="0" collapsed="false">
      <c r="A116" s="19"/>
      <c r="B116" s="211"/>
      <c r="C116" s="212"/>
      <c r="D116" s="19"/>
      <c r="E116" s="212"/>
      <c r="F116" s="19"/>
      <c r="G116" s="19"/>
      <c r="H116" s="212"/>
      <c r="I116" s="19"/>
      <c r="J116" s="19"/>
      <c r="K116" s="19"/>
      <c r="L116" s="19"/>
      <c r="M116" s="19"/>
      <c r="N116" s="19"/>
      <c r="O116" s="19"/>
      <c r="P116" s="19"/>
      <c r="Q116" s="19"/>
      <c r="R116" s="19"/>
      <c r="S116" s="19"/>
      <c r="T116" s="19"/>
      <c r="U116" s="19"/>
    </row>
    <row r="117" customFormat="false" ht="12" hidden="false" customHeight="true" outlineLevel="0" collapsed="false">
      <c r="A117" s="212"/>
      <c r="B117" s="211"/>
      <c r="C117" s="126"/>
      <c r="D117" s="19"/>
      <c r="E117" s="126"/>
      <c r="F117" s="19"/>
      <c r="G117" s="19"/>
      <c r="H117" s="213"/>
      <c r="I117" s="19"/>
      <c r="J117" s="19"/>
      <c r="K117" s="19"/>
      <c r="L117" s="19"/>
      <c r="M117" s="146"/>
      <c r="N117" s="214"/>
      <c r="O117" s="91"/>
      <c r="P117" s="19"/>
      <c r="Q117" s="19"/>
      <c r="R117" s="19"/>
      <c r="S117" s="19"/>
      <c r="T117" s="19"/>
      <c r="U117" s="19"/>
    </row>
    <row r="118" customFormat="false" ht="12" hidden="false" customHeight="true" outlineLevel="0" collapsed="false">
      <c r="A118" s="212"/>
      <c r="B118" s="211"/>
      <c r="C118" s="126"/>
      <c r="D118" s="19"/>
      <c r="E118" s="126"/>
      <c r="F118" s="19"/>
      <c r="G118" s="19"/>
      <c r="H118" s="213"/>
      <c r="I118" s="19"/>
      <c r="J118" s="19"/>
      <c r="K118" s="19"/>
      <c r="L118" s="19"/>
      <c r="M118" s="19"/>
      <c r="N118" s="19"/>
      <c r="O118" s="19"/>
      <c r="P118" s="19"/>
      <c r="Q118" s="19"/>
      <c r="R118" s="19"/>
      <c r="S118" s="19"/>
      <c r="T118" s="19"/>
      <c r="U118" s="19"/>
    </row>
    <row r="119" customFormat="false" ht="12" hidden="false" customHeight="true" outlineLevel="0" collapsed="false">
      <c r="A119" s="212"/>
      <c r="B119" s="211"/>
      <c r="C119" s="126"/>
      <c r="D119" s="19"/>
      <c r="E119" s="126"/>
      <c r="F119" s="19"/>
      <c r="G119" s="19"/>
      <c r="H119" s="213"/>
      <c r="I119" s="19"/>
      <c r="J119" s="19"/>
      <c r="K119" s="19"/>
      <c r="L119" s="19"/>
      <c r="M119" s="19"/>
      <c r="N119" s="19"/>
      <c r="O119" s="19"/>
      <c r="P119" s="19"/>
      <c r="Q119" s="19"/>
      <c r="R119" s="19"/>
      <c r="S119" s="19"/>
      <c r="T119" s="19"/>
      <c r="U119" s="19"/>
    </row>
    <row r="120" customFormat="false" ht="12" hidden="false" customHeight="true" outlineLevel="0" collapsed="false">
      <c r="A120" s="215"/>
      <c r="B120" s="211"/>
      <c r="C120" s="216"/>
      <c r="D120" s="35"/>
      <c r="E120" s="126"/>
      <c r="F120" s="19"/>
      <c r="G120" s="19"/>
      <c r="H120" s="213"/>
      <c r="I120" s="19"/>
      <c r="J120" s="19"/>
      <c r="K120" s="19"/>
      <c r="L120" s="19"/>
      <c r="M120" s="19"/>
      <c r="N120" s="19"/>
      <c r="O120" s="19"/>
      <c r="P120" s="19"/>
      <c r="Q120" s="19"/>
      <c r="R120" s="19"/>
      <c r="S120" s="19"/>
      <c r="T120" s="19"/>
      <c r="U120" s="19"/>
    </row>
    <row r="121" customFormat="false" ht="12" hidden="false" customHeight="true" outlineLevel="0" collapsed="false">
      <c r="A121" s="28" t="s">
        <v>299</v>
      </c>
      <c r="B121" s="50" t="s">
        <v>300</v>
      </c>
      <c r="C121" s="126"/>
      <c r="D121" s="19" t="s">
        <v>301</v>
      </c>
      <c r="E121" s="126"/>
      <c r="F121" s="217" t="n">
        <v>2.1</v>
      </c>
      <c r="G121" s="187" t="s">
        <v>302</v>
      </c>
      <c r="H121" s="213"/>
      <c r="I121" s="19"/>
      <c r="J121" s="21"/>
      <c r="K121" s="19"/>
      <c r="L121" s="19"/>
      <c r="M121" s="19"/>
      <c r="N121" s="19"/>
      <c r="O121" s="19"/>
      <c r="P121" s="19"/>
      <c r="Q121" s="19"/>
      <c r="R121" s="19"/>
      <c r="S121" s="19"/>
      <c r="T121" s="19"/>
      <c r="U121" s="19"/>
    </row>
    <row r="122" customFormat="false" ht="12" hidden="false" customHeight="true" outlineLevel="0" collapsed="false">
      <c r="A122" s="19"/>
      <c r="B122" s="98"/>
      <c r="C122" s="126"/>
      <c r="D122" s="19"/>
      <c r="E122" s="126"/>
      <c r="F122" s="19"/>
      <c r="G122" s="19"/>
      <c r="H122" s="19"/>
      <c r="I122" s="19"/>
      <c r="J122" s="21"/>
      <c r="K122" s="19"/>
      <c r="L122" s="19"/>
      <c r="M122" s="19"/>
      <c r="N122" s="19"/>
      <c r="O122" s="19"/>
      <c r="P122" s="19"/>
      <c r="Q122" s="19"/>
      <c r="R122" s="19"/>
      <c r="S122" s="19"/>
      <c r="T122" s="19"/>
      <c r="U122" s="19"/>
    </row>
    <row r="123" customFormat="false" ht="12" hidden="false" customHeight="true" outlineLevel="0" collapsed="false">
      <c r="A123" s="212"/>
      <c r="B123" s="211"/>
      <c r="C123" s="126"/>
      <c r="D123" s="19"/>
      <c r="E123" s="126"/>
      <c r="F123" s="19"/>
      <c r="G123" s="19"/>
      <c r="H123" s="213"/>
      <c r="I123" s="19"/>
      <c r="J123" s="19"/>
      <c r="K123" s="19"/>
      <c r="L123" s="19"/>
      <c r="M123" s="146"/>
      <c r="N123" s="214"/>
      <c r="O123" s="91"/>
      <c r="P123" s="19"/>
      <c r="Q123" s="19"/>
      <c r="R123" s="19"/>
      <c r="S123" s="19"/>
      <c r="T123" s="19"/>
      <c r="U123" s="19"/>
    </row>
    <row r="124" customFormat="false" ht="12" hidden="false" customHeight="true" outlineLevel="0" collapsed="false">
      <c r="A124" s="19"/>
      <c r="B124" s="211"/>
      <c r="C124" s="126"/>
      <c r="D124" s="19"/>
      <c r="E124" s="126"/>
      <c r="F124" s="19"/>
      <c r="G124" s="19"/>
      <c r="H124" s="213"/>
      <c r="I124" s="19"/>
      <c r="J124" s="19"/>
      <c r="K124" s="19"/>
      <c r="L124" s="19"/>
      <c r="M124" s="19"/>
      <c r="N124" s="19"/>
      <c r="O124" s="19"/>
      <c r="P124" s="19"/>
      <c r="Q124" s="19"/>
      <c r="R124" s="19"/>
      <c r="S124" s="19"/>
      <c r="T124" s="19"/>
      <c r="U124" s="19"/>
    </row>
    <row r="125" customFormat="false" ht="12" hidden="false" customHeight="true" outlineLevel="0" collapsed="false">
      <c r="A125" s="19"/>
      <c r="B125" s="27" t="s">
        <v>303</v>
      </c>
      <c r="C125" s="126"/>
      <c r="D125" s="218" t="n">
        <f aca="false">F121*1.5*100000000</f>
        <v>315000000</v>
      </c>
      <c r="E125" s="219" t="s">
        <v>183</v>
      </c>
      <c r="F125" s="19"/>
      <c r="G125" s="19"/>
      <c r="H125" s="213"/>
      <c r="I125" s="19"/>
      <c r="J125" s="19"/>
      <c r="K125" s="19"/>
      <c r="L125" s="19"/>
      <c r="M125" s="19"/>
      <c r="N125" s="19"/>
      <c r="O125" s="19"/>
      <c r="P125" s="19"/>
      <c r="Q125" s="19"/>
      <c r="R125" s="19"/>
      <c r="S125" s="19"/>
      <c r="T125" s="19"/>
      <c r="U125" s="19"/>
    </row>
    <row r="126" customFormat="false" ht="12" hidden="false" customHeight="true" outlineLevel="0" collapsed="false">
      <c r="A126" s="215"/>
      <c r="B126" s="211"/>
      <c r="C126" s="220"/>
      <c r="D126" s="35"/>
      <c r="E126" s="126"/>
      <c r="F126" s="19"/>
      <c r="G126" s="19"/>
      <c r="H126" s="213"/>
      <c r="I126" s="19"/>
      <c r="J126" s="19"/>
      <c r="K126" s="19"/>
      <c r="L126" s="19"/>
      <c r="M126" s="19"/>
      <c r="N126" s="19"/>
      <c r="O126" s="19"/>
      <c r="P126" s="19"/>
      <c r="Q126" s="19"/>
      <c r="R126" s="19"/>
      <c r="S126" s="19"/>
      <c r="T126" s="19"/>
      <c r="U126" s="19"/>
    </row>
    <row r="127" customFormat="false" ht="12" hidden="false" customHeight="true" outlineLevel="0" collapsed="false">
      <c r="A127" s="19"/>
      <c r="B127" s="19"/>
      <c r="C127" s="19"/>
      <c r="D127" s="19"/>
      <c r="E127" s="19"/>
      <c r="F127" s="19"/>
      <c r="G127" s="19"/>
      <c r="H127" s="19"/>
      <c r="I127" s="19"/>
      <c r="J127" s="19"/>
      <c r="K127" s="19"/>
      <c r="L127" s="19"/>
      <c r="M127" s="19"/>
      <c r="N127" s="19"/>
      <c r="O127" s="19"/>
      <c r="P127" s="19"/>
      <c r="Q127" s="19"/>
      <c r="R127" s="19"/>
      <c r="S127" s="19"/>
      <c r="T127" s="19"/>
      <c r="U127" s="19"/>
    </row>
    <row r="128" customFormat="false" ht="12" hidden="false" customHeight="true" outlineLevel="0" collapsed="false">
      <c r="A128" s="19" t="s">
        <v>0</v>
      </c>
      <c r="B128" s="19"/>
      <c r="C128" s="19"/>
      <c r="D128" s="19"/>
      <c r="E128" s="19"/>
      <c r="F128" s="19"/>
      <c r="G128" s="19"/>
      <c r="H128" s="19"/>
      <c r="I128" s="19"/>
      <c r="J128" s="19"/>
      <c r="K128" s="19"/>
      <c r="L128" s="19"/>
      <c r="M128" s="19"/>
      <c r="N128" s="19"/>
      <c r="O128" s="19"/>
      <c r="P128" s="19"/>
      <c r="Q128" s="19"/>
      <c r="R128" s="19"/>
      <c r="S128" s="19"/>
      <c r="T128" s="19"/>
      <c r="U128" s="19"/>
    </row>
    <row r="129" customFormat="false" ht="12" hidden="false" customHeight="true" outlineLevel="0" collapsed="false">
      <c r="A129" s="19"/>
      <c r="B129" s="98"/>
      <c r="C129" s="19"/>
      <c r="D129" s="19"/>
      <c r="E129" s="19"/>
      <c r="F129" s="19"/>
      <c r="G129" s="19"/>
      <c r="H129" s="19" t="s">
        <v>0</v>
      </c>
      <c r="I129" s="19"/>
      <c r="J129" s="19"/>
      <c r="K129" s="19"/>
      <c r="L129" s="19"/>
      <c r="M129" s="19"/>
      <c r="N129" s="19"/>
      <c r="O129" s="19"/>
      <c r="P129" s="19"/>
      <c r="Q129" s="19"/>
      <c r="R129" s="19"/>
      <c r="S129" s="19"/>
      <c r="T129" s="19"/>
      <c r="U129" s="19"/>
    </row>
    <row r="130" customFormat="false" ht="12" hidden="false" customHeight="true" outlineLevel="0" collapsed="false">
      <c r="A130" s="19"/>
      <c r="B130" s="19" t="s">
        <v>0</v>
      </c>
      <c r="C130" s="19"/>
      <c r="D130" s="19"/>
      <c r="E130" s="19"/>
      <c r="F130" s="19"/>
      <c r="G130" s="19"/>
      <c r="H130" s="19"/>
      <c r="I130" s="19"/>
      <c r="J130" s="19"/>
      <c r="K130" s="19"/>
      <c r="L130" s="19"/>
      <c r="M130" s="19"/>
      <c r="N130" s="19"/>
      <c r="O130" s="19"/>
      <c r="P130" s="19"/>
      <c r="Q130" s="19"/>
      <c r="R130" s="19"/>
      <c r="S130" s="19"/>
      <c r="T130" s="19"/>
      <c r="U130" s="19"/>
    </row>
    <row r="131" customFormat="false" ht="12" hidden="false" customHeight="true" outlineLevel="0" collapsed="false">
      <c r="A131" s="19"/>
      <c r="B131" s="19"/>
      <c r="C131" s="19"/>
      <c r="D131" s="19"/>
      <c r="E131" s="19"/>
      <c r="F131" s="19"/>
      <c r="G131" s="19"/>
      <c r="H131" s="19"/>
      <c r="I131" s="19"/>
      <c r="J131" s="19"/>
      <c r="K131" s="19"/>
      <c r="L131" s="19"/>
      <c r="M131" s="19"/>
      <c r="N131" s="19"/>
      <c r="O131" s="19"/>
      <c r="P131" s="19"/>
      <c r="Q131" s="19"/>
      <c r="R131" s="19"/>
      <c r="S131" s="19"/>
      <c r="T131" s="19"/>
      <c r="U131" s="19"/>
    </row>
    <row r="132" customFormat="false" ht="12" hidden="false" customHeight="true" outlineLevel="0" collapsed="false">
      <c r="A132" s="19"/>
      <c r="B132" s="19"/>
      <c r="C132" s="19"/>
      <c r="D132" s="19"/>
      <c r="E132" s="19"/>
      <c r="F132" s="19"/>
      <c r="G132" s="19"/>
      <c r="H132" s="19"/>
      <c r="I132" s="19"/>
      <c r="J132" s="19"/>
      <c r="K132" s="19"/>
      <c r="L132" s="19"/>
      <c r="M132" s="19"/>
      <c r="N132" s="19"/>
      <c r="O132" s="19"/>
      <c r="P132" s="19"/>
      <c r="Q132" s="19"/>
      <c r="R132" s="19"/>
      <c r="S132" s="19"/>
      <c r="T132" s="19"/>
      <c r="U132" s="19"/>
    </row>
    <row r="133" customFormat="false" ht="12" hidden="false" customHeight="true" outlineLevel="0" collapsed="false">
      <c r="A133" s="19"/>
      <c r="B133" s="19"/>
      <c r="C133" s="19"/>
      <c r="D133" s="19"/>
      <c r="E133" s="19"/>
      <c r="F133" s="19"/>
      <c r="G133" s="19"/>
      <c r="H133" s="19"/>
      <c r="I133" s="19"/>
      <c r="J133" s="19"/>
      <c r="K133" s="19"/>
      <c r="L133" s="19"/>
      <c r="M133" s="19"/>
      <c r="N133" s="19"/>
      <c r="O133" s="19"/>
      <c r="P133" s="19"/>
      <c r="Q133" s="19"/>
      <c r="R133" s="19"/>
      <c r="S133" s="19"/>
      <c r="T133" s="19"/>
      <c r="U133" s="19"/>
    </row>
    <row r="134" customFormat="false" ht="12" hidden="false" customHeight="true" outlineLevel="0" collapsed="false">
      <c r="A134" s="19"/>
      <c r="B134" s="19"/>
      <c r="C134" s="19"/>
      <c r="D134" s="19"/>
      <c r="E134" s="19"/>
      <c r="F134" s="19"/>
      <c r="G134" s="19"/>
      <c r="H134" s="19"/>
      <c r="I134" s="19"/>
      <c r="J134" s="19"/>
      <c r="K134" s="19"/>
      <c r="L134" s="19"/>
      <c r="M134" s="19"/>
      <c r="N134" s="19"/>
      <c r="O134" s="19"/>
      <c r="P134" s="19"/>
      <c r="Q134" s="19"/>
      <c r="R134" s="19"/>
      <c r="S134" s="19"/>
      <c r="T134" s="19"/>
      <c r="U134" s="19"/>
    </row>
    <row r="135" customFormat="false" ht="12" hidden="false" customHeight="true" outlineLevel="0" collapsed="false">
      <c r="A135" s="19"/>
      <c r="B135" s="19"/>
      <c r="C135" s="19"/>
      <c r="D135" s="19"/>
      <c r="E135" s="19"/>
      <c r="F135" s="19" t="s">
        <v>0</v>
      </c>
      <c r="G135" s="19"/>
      <c r="H135" s="19"/>
      <c r="I135" s="19"/>
      <c r="J135" s="19"/>
      <c r="K135" s="19"/>
      <c r="L135" s="19"/>
      <c r="M135" s="19"/>
      <c r="N135" s="19"/>
      <c r="O135" s="19"/>
      <c r="P135" s="19"/>
      <c r="Q135" s="19"/>
      <c r="R135" s="19"/>
      <c r="S135" s="19"/>
      <c r="T135" s="19"/>
      <c r="U135" s="19"/>
    </row>
    <row r="136" customFormat="false" ht="12" hidden="false" customHeight="true" outlineLevel="0" collapsed="false">
      <c r="A136" s="19"/>
      <c r="B136" s="19"/>
      <c r="C136" s="19"/>
      <c r="D136" s="19"/>
      <c r="E136" s="19"/>
      <c r="F136" s="19"/>
      <c r="G136" s="19"/>
      <c r="H136" s="19"/>
      <c r="I136" s="19"/>
      <c r="J136" s="19"/>
      <c r="K136" s="19"/>
      <c r="L136" s="19"/>
      <c r="M136" s="19"/>
      <c r="N136" s="19"/>
      <c r="O136" s="19"/>
      <c r="P136" s="19"/>
      <c r="Q136" s="19"/>
      <c r="R136" s="19"/>
      <c r="S136" s="19"/>
      <c r="T136" s="19"/>
      <c r="U136" s="19"/>
    </row>
    <row r="137" customFormat="false" ht="12" hidden="false" customHeight="true" outlineLevel="0" collapsed="false">
      <c r="A137" s="19"/>
      <c r="B137" s="19"/>
      <c r="C137" s="19"/>
      <c r="D137" s="19"/>
      <c r="E137" s="19"/>
      <c r="F137" s="19"/>
      <c r="G137" s="19"/>
      <c r="H137" s="19"/>
      <c r="I137" s="19"/>
      <c r="J137" s="19"/>
      <c r="K137" s="19"/>
      <c r="L137" s="19"/>
      <c r="M137" s="19"/>
      <c r="N137" s="19"/>
      <c r="O137" s="19"/>
      <c r="P137" s="19"/>
      <c r="Q137" s="19"/>
      <c r="R137" s="19"/>
      <c r="S137" s="19"/>
      <c r="T137" s="19"/>
      <c r="U137" s="19"/>
    </row>
    <row r="138" customFormat="false" ht="12" hidden="false" customHeight="true" outlineLevel="0" collapsed="false">
      <c r="A138" s="19"/>
      <c r="B138" s="19"/>
      <c r="C138" s="19"/>
      <c r="D138" s="19"/>
      <c r="E138" s="19"/>
      <c r="F138" s="19"/>
      <c r="G138" s="19"/>
      <c r="H138" s="19"/>
      <c r="I138" s="19"/>
      <c r="J138" s="19"/>
      <c r="K138" s="19"/>
      <c r="L138" s="19"/>
      <c r="M138" s="19"/>
      <c r="N138" s="19"/>
      <c r="O138" s="19"/>
      <c r="P138" s="19"/>
      <c r="Q138" s="19"/>
      <c r="R138" s="19"/>
      <c r="S138" s="19"/>
      <c r="T138" s="19"/>
      <c r="U138" s="19"/>
    </row>
    <row r="139" customFormat="false" ht="12" hidden="false" customHeight="true" outlineLevel="0" collapsed="false">
      <c r="A139" s="19"/>
      <c r="B139" s="19"/>
      <c r="C139" s="19"/>
      <c r="D139" s="19"/>
      <c r="E139" s="19"/>
      <c r="F139" s="19"/>
      <c r="G139" s="19"/>
      <c r="H139" s="19"/>
      <c r="I139" s="19"/>
      <c r="J139" s="19"/>
      <c r="K139" s="19"/>
      <c r="L139" s="19"/>
      <c r="M139" s="19"/>
      <c r="N139" s="19"/>
      <c r="O139" s="19"/>
      <c r="P139" s="19"/>
      <c r="Q139" s="19"/>
      <c r="R139" s="19"/>
      <c r="S139" s="19"/>
      <c r="T139" s="19"/>
      <c r="U139" s="19"/>
    </row>
    <row r="140" customFormat="false" ht="12" hidden="false" customHeight="true" outlineLevel="0" collapsed="false">
      <c r="A140" s="19"/>
      <c r="B140" s="19"/>
      <c r="C140" s="19"/>
      <c r="D140" s="19"/>
      <c r="E140" s="19"/>
      <c r="F140" s="19"/>
      <c r="G140" s="19"/>
      <c r="H140" s="19"/>
      <c r="I140" s="19"/>
      <c r="J140" s="19"/>
      <c r="K140" s="19"/>
      <c r="L140" s="19"/>
      <c r="M140" s="19"/>
      <c r="N140" s="19"/>
      <c r="O140" s="19"/>
      <c r="P140" s="19"/>
      <c r="Q140" s="19"/>
      <c r="R140" s="19"/>
      <c r="S140" s="19"/>
      <c r="T140" s="19"/>
      <c r="U140" s="19"/>
    </row>
    <row r="141" customFormat="false" ht="12" hidden="false" customHeight="true" outlineLevel="0" collapsed="false">
      <c r="A141" s="19"/>
      <c r="B141" s="19"/>
      <c r="C141" s="19"/>
      <c r="D141" s="19"/>
      <c r="E141" s="19"/>
      <c r="F141" s="19"/>
      <c r="G141" s="19"/>
      <c r="H141" s="19"/>
      <c r="I141" s="19"/>
      <c r="J141" s="19"/>
      <c r="K141" s="19"/>
      <c r="L141" s="19"/>
      <c r="M141" s="19"/>
      <c r="N141" s="19"/>
      <c r="O141" s="19"/>
      <c r="P141" s="19"/>
      <c r="Q141" s="19"/>
      <c r="R141" s="19"/>
      <c r="S141" s="19"/>
      <c r="T141" s="19"/>
      <c r="U141" s="19"/>
    </row>
    <row r="142" customFormat="false" ht="12" hidden="false" customHeight="true" outlineLevel="0" collapsed="false">
      <c r="A142" s="19"/>
      <c r="B142" s="19"/>
      <c r="C142" s="19"/>
      <c r="D142" s="19"/>
      <c r="E142" s="19"/>
      <c r="F142" s="19"/>
      <c r="G142" s="19"/>
      <c r="H142" s="19"/>
      <c r="I142" s="19"/>
      <c r="J142" s="19"/>
      <c r="K142" s="19"/>
      <c r="L142" s="19"/>
      <c r="M142" s="19"/>
      <c r="N142" s="19"/>
      <c r="O142" s="19"/>
      <c r="P142" s="19"/>
      <c r="Q142" s="19"/>
      <c r="R142" s="19"/>
      <c r="S142" s="19"/>
      <c r="T142" s="19"/>
      <c r="U142" s="19"/>
    </row>
    <row r="143" customFormat="false" ht="12" hidden="false" customHeight="true" outlineLevel="0" collapsed="false">
      <c r="A143" s="19"/>
      <c r="B143" s="19"/>
      <c r="C143" s="19"/>
      <c r="D143" s="19"/>
      <c r="E143" s="19"/>
      <c r="F143" s="19"/>
      <c r="G143" s="19"/>
      <c r="H143" s="19"/>
      <c r="I143" s="19"/>
      <c r="J143" s="19"/>
      <c r="K143" s="19"/>
      <c r="L143" s="19"/>
      <c r="M143" s="19"/>
      <c r="N143" s="19"/>
      <c r="O143" s="19"/>
      <c r="P143" s="19"/>
      <c r="Q143" s="19"/>
      <c r="R143" s="19"/>
      <c r="S143" s="19"/>
      <c r="T143" s="19"/>
      <c r="U143" s="19"/>
    </row>
    <row r="144" customFormat="false" ht="12" hidden="false" customHeight="true" outlineLevel="0" collapsed="false">
      <c r="A144" s="19"/>
      <c r="B144" s="19"/>
      <c r="C144" s="19"/>
      <c r="D144" s="19"/>
      <c r="E144" s="19"/>
      <c r="F144" s="19"/>
      <c r="G144" s="19"/>
      <c r="H144" s="19"/>
      <c r="I144" s="19"/>
      <c r="J144" s="19"/>
      <c r="K144" s="19"/>
      <c r="L144" s="19"/>
      <c r="M144" s="19"/>
      <c r="N144" s="19"/>
      <c r="O144" s="19"/>
      <c r="P144" s="19"/>
      <c r="Q144" s="19"/>
      <c r="R144" s="19"/>
      <c r="S144" s="19"/>
      <c r="T144" s="19"/>
      <c r="U144" s="19"/>
    </row>
    <row r="145" customFormat="false" ht="12" hidden="false" customHeight="true" outlineLevel="0" collapsed="false">
      <c r="A145" s="19"/>
      <c r="B145" s="19"/>
      <c r="C145" s="19"/>
      <c r="D145" s="19"/>
      <c r="E145" s="19"/>
      <c r="F145" s="19"/>
      <c r="G145" s="19"/>
      <c r="H145" s="19"/>
      <c r="I145" s="19"/>
      <c r="J145" s="19"/>
      <c r="K145" s="19"/>
      <c r="L145" s="19"/>
      <c r="M145" s="19"/>
      <c r="N145" s="19"/>
      <c r="O145" s="19"/>
      <c r="P145" s="19"/>
      <c r="Q145" s="19"/>
      <c r="R145" s="19"/>
      <c r="S145" s="19"/>
      <c r="T145" s="19"/>
      <c r="U145" s="19"/>
    </row>
    <row r="146" customFormat="false" ht="12" hidden="false" customHeight="true" outlineLevel="0" collapsed="false">
      <c r="A146" s="19"/>
      <c r="B146" s="19"/>
      <c r="C146" s="19"/>
      <c r="D146" s="19"/>
      <c r="E146" s="19"/>
      <c r="F146" s="19"/>
      <c r="G146" s="19"/>
      <c r="H146" s="19"/>
      <c r="I146" s="19"/>
      <c r="J146" s="19"/>
      <c r="K146" s="19"/>
      <c r="L146" s="19"/>
      <c r="M146" s="19"/>
      <c r="N146" s="19"/>
      <c r="O146" s="19"/>
      <c r="P146" s="19"/>
      <c r="Q146" s="19"/>
      <c r="R146" s="19"/>
      <c r="S146" s="19"/>
      <c r="T146" s="19"/>
      <c r="U146" s="19"/>
    </row>
    <row r="147" customFormat="false" ht="12" hidden="false" customHeight="true" outlineLevel="0" collapsed="false">
      <c r="A147" s="19"/>
      <c r="B147" s="19"/>
      <c r="C147" s="19"/>
      <c r="D147" s="19"/>
      <c r="E147" s="19"/>
      <c r="F147" s="19"/>
      <c r="G147" s="19"/>
      <c r="H147" s="19"/>
      <c r="I147" s="19"/>
      <c r="J147" s="19"/>
      <c r="K147" s="19"/>
      <c r="L147" s="19"/>
      <c r="M147" s="19"/>
      <c r="N147" s="19"/>
      <c r="O147" s="19"/>
      <c r="P147" s="19"/>
      <c r="Q147" s="19"/>
      <c r="R147" s="19"/>
      <c r="S147" s="19"/>
      <c r="T147" s="19"/>
      <c r="U147" s="19"/>
    </row>
    <row r="148" customFormat="false" ht="12" hidden="false" customHeight="true" outlineLevel="0" collapsed="false">
      <c r="A148" s="19"/>
      <c r="B148" s="19"/>
      <c r="C148" s="19"/>
      <c r="D148" s="19"/>
      <c r="E148" s="19"/>
      <c r="F148" s="19"/>
      <c r="G148" s="19"/>
      <c r="H148" s="19"/>
      <c r="I148" s="19"/>
      <c r="J148" s="19"/>
      <c r="K148" s="19"/>
      <c r="L148" s="19"/>
      <c r="M148" s="19"/>
      <c r="N148" s="19"/>
      <c r="O148" s="19"/>
      <c r="P148" s="19"/>
      <c r="Q148" s="19"/>
      <c r="R148" s="19"/>
      <c r="S148" s="19"/>
      <c r="T148" s="19"/>
      <c r="U148" s="19"/>
    </row>
    <row r="149" customFormat="false" ht="12" hidden="false" customHeight="true" outlineLevel="0" collapsed="false">
      <c r="A149" s="19"/>
      <c r="B149" s="19"/>
      <c r="C149" s="19"/>
      <c r="D149" s="19"/>
      <c r="E149" s="19"/>
      <c r="F149" s="19"/>
      <c r="G149" s="19"/>
      <c r="H149" s="19"/>
      <c r="I149" s="19"/>
      <c r="J149" s="19"/>
      <c r="K149" s="19"/>
      <c r="L149" s="19"/>
      <c r="M149" s="19"/>
      <c r="N149" s="19"/>
      <c r="O149" s="19"/>
      <c r="P149" s="19"/>
      <c r="Q149" s="19"/>
      <c r="R149" s="19"/>
      <c r="S149" s="19"/>
      <c r="T149" s="19"/>
      <c r="U149" s="19"/>
    </row>
    <row r="150" customFormat="false" ht="12" hidden="false" customHeight="true" outlineLevel="0" collapsed="false">
      <c r="A150" s="19"/>
      <c r="B150" s="19"/>
      <c r="C150" s="19"/>
      <c r="D150" s="19"/>
      <c r="E150" s="19"/>
      <c r="F150" s="19"/>
      <c r="G150" s="19"/>
      <c r="H150" s="19"/>
      <c r="I150" s="19"/>
      <c r="J150" s="19"/>
      <c r="K150" s="19"/>
      <c r="L150" s="19"/>
      <c r="M150" s="19"/>
      <c r="N150" s="19"/>
      <c r="O150" s="19"/>
      <c r="P150" s="19"/>
      <c r="Q150" s="19"/>
      <c r="R150" s="19"/>
      <c r="S150" s="19"/>
      <c r="T150" s="19"/>
      <c r="U150" s="19"/>
    </row>
    <row r="151" customFormat="false" ht="12" hidden="false" customHeight="tru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row>
    <row r="152" customFormat="false" ht="12" hidden="false" customHeight="tru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row>
    <row r="153" customFormat="false" ht="12" hidden="false" customHeight="true" outlineLevel="0" collapsed="false">
      <c r="A153" s="19"/>
      <c r="B153" s="19"/>
      <c r="C153" s="19"/>
      <c r="D153" s="19"/>
      <c r="E153" s="19"/>
      <c r="F153" s="19"/>
      <c r="G153" s="19"/>
      <c r="H153" s="19"/>
      <c r="I153" s="19"/>
      <c r="J153" s="19"/>
      <c r="K153" s="19"/>
      <c r="L153" s="19"/>
      <c r="M153" s="19"/>
      <c r="N153" s="19"/>
      <c r="O153" s="19"/>
      <c r="P153" s="19"/>
      <c r="Q153" s="19"/>
      <c r="R153" s="19"/>
      <c r="S153" s="19"/>
      <c r="T153" s="19"/>
      <c r="U153" s="19"/>
    </row>
    <row r="154" customFormat="false" ht="12" hidden="false" customHeight="tru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row>
    <row r="155" customFormat="false" ht="12" hidden="false" customHeight="tru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row>
    <row r="156" customFormat="false" ht="12" hidden="false" customHeight="tru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row>
    <row r="157" customFormat="false" ht="12" hidden="false" customHeight="tru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row>
    <row r="158" customFormat="false" ht="12" hidden="false" customHeight="tru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row>
    <row r="159" customFormat="false" ht="12" hidden="false" customHeight="tru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row>
    <row r="160" customFormat="false" ht="12" hidden="false" customHeight="tru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row>
    <row r="161" customFormat="false" ht="12" hidden="false" customHeight="tru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row>
    <row r="162" customFormat="false" ht="12" hidden="false" customHeight="tru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row>
    <row r="163" customFormat="false" ht="12" hidden="false" customHeight="tru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row>
    <row r="164" customFormat="false" ht="12" hidden="false" customHeight="tru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row>
    <row r="165" customFormat="false" ht="12" hidden="false" customHeight="tru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row>
    <row r="166" customFormat="false" ht="12" hidden="false" customHeight="tru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row>
    <row r="167" customFormat="false" ht="12" hidden="false" customHeight="tru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row>
    <row r="168" customFormat="false" ht="12" hidden="false" customHeight="tru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row>
    <row r="169" customFormat="false" ht="12" hidden="false" customHeight="tru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row>
    <row r="170" customFormat="false" ht="12" hidden="false" customHeight="tru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row>
    <row r="171" customFormat="false" ht="12" hidden="false" customHeight="tru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row>
    <row r="172" customFormat="false" ht="12" hidden="false" customHeight="true" outlineLevel="0" collapsed="false">
      <c r="A172" s="19"/>
      <c r="B172" s="19"/>
      <c r="C172" s="19"/>
      <c r="D172" s="19"/>
      <c r="E172" s="19"/>
      <c r="F172" s="19"/>
      <c r="G172" s="19"/>
      <c r="H172" s="19"/>
      <c r="I172" s="19"/>
      <c r="J172" s="19"/>
      <c r="K172" s="19"/>
      <c r="L172" s="19"/>
      <c r="M172" s="19"/>
      <c r="N172" s="19"/>
      <c r="O172" s="19"/>
      <c r="P172" s="19"/>
      <c r="Q172" s="19"/>
      <c r="R172" s="19"/>
      <c r="S172" s="19"/>
      <c r="T172" s="19"/>
      <c r="U172" s="19"/>
    </row>
    <row r="173" customFormat="false" ht="12" hidden="false" customHeight="true" outlineLevel="0" collapsed="false">
      <c r="A173" s="19"/>
      <c r="B173" s="19"/>
      <c r="C173" s="19"/>
      <c r="D173" s="19"/>
      <c r="E173" s="19"/>
      <c r="F173" s="19"/>
      <c r="G173" s="19"/>
      <c r="H173" s="19"/>
      <c r="I173" s="19"/>
      <c r="J173" s="19"/>
      <c r="K173" s="19"/>
      <c r="L173" s="19"/>
      <c r="M173" s="19"/>
      <c r="N173" s="19"/>
      <c r="O173" s="19"/>
      <c r="P173" s="19"/>
      <c r="Q173" s="19"/>
      <c r="R173" s="19"/>
      <c r="S173" s="19"/>
      <c r="T173" s="19"/>
      <c r="U173" s="19"/>
    </row>
    <row r="174" customFormat="false" ht="12" hidden="false" customHeight="true" outlineLevel="0" collapsed="false">
      <c r="A174" s="19"/>
      <c r="B174" s="19"/>
      <c r="C174" s="19"/>
      <c r="D174" s="19"/>
      <c r="E174" s="19"/>
      <c r="F174" s="19"/>
      <c r="G174" s="19"/>
      <c r="H174" s="19"/>
      <c r="I174" s="19"/>
      <c r="J174" s="19"/>
      <c r="K174" s="19"/>
      <c r="L174" s="19"/>
      <c r="M174" s="19"/>
      <c r="N174" s="19"/>
      <c r="O174" s="19"/>
      <c r="P174" s="19"/>
      <c r="Q174" s="19"/>
      <c r="R174" s="19"/>
      <c r="S174" s="19"/>
      <c r="T174" s="19"/>
      <c r="U174" s="19"/>
    </row>
    <row r="175" customFormat="false" ht="12" hidden="false" customHeight="true" outlineLevel="0" collapsed="false">
      <c r="A175" s="19"/>
      <c r="B175" s="19"/>
      <c r="C175" s="19"/>
      <c r="D175" s="19"/>
      <c r="E175" s="19"/>
      <c r="F175" s="19"/>
      <c r="G175" s="19"/>
      <c r="H175" s="19"/>
      <c r="I175" s="19"/>
      <c r="J175" s="19"/>
      <c r="K175" s="19"/>
      <c r="L175" s="19"/>
      <c r="M175" s="19"/>
      <c r="N175" s="19"/>
      <c r="O175" s="19"/>
      <c r="P175" s="19"/>
      <c r="Q175" s="19"/>
      <c r="R175" s="19"/>
      <c r="S175" s="19"/>
      <c r="T175" s="19"/>
      <c r="U175" s="19"/>
    </row>
    <row r="176" customFormat="false" ht="12" hidden="false" customHeight="true" outlineLevel="0" collapsed="false">
      <c r="A176" s="19"/>
      <c r="B176" s="19"/>
      <c r="C176" s="19"/>
      <c r="D176" s="19"/>
      <c r="E176" s="19"/>
      <c r="F176" s="19"/>
      <c r="G176" s="19"/>
      <c r="H176" s="19"/>
      <c r="I176" s="19"/>
      <c r="J176" s="19"/>
      <c r="K176" s="19"/>
      <c r="L176" s="19"/>
      <c r="M176" s="19"/>
      <c r="N176" s="19"/>
      <c r="O176" s="19"/>
      <c r="P176" s="19"/>
      <c r="Q176" s="19"/>
      <c r="R176" s="19"/>
      <c r="S176" s="19"/>
      <c r="T176" s="19"/>
      <c r="U176" s="19"/>
    </row>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
    <mergeCell ref="A15:C15"/>
    <mergeCell ref="A39:C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600"/>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6" activeCellId="0" sqref="G6"/>
    </sheetView>
  </sheetViews>
  <sheetFormatPr defaultColWidth="12.6328125" defaultRowHeight="15" customHeight="true" zeroHeight="false" outlineLevelRow="0" outlineLevelCol="0"/>
  <cols>
    <col collapsed="false" customWidth="true" hidden="false" outlineLevel="0" max="1" min="1" style="1" width="25.88"/>
    <col collapsed="false" customWidth="true" hidden="false" outlineLevel="0" max="6" min="2" style="1" width="8.88"/>
    <col collapsed="false" customWidth="true" hidden="false" outlineLevel="0" max="7" min="7" style="1" width="14.38"/>
    <col collapsed="false" customWidth="true" hidden="false" outlineLevel="0" max="8" min="8" style="1" width="5.38"/>
    <col collapsed="false" customWidth="true" hidden="false" outlineLevel="0" max="10" min="9" style="1" width="8.88"/>
    <col collapsed="false" customWidth="true" hidden="false" outlineLevel="0" max="11" min="11" style="1" width="10.75"/>
    <col collapsed="false" customWidth="true" hidden="false" outlineLevel="0" max="13" min="12" style="1" width="8.88"/>
    <col collapsed="false" customWidth="true" hidden="false" outlineLevel="0" max="14" min="14" style="1" width="7"/>
    <col collapsed="false" customWidth="true" hidden="false" outlineLevel="0" max="21" min="15" style="1" width="8.88"/>
    <col collapsed="false" customWidth="true" hidden="false" outlineLevel="0" max="26" min="22" style="1" width="14.38"/>
  </cols>
  <sheetData>
    <row r="1" customFormat="false" ht="18" hidden="false" customHeight="true" outlineLevel="0" collapsed="false">
      <c r="A1" s="221" t="s">
        <v>304</v>
      </c>
      <c r="B1" s="222"/>
      <c r="C1" s="223"/>
      <c r="D1" s="223"/>
      <c r="E1" s="223"/>
      <c r="F1" s="223"/>
      <c r="G1" s="223"/>
      <c r="H1" s="223"/>
      <c r="I1" s="223"/>
      <c r="J1" s="223"/>
      <c r="K1" s="223"/>
      <c r="L1" s="223"/>
      <c r="M1" s="223"/>
      <c r="N1" s="223"/>
      <c r="O1" s="223"/>
      <c r="P1" s="223"/>
      <c r="Q1" s="223"/>
      <c r="R1" s="10"/>
      <c r="S1" s="10"/>
      <c r="T1" s="10"/>
      <c r="U1" s="10"/>
    </row>
    <row r="2" customFormat="false" ht="16.5" hidden="false" customHeight="true" outlineLevel="0" collapsed="false">
      <c r="A2" s="224"/>
      <c r="B2" s="20"/>
      <c r="C2" s="158"/>
      <c r="D2" s="158"/>
      <c r="E2" s="158"/>
      <c r="F2" s="158"/>
      <c r="G2" s="158"/>
      <c r="H2" s="158"/>
      <c r="I2" s="158"/>
      <c r="J2" s="158"/>
      <c r="K2" s="158"/>
      <c r="L2" s="158"/>
      <c r="M2" s="158"/>
      <c r="N2" s="158"/>
      <c r="O2" s="158"/>
      <c r="P2" s="158"/>
      <c r="Q2" s="158"/>
      <c r="R2" s="19"/>
      <c r="S2" s="19"/>
      <c r="T2" s="19"/>
      <c r="U2" s="19"/>
    </row>
    <row r="3" customFormat="false" ht="16.5" hidden="false" customHeight="true" outlineLevel="0" collapsed="false">
      <c r="A3" s="224"/>
      <c r="B3" s="20"/>
      <c r="C3" s="158"/>
      <c r="D3" s="158"/>
      <c r="E3" s="158"/>
      <c r="F3" s="158"/>
      <c r="G3" s="158"/>
      <c r="H3" s="158"/>
      <c r="I3" s="158"/>
      <c r="J3" s="158"/>
      <c r="K3" s="158"/>
      <c r="L3" s="158"/>
      <c r="M3" s="158"/>
      <c r="N3" s="158"/>
      <c r="O3" s="158"/>
      <c r="P3" s="158"/>
      <c r="Q3" s="158"/>
      <c r="R3" s="19"/>
      <c r="S3" s="19"/>
      <c r="T3" s="19"/>
      <c r="U3" s="19"/>
    </row>
    <row r="4" customFormat="false" ht="16.5" hidden="false" customHeight="true" outlineLevel="0" collapsed="false">
      <c r="A4" s="224"/>
      <c r="B4" s="20"/>
      <c r="C4" s="27" t="s">
        <v>0</v>
      </c>
      <c r="D4" s="27" t="s">
        <v>305</v>
      </c>
      <c r="E4" s="158"/>
      <c r="F4" s="158"/>
      <c r="G4" s="225" t="str">
        <f aca="false">Orbit!D4</f>
        <v>LEO</v>
      </c>
      <c r="H4" s="158"/>
      <c r="I4" s="158"/>
      <c r="J4" s="226" t="s">
        <v>306</v>
      </c>
      <c r="K4" s="227"/>
      <c r="L4" s="228"/>
      <c r="M4" s="158"/>
      <c r="N4" s="158"/>
      <c r="O4" s="158"/>
      <c r="P4" s="158"/>
      <c r="Q4" s="158"/>
      <c r="R4" s="19"/>
      <c r="S4" s="19"/>
      <c r="T4" s="19"/>
      <c r="U4" s="19"/>
    </row>
    <row r="5" customFormat="false" ht="13.5" hidden="false" customHeight="true" outlineLevel="0" collapsed="false">
      <c r="A5" s="224"/>
      <c r="B5" s="20"/>
      <c r="C5" s="158"/>
      <c r="D5" s="158"/>
      <c r="E5" s="158"/>
      <c r="F5" s="158"/>
      <c r="G5" s="158"/>
      <c r="H5" s="158"/>
      <c r="I5" s="158"/>
      <c r="J5" s="158"/>
      <c r="K5" s="158"/>
      <c r="L5" s="158"/>
      <c r="M5" s="158"/>
      <c r="N5" s="158"/>
      <c r="O5" s="158"/>
      <c r="P5" s="158"/>
      <c r="Q5" s="158"/>
      <c r="R5" s="19"/>
      <c r="S5" s="19"/>
      <c r="T5" s="19"/>
      <c r="U5" s="19"/>
    </row>
    <row r="6" customFormat="false" ht="13.5" hidden="false" customHeight="true" outlineLevel="0" collapsed="false">
      <c r="A6" s="224"/>
      <c r="B6" s="20"/>
      <c r="C6" s="27" t="s">
        <v>307</v>
      </c>
      <c r="D6" s="158"/>
      <c r="E6" s="158"/>
      <c r="F6" s="158"/>
      <c r="G6" s="229" t="n">
        <f aca="false">Orbit!G4</f>
        <v>1223.085472</v>
      </c>
      <c r="H6" s="230" t="s">
        <v>183</v>
      </c>
      <c r="I6" s="158"/>
      <c r="J6" s="158"/>
      <c r="K6" s="158"/>
      <c r="L6" s="158"/>
      <c r="M6" s="158"/>
      <c r="N6" s="158"/>
      <c r="O6" s="158"/>
      <c r="P6" s="158"/>
      <c r="Q6" s="158"/>
      <c r="R6" s="19"/>
      <c r="S6" s="19"/>
      <c r="T6" s="19"/>
      <c r="U6" s="19"/>
    </row>
    <row r="7" customFormat="false" ht="13.5" hidden="false" customHeight="true" outlineLevel="0" collapsed="false">
      <c r="A7" s="224"/>
      <c r="B7" s="210" t="s">
        <v>60</v>
      </c>
      <c r="C7" s="158"/>
      <c r="D7" s="158"/>
      <c r="E7" s="158"/>
      <c r="F7" s="158"/>
      <c r="G7" s="158"/>
      <c r="H7" s="158"/>
      <c r="I7" s="158"/>
      <c r="J7" s="158"/>
      <c r="K7" s="158"/>
      <c r="L7" s="158"/>
      <c r="M7" s="158"/>
      <c r="N7" s="158"/>
      <c r="O7" s="158"/>
      <c r="P7" s="158"/>
      <c r="Q7" s="158"/>
      <c r="R7" s="19"/>
      <c r="S7" s="19"/>
      <c r="T7" s="19"/>
      <c r="U7" s="19"/>
    </row>
    <row r="8" customFormat="false" ht="13.5" hidden="false" customHeight="true" outlineLevel="0" collapsed="false">
      <c r="A8" s="224"/>
      <c r="B8" s="20"/>
      <c r="C8" s="158"/>
      <c r="D8" s="158"/>
      <c r="E8" s="158"/>
      <c r="F8" s="158"/>
      <c r="G8" s="158"/>
      <c r="H8" s="158"/>
      <c r="I8" s="158"/>
      <c r="J8" s="158"/>
      <c r="K8" s="158"/>
      <c r="L8" s="158"/>
      <c r="M8" s="158"/>
      <c r="N8" s="158"/>
      <c r="O8" s="158"/>
      <c r="P8" s="158"/>
      <c r="Q8" s="158"/>
      <c r="R8" s="19"/>
      <c r="S8" s="19"/>
      <c r="T8" s="19"/>
      <c r="U8" s="19"/>
    </row>
    <row r="9" customFormat="false" ht="12.75" hidden="false" customHeight="true" outlineLevel="0" collapsed="false">
      <c r="A9" s="19" t="s">
        <v>0</v>
      </c>
      <c r="B9" s="211" t="s">
        <v>308</v>
      </c>
      <c r="C9" s="212" t="s">
        <v>309</v>
      </c>
      <c r="D9" s="19"/>
      <c r="E9" s="212" t="s">
        <v>310</v>
      </c>
      <c r="F9" s="19"/>
      <c r="G9" s="212" t="s">
        <v>311</v>
      </c>
      <c r="H9" s="19"/>
      <c r="I9" s="19"/>
      <c r="J9" s="19"/>
      <c r="K9" s="19"/>
      <c r="L9" s="19"/>
      <c r="M9" s="19"/>
      <c r="N9" s="19"/>
      <c r="O9" s="19"/>
      <c r="P9" s="19"/>
      <c r="Q9" s="19"/>
      <c r="R9" s="19"/>
      <c r="S9" s="19"/>
      <c r="T9" s="19"/>
      <c r="U9" s="19"/>
    </row>
    <row r="10" customFormat="false" ht="12.75" hidden="false" customHeight="true" outlineLevel="0" collapsed="false">
      <c r="A10" s="231" t="s">
        <v>312</v>
      </c>
      <c r="B10" s="211" t="s">
        <v>313</v>
      </c>
      <c r="C10" s="232" t="n">
        <v>145.8</v>
      </c>
      <c r="D10" s="228" t="s">
        <v>314</v>
      </c>
      <c r="E10" s="126" t="n">
        <f aca="false">299.8/C10</f>
        <v>2.0562414266118</v>
      </c>
      <c r="F10" s="19" t="s">
        <v>315</v>
      </c>
      <c r="G10" s="213" t="n">
        <f aca="false">22+20*LOG10(($G$6*1000)/E10)</f>
        <v>137.487654061091</v>
      </c>
      <c r="H10" s="19" t="s">
        <v>258</v>
      </c>
      <c r="I10" s="19" t="s">
        <v>316</v>
      </c>
      <c r="J10" s="19"/>
      <c r="K10" s="19"/>
      <c r="L10" s="94" t="n">
        <v>2</v>
      </c>
      <c r="M10" s="233" t="n">
        <f aca="false" t="array" ref="M10:M10">INDEX(C10:C13,L10,1)</f>
        <v>437.5</v>
      </c>
      <c r="N10" s="157" t="s">
        <v>314</v>
      </c>
      <c r="O10" s="19"/>
      <c r="P10" s="19"/>
      <c r="Q10" s="19"/>
      <c r="R10" s="19"/>
      <c r="S10" s="19"/>
      <c r="T10" s="19"/>
      <c r="U10" s="19"/>
    </row>
    <row r="11" customFormat="false" ht="12" hidden="false" customHeight="true" outlineLevel="0" collapsed="false">
      <c r="A11" s="212"/>
      <c r="B11" s="211" t="s">
        <v>317</v>
      </c>
      <c r="C11" s="232" t="n">
        <v>437.5</v>
      </c>
      <c r="D11" s="228" t="s">
        <v>314</v>
      </c>
      <c r="E11" s="126" t="n">
        <f aca="false">299.8/C11</f>
        <v>0.685257142857143</v>
      </c>
      <c r="F11" s="19" t="s">
        <v>315</v>
      </c>
      <c r="G11" s="213" t="n">
        <f aca="false">22+20*LOG10(($G$6*1000)/E11)</f>
        <v>147.032064728619</v>
      </c>
      <c r="H11" s="19" t="s">
        <v>258</v>
      </c>
      <c r="I11" s="19"/>
      <c r="J11" s="19"/>
      <c r="K11" s="19"/>
      <c r="L11" s="19"/>
      <c r="M11" s="19"/>
      <c r="N11" s="19"/>
      <c r="O11" s="19"/>
      <c r="P11" s="19"/>
      <c r="Q11" s="19"/>
      <c r="R11" s="19"/>
      <c r="S11" s="19"/>
      <c r="T11" s="19"/>
      <c r="U11" s="19"/>
    </row>
    <row r="12" customFormat="false" ht="12" hidden="false" customHeight="true" outlineLevel="0" collapsed="false">
      <c r="A12" s="212"/>
      <c r="B12" s="211" t="s">
        <v>318</v>
      </c>
      <c r="C12" s="232" t="n">
        <v>1269.9</v>
      </c>
      <c r="D12" s="228" t="s">
        <v>314</v>
      </c>
      <c r="E12" s="126" t="n">
        <f aca="false">299.8/C12</f>
        <v>0.236081581226868</v>
      </c>
      <c r="F12" s="19" t="s">
        <v>315</v>
      </c>
      <c r="G12" s="213" t="n">
        <f aca="false">22+20*LOG10(($G$6*1000)/E12)</f>
        <v>156.287894045326</v>
      </c>
      <c r="H12" s="19" t="s">
        <v>258</v>
      </c>
      <c r="I12" s="19" t="s">
        <v>319</v>
      </c>
      <c r="J12" s="19"/>
      <c r="K12" s="19"/>
      <c r="L12" s="19"/>
      <c r="M12" s="234" t="n">
        <f aca="false" t="array" ref="M12:M12">INDEX(G10:G13,L10,1)</f>
        <v>147.032064728619</v>
      </c>
      <c r="N12" s="235" t="s">
        <v>258</v>
      </c>
      <c r="O12" s="19"/>
      <c r="P12" s="19"/>
      <c r="Q12" s="19"/>
      <c r="R12" s="19"/>
      <c r="S12" s="19"/>
      <c r="T12" s="19"/>
      <c r="U12" s="19"/>
    </row>
    <row r="13" customFormat="false" ht="12" hidden="false" customHeight="true" outlineLevel="0" collapsed="false">
      <c r="A13" s="215" t="s">
        <v>320</v>
      </c>
      <c r="B13" s="211" t="s">
        <v>321</v>
      </c>
      <c r="C13" s="236" t="n">
        <v>450</v>
      </c>
      <c r="D13" s="237" t="s">
        <v>314</v>
      </c>
      <c r="E13" s="126" t="n">
        <f aca="false">299.8/C13</f>
        <v>0.666222222222222</v>
      </c>
      <c r="F13" s="19" t="s">
        <v>315</v>
      </c>
      <c r="G13" s="213" t="n">
        <f aca="false">22+20*LOG10(($G$6*1000)/E13)</f>
        <v>147.276753856959</v>
      </c>
      <c r="H13" s="19" t="s">
        <v>258</v>
      </c>
      <c r="I13" s="19"/>
      <c r="J13" s="19"/>
      <c r="K13" s="19"/>
      <c r="L13" s="19"/>
      <c r="M13" s="19"/>
      <c r="N13" s="19"/>
      <c r="O13" s="19"/>
      <c r="P13" s="19"/>
      <c r="Q13" s="19"/>
      <c r="R13" s="19"/>
      <c r="S13" s="19"/>
      <c r="T13" s="19"/>
      <c r="U13" s="19"/>
    </row>
    <row r="14" customFormat="false" ht="12" hidden="false" customHeight="true" outlineLevel="0" collapsed="false">
      <c r="A14" s="212"/>
      <c r="B14" s="211"/>
      <c r="C14" s="126"/>
      <c r="D14" s="19"/>
      <c r="E14" s="126" t="s">
        <v>0</v>
      </c>
      <c r="F14" s="19"/>
      <c r="G14" s="213"/>
      <c r="H14" s="19"/>
      <c r="I14" s="21"/>
      <c r="J14" s="19"/>
      <c r="K14" s="19"/>
      <c r="L14" s="19"/>
      <c r="M14" s="19"/>
      <c r="N14" s="19"/>
      <c r="O14" s="19"/>
      <c r="P14" s="19"/>
      <c r="Q14" s="19"/>
      <c r="R14" s="19"/>
      <c r="S14" s="19"/>
      <c r="T14" s="19"/>
      <c r="U14" s="19"/>
    </row>
    <row r="15" customFormat="false" ht="12.75" hidden="false" customHeight="true" outlineLevel="0" collapsed="false">
      <c r="A15" s="19"/>
      <c r="B15" s="98"/>
      <c r="C15" s="126" t="s">
        <v>0</v>
      </c>
      <c r="D15" s="19"/>
      <c r="E15" s="126" t="s">
        <v>0</v>
      </c>
      <c r="F15" s="19"/>
      <c r="G15" s="19"/>
      <c r="H15" s="19"/>
      <c r="I15" s="21" t="s">
        <v>0</v>
      </c>
      <c r="J15" s="19"/>
      <c r="K15" s="19"/>
      <c r="L15" s="19"/>
      <c r="M15" s="19"/>
      <c r="N15" s="19"/>
      <c r="O15" s="19"/>
      <c r="P15" s="19"/>
      <c r="Q15" s="19"/>
      <c r="R15" s="19"/>
      <c r="S15" s="19"/>
      <c r="T15" s="19"/>
      <c r="U15" s="19"/>
    </row>
    <row r="16" customFormat="false" ht="12.75" hidden="false" customHeight="true" outlineLevel="0" collapsed="false">
      <c r="A16" s="231" t="s">
        <v>322</v>
      </c>
      <c r="B16" s="211" t="s">
        <v>313</v>
      </c>
      <c r="C16" s="232" t="n">
        <v>145.8</v>
      </c>
      <c r="D16" s="228" t="s">
        <v>314</v>
      </c>
      <c r="E16" s="126" t="n">
        <f aca="false">299.8/C16</f>
        <v>2.0562414266118</v>
      </c>
      <c r="F16" s="19" t="s">
        <v>315</v>
      </c>
      <c r="G16" s="213" t="n">
        <f aca="false">22+20*LOG10(($G$6*1000)/E16)</f>
        <v>137.487654061091</v>
      </c>
      <c r="H16" s="19" t="s">
        <v>258</v>
      </c>
      <c r="I16" s="19" t="s">
        <v>323</v>
      </c>
      <c r="J16" s="19"/>
      <c r="K16" s="19"/>
      <c r="L16" s="94" t="n">
        <v>2</v>
      </c>
      <c r="M16" s="233" t="n">
        <f aca="false" t="array" ref="M16:M16">INDEX(C16:C19,L16,1)</f>
        <v>437.45</v>
      </c>
      <c r="N16" s="157" t="s">
        <v>314</v>
      </c>
      <c r="O16" s="19"/>
      <c r="P16" s="19"/>
      <c r="Q16" s="19"/>
      <c r="R16" s="19"/>
      <c r="S16" s="19"/>
      <c r="T16" s="19"/>
      <c r="U16" s="19"/>
    </row>
    <row r="17" customFormat="false" ht="12" hidden="false" customHeight="true" outlineLevel="0" collapsed="false">
      <c r="A17" s="19"/>
      <c r="B17" s="211" t="s">
        <v>317</v>
      </c>
      <c r="C17" s="232" t="n">
        <v>437.45</v>
      </c>
      <c r="D17" s="228" t="s">
        <v>314</v>
      </c>
      <c r="E17" s="126" t="n">
        <f aca="false">299.8/C17</f>
        <v>0.685335466910504</v>
      </c>
      <c r="F17" s="19" t="s">
        <v>315</v>
      </c>
      <c r="G17" s="213" t="n">
        <f aca="false">22+20*LOG10(($G$6*1000)/E17)</f>
        <v>147.031071998789</v>
      </c>
      <c r="H17" s="19" t="s">
        <v>258</v>
      </c>
      <c r="I17" s="19"/>
      <c r="J17" s="19"/>
      <c r="K17" s="19"/>
      <c r="L17" s="19"/>
      <c r="M17" s="19"/>
      <c r="N17" s="19"/>
      <c r="O17" s="19"/>
      <c r="P17" s="19"/>
      <c r="Q17" s="19"/>
      <c r="R17" s="19"/>
      <c r="S17" s="19"/>
      <c r="T17" s="19"/>
      <c r="U17" s="19"/>
    </row>
    <row r="18" customFormat="false" ht="12" hidden="false" customHeight="true" outlineLevel="0" collapsed="false">
      <c r="A18" s="19"/>
      <c r="B18" s="211" t="s">
        <v>318</v>
      </c>
      <c r="C18" s="232" t="n">
        <v>2405</v>
      </c>
      <c r="D18" s="228" t="s">
        <v>314</v>
      </c>
      <c r="E18" s="126" t="n">
        <f aca="false">299.8/C18</f>
        <v>0.124656964656965</v>
      </c>
      <c r="F18" s="19" t="s">
        <v>315</v>
      </c>
      <c r="G18" s="213" t="n">
        <f aca="false">22+20*LOG10(($G$6*1000)/E18)</f>
        <v>161.834805195649</v>
      </c>
      <c r="H18" s="19" t="s">
        <v>258</v>
      </c>
      <c r="I18" s="19" t="s">
        <v>319</v>
      </c>
      <c r="J18" s="19"/>
      <c r="K18" s="19"/>
      <c r="L18" s="19"/>
      <c r="M18" s="234" t="n">
        <f aca="false" t="array" ref="M18:M18">INDEX(G16:G19,L16,1)</f>
        <v>147.031071998789</v>
      </c>
      <c r="N18" s="235" t="s">
        <v>258</v>
      </c>
      <c r="O18" s="19"/>
      <c r="P18" s="19"/>
      <c r="Q18" s="19"/>
      <c r="R18" s="19"/>
      <c r="S18" s="19"/>
      <c r="T18" s="19"/>
      <c r="U18" s="19"/>
    </row>
    <row r="19" customFormat="false" ht="12" hidden="false" customHeight="true" outlineLevel="0" collapsed="false">
      <c r="A19" s="215" t="s">
        <v>320</v>
      </c>
      <c r="B19" s="211" t="s">
        <v>321</v>
      </c>
      <c r="C19" s="238" t="n">
        <v>136</v>
      </c>
      <c r="D19" s="237" t="s">
        <v>314</v>
      </c>
      <c r="E19" s="126" t="n">
        <f aca="false">299.8/C19</f>
        <v>2.20441176470588</v>
      </c>
      <c r="F19" s="19" t="s">
        <v>315</v>
      </c>
      <c r="G19" s="213" t="n">
        <f aca="false">22+20*LOG10(($G$6*1000)/E19)</f>
        <v>136.883281748856</v>
      </c>
      <c r="H19" s="19" t="s">
        <v>258</v>
      </c>
      <c r="I19" s="19" t="s">
        <v>0</v>
      </c>
      <c r="J19" s="19"/>
      <c r="K19" s="19"/>
      <c r="L19" s="19"/>
      <c r="M19" s="19"/>
      <c r="N19" s="19"/>
      <c r="O19" s="19"/>
      <c r="P19" s="19"/>
      <c r="Q19" s="19"/>
      <c r="R19" s="19"/>
      <c r="S19" s="19"/>
      <c r="T19" s="19"/>
      <c r="U19" s="19"/>
    </row>
    <row r="20" customFormat="false" ht="12" hidden="false" customHeight="true" outlineLevel="0" collapsed="false">
      <c r="A20" s="19"/>
      <c r="B20" s="19"/>
      <c r="C20" s="19"/>
      <c r="D20" s="19"/>
      <c r="E20" s="19" t="s">
        <v>0</v>
      </c>
      <c r="F20" s="19"/>
      <c r="G20" s="19"/>
      <c r="H20" s="19"/>
      <c r="I20" s="19"/>
      <c r="J20" s="19" t="s">
        <v>0</v>
      </c>
      <c r="K20" s="19"/>
      <c r="L20" s="19"/>
      <c r="M20" s="19"/>
      <c r="N20" s="19"/>
      <c r="O20" s="19"/>
      <c r="P20" s="19"/>
      <c r="Q20" s="19"/>
      <c r="R20" s="19"/>
      <c r="S20" s="19"/>
      <c r="T20" s="19"/>
      <c r="U20" s="19"/>
    </row>
    <row r="21" customFormat="false" ht="12" hidden="false" customHeight="true" outlineLevel="0" collapsed="false">
      <c r="A21" s="19" t="s">
        <v>0</v>
      </c>
      <c r="B21" s="19"/>
      <c r="C21" s="19"/>
      <c r="D21" s="19"/>
      <c r="E21" s="19"/>
      <c r="F21" s="19"/>
      <c r="G21" s="19"/>
      <c r="H21" s="19"/>
      <c r="I21" s="19"/>
      <c r="J21" s="19"/>
      <c r="K21" s="19"/>
      <c r="L21" s="19"/>
      <c r="M21" s="19"/>
      <c r="N21" s="19"/>
      <c r="O21" s="19"/>
      <c r="P21" s="19"/>
      <c r="Q21" s="19"/>
      <c r="R21" s="19"/>
      <c r="S21" s="19"/>
      <c r="T21" s="19"/>
      <c r="U21" s="19"/>
    </row>
    <row r="22" customFormat="false" ht="12" hidden="false" customHeight="true" outlineLevel="0" collapsed="false">
      <c r="A22" s="19"/>
      <c r="B22" s="98" t="s">
        <v>0</v>
      </c>
      <c r="C22" s="19"/>
      <c r="D22" s="19"/>
      <c r="E22" s="19"/>
      <c r="F22" s="19"/>
      <c r="G22" s="19"/>
      <c r="H22" s="19" t="s">
        <v>0</v>
      </c>
      <c r="I22" s="19"/>
      <c r="J22" s="19"/>
      <c r="K22" s="19"/>
      <c r="L22" s="19"/>
      <c r="M22" s="19"/>
      <c r="N22" s="19"/>
      <c r="O22" s="19"/>
      <c r="P22" s="19"/>
      <c r="Q22" s="19"/>
      <c r="R22" s="19"/>
      <c r="S22" s="19"/>
      <c r="T22" s="19"/>
      <c r="U22" s="19"/>
    </row>
    <row r="23" customFormat="false" ht="12" hidden="false" customHeight="true" outlineLevel="0" collapsed="false">
      <c r="A23" s="19"/>
      <c r="B23" s="19" t="s">
        <v>0</v>
      </c>
      <c r="C23" s="19"/>
      <c r="D23" s="19"/>
      <c r="E23" s="19"/>
      <c r="F23" s="19"/>
      <c r="G23" s="19"/>
      <c r="H23" s="19"/>
      <c r="I23" s="19"/>
      <c r="J23" s="19"/>
      <c r="K23" s="19"/>
      <c r="L23" s="19"/>
      <c r="M23" s="19"/>
      <c r="N23" s="19"/>
      <c r="O23" s="19"/>
      <c r="P23" s="19"/>
      <c r="Q23" s="19"/>
      <c r="R23" s="19"/>
      <c r="S23" s="19"/>
      <c r="T23" s="19"/>
      <c r="U23" s="19"/>
    </row>
    <row r="24" customFormat="false" ht="12" hidden="false" customHeight="true" outlineLevel="0" collapsed="false">
      <c r="A24" s="19"/>
      <c r="B24" s="19"/>
      <c r="C24" s="19"/>
      <c r="D24" s="19"/>
      <c r="E24" s="19"/>
      <c r="F24" s="19"/>
      <c r="G24" s="19"/>
      <c r="H24" s="19"/>
      <c r="I24" s="19"/>
      <c r="J24" s="19"/>
      <c r="K24" s="19"/>
      <c r="L24" s="19"/>
      <c r="M24" s="19"/>
      <c r="N24" s="19"/>
      <c r="O24" s="19"/>
      <c r="P24" s="19"/>
      <c r="Q24" s="19"/>
      <c r="R24" s="19"/>
      <c r="S24" s="19"/>
      <c r="T24" s="19"/>
      <c r="U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c r="T25" s="19"/>
      <c r="U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c r="T26" s="19"/>
      <c r="U26" s="19"/>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c r="S27" s="19"/>
      <c r="T27" s="19"/>
      <c r="U27" s="19"/>
    </row>
    <row r="28" customFormat="false" ht="12" hidden="false" customHeight="true" outlineLevel="0" collapsed="false">
      <c r="A28" s="19"/>
      <c r="B28" s="19"/>
      <c r="C28" s="19"/>
      <c r="D28" s="19"/>
      <c r="E28" s="19"/>
      <c r="F28" s="19" t="s">
        <v>0</v>
      </c>
      <c r="G28" s="19"/>
      <c r="H28" s="19"/>
      <c r="I28" s="19"/>
      <c r="J28" s="19"/>
      <c r="K28" s="19"/>
      <c r="L28" s="19"/>
      <c r="M28" s="19"/>
      <c r="N28" s="19"/>
      <c r="O28" s="19"/>
      <c r="P28" s="19"/>
      <c r="Q28" s="19"/>
      <c r="R28" s="19"/>
      <c r="S28" s="19"/>
      <c r="T28" s="19"/>
      <c r="U28" s="19"/>
    </row>
    <row r="29" customFormat="false" ht="12" hidden="false" customHeight="true" outlineLevel="0" collapsed="false">
      <c r="A29" s="19"/>
      <c r="B29" s="19"/>
      <c r="C29" s="19"/>
      <c r="D29" s="19"/>
      <c r="E29" s="19"/>
      <c r="F29" s="19"/>
      <c r="G29" s="19"/>
      <c r="H29" s="19"/>
      <c r="I29" s="19"/>
      <c r="J29" s="19"/>
      <c r="K29" s="19"/>
      <c r="L29" s="19"/>
      <c r="M29" s="19"/>
      <c r="N29" s="19"/>
      <c r="O29" s="19"/>
      <c r="P29" s="19"/>
      <c r="Q29" s="19"/>
      <c r="R29" s="19"/>
      <c r="S29" s="19"/>
      <c r="T29" s="19"/>
      <c r="U29" s="19"/>
    </row>
    <row r="30" customFormat="false" ht="12" hidden="false" customHeight="true" outlineLevel="0" collapsed="false">
      <c r="A30" s="19"/>
      <c r="B30" s="19"/>
      <c r="C30" s="19"/>
      <c r="D30" s="19"/>
      <c r="E30" s="19"/>
      <c r="F30" s="19"/>
      <c r="G30" s="19"/>
      <c r="H30" s="19"/>
      <c r="I30" s="19"/>
      <c r="J30" s="19"/>
      <c r="K30" s="19"/>
      <c r="L30" s="19"/>
      <c r="M30" s="19"/>
      <c r="N30" s="19"/>
      <c r="O30" s="19"/>
      <c r="P30" s="19"/>
      <c r="Q30" s="19"/>
      <c r="R30" s="19"/>
      <c r="S30" s="19"/>
      <c r="T30" s="19"/>
      <c r="U30" s="19"/>
    </row>
    <row r="31" customFormat="false" ht="12" hidden="false" customHeight="true" outlineLevel="0" collapsed="false">
      <c r="A31" s="19"/>
      <c r="B31" s="19"/>
      <c r="C31" s="19"/>
      <c r="D31" s="19"/>
      <c r="E31" s="19"/>
      <c r="F31" s="19"/>
      <c r="G31" s="19"/>
      <c r="H31" s="19"/>
      <c r="I31" s="19"/>
      <c r="J31" s="19"/>
      <c r="K31" s="19"/>
      <c r="L31" s="19"/>
      <c r="M31" s="19"/>
      <c r="N31" s="19"/>
      <c r="O31" s="19"/>
      <c r="P31" s="19"/>
      <c r="Q31" s="19"/>
      <c r="R31" s="19"/>
      <c r="S31" s="19"/>
      <c r="T31" s="19"/>
      <c r="U31" s="19"/>
    </row>
    <row r="32" customFormat="false" ht="12" hidden="false" customHeight="true" outlineLevel="0" collapsed="false">
      <c r="A32" s="19"/>
      <c r="B32" s="19"/>
      <c r="C32" s="19"/>
      <c r="D32" s="19"/>
      <c r="E32" s="19"/>
      <c r="F32" s="19"/>
      <c r="G32" s="19"/>
      <c r="H32" s="19"/>
      <c r="I32" s="19"/>
      <c r="J32" s="19"/>
      <c r="K32" s="19"/>
      <c r="L32" s="19"/>
      <c r="M32" s="19"/>
      <c r="N32" s="19"/>
      <c r="O32" s="19"/>
      <c r="P32" s="19"/>
      <c r="Q32" s="19"/>
      <c r="R32" s="19"/>
      <c r="S32" s="19"/>
      <c r="T32" s="19"/>
      <c r="U32" s="19"/>
    </row>
    <row r="33" customFormat="false" ht="12" hidden="false" customHeight="true" outlineLevel="0" collapsed="false">
      <c r="A33" s="19"/>
      <c r="B33" s="19"/>
      <c r="C33" s="19"/>
      <c r="D33" s="19"/>
      <c r="E33" s="19"/>
      <c r="F33" s="19"/>
      <c r="G33" s="19"/>
      <c r="H33" s="19"/>
      <c r="I33" s="19"/>
      <c r="J33" s="19"/>
      <c r="K33" s="19"/>
      <c r="L33" s="19"/>
      <c r="M33" s="19"/>
      <c r="N33" s="19"/>
      <c r="O33" s="19"/>
      <c r="P33" s="19"/>
      <c r="Q33" s="19"/>
      <c r="R33" s="19"/>
      <c r="S33" s="19"/>
      <c r="T33" s="19"/>
      <c r="U33" s="19"/>
    </row>
    <row r="34" customFormat="false" ht="12" hidden="false" customHeight="true" outlineLevel="0" collapsed="false">
      <c r="A34" s="19"/>
      <c r="B34" s="19"/>
      <c r="C34" s="19"/>
      <c r="D34" s="19"/>
      <c r="E34" s="19"/>
      <c r="F34" s="19"/>
      <c r="G34" s="19"/>
      <c r="H34" s="19"/>
      <c r="I34" s="19"/>
      <c r="J34" s="19"/>
      <c r="K34" s="19"/>
      <c r="L34" s="19"/>
      <c r="M34" s="19"/>
      <c r="N34" s="19"/>
      <c r="O34" s="19"/>
      <c r="P34" s="19"/>
      <c r="Q34" s="19"/>
      <c r="R34" s="19"/>
      <c r="S34" s="19"/>
      <c r="T34" s="19"/>
      <c r="U34" s="19"/>
    </row>
    <row r="35" customFormat="false" ht="12" hidden="false" customHeight="true" outlineLevel="0" collapsed="false">
      <c r="A35" s="19"/>
      <c r="B35" s="19"/>
      <c r="C35" s="19"/>
      <c r="D35" s="19"/>
      <c r="E35" s="19"/>
      <c r="F35" s="19"/>
      <c r="G35" s="19"/>
      <c r="H35" s="19"/>
      <c r="I35" s="19"/>
      <c r="J35" s="19"/>
      <c r="K35" s="19"/>
      <c r="L35" s="19"/>
      <c r="M35" s="19"/>
      <c r="N35" s="19"/>
      <c r="O35" s="19"/>
      <c r="P35" s="19"/>
      <c r="Q35" s="19"/>
      <c r="R35" s="19"/>
      <c r="S35" s="19"/>
      <c r="T35" s="19"/>
      <c r="U35" s="19"/>
    </row>
    <row r="36" customFormat="false" ht="12" hidden="false" customHeight="true" outlineLevel="0" collapsed="false">
      <c r="A36" s="19"/>
      <c r="B36" s="19"/>
      <c r="C36" s="19"/>
      <c r="D36" s="19"/>
      <c r="E36" s="19"/>
      <c r="F36" s="19"/>
      <c r="G36" s="19"/>
      <c r="H36" s="19"/>
      <c r="I36" s="19"/>
      <c r="J36" s="19"/>
      <c r="K36" s="19"/>
      <c r="L36" s="19"/>
      <c r="M36" s="19"/>
      <c r="N36" s="19"/>
      <c r="O36" s="19"/>
      <c r="P36" s="19"/>
      <c r="Q36" s="19"/>
      <c r="R36" s="19"/>
      <c r="S36" s="19"/>
      <c r="T36" s="19"/>
      <c r="U36" s="19"/>
    </row>
    <row r="37" customFormat="false" ht="12" hidden="false" customHeight="true" outlineLevel="0" collapsed="false">
      <c r="A37" s="19"/>
      <c r="B37" s="19"/>
      <c r="C37" s="19"/>
      <c r="D37" s="19"/>
      <c r="E37" s="19"/>
      <c r="F37" s="19"/>
      <c r="G37" s="19"/>
      <c r="H37" s="19"/>
      <c r="I37" s="19"/>
      <c r="J37" s="19"/>
      <c r="K37" s="19"/>
      <c r="L37" s="19"/>
      <c r="M37" s="19"/>
      <c r="N37" s="19"/>
      <c r="O37" s="19"/>
      <c r="P37" s="19"/>
      <c r="Q37" s="19"/>
      <c r="R37" s="19"/>
      <c r="S37" s="19"/>
      <c r="T37" s="19"/>
      <c r="U37" s="19"/>
    </row>
    <row r="38" customFormat="false" ht="12" hidden="false" customHeight="true" outlineLevel="0" collapsed="false">
      <c r="A38" s="19"/>
      <c r="B38" s="19"/>
      <c r="C38" s="19"/>
      <c r="D38" s="19"/>
      <c r="E38" s="19"/>
      <c r="F38" s="19"/>
      <c r="G38" s="19"/>
      <c r="H38" s="19"/>
      <c r="I38" s="19"/>
      <c r="J38" s="19"/>
      <c r="K38" s="19"/>
      <c r="L38" s="19"/>
      <c r="M38" s="19"/>
      <c r="N38" s="19"/>
      <c r="O38" s="19"/>
      <c r="P38" s="19"/>
      <c r="Q38" s="19"/>
      <c r="R38" s="19"/>
      <c r="S38" s="19"/>
      <c r="T38" s="19"/>
      <c r="U38" s="19"/>
    </row>
    <row r="39" customFormat="false" ht="12" hidden="false" customHeight="true" outlineLevel="0" collapsed="false">
      <c r="A39" s="19"/>
      <c r="B39" s="19"/>
      <c r="C39" s="19"/>
      <c r="D39" s="19"/>
      <c r="E39" s="19"/>
      <c r="F39" s="19"/>
      <c r="G39" s="19"/>
      <c r="H39" s="19"/>
      <c r="I39" s="19"/>
      <c r="J39" s="19"/>
      <c r="K39" s="19"/>
      <c r="L39" s="19"/>
      <c r="M39" s="19"/>
      <c r="N39" s="19"/>
      <c r="O39" s="19"/>
      <c r="P39" s="19"/>
      <c r="Q39" s="19"/>
      <c r="R39" s="19"/>
      <c r="S39" s="19"/>
      <c r="T39" s="19"/>
      <c r="U39" s="19"/>
    </row>
    <row r="40" customFormat="false" ht="12" hidden="false" customHeight="true" outlineLevel="0" collapsed="false">
      <c r="A40" s="19"/>
      <c r="B40" s="19"/>
      <c r="C40" s="19"/>
      <c r="D40" s="19"/>
      <c r="E40" s="19"/>
      <c r="F40" s="19"/>
      <c r="G40" s="19"/>
      <c r="H40" s="19"/>
      <c r="I40" s="19"/>
      <c r="J40" s="19"/>
      <c r="K40" s="19"/>
      <c r="L40" s="19"/>
      <c r="M40" s="19"/>
      <c r="N40" s="19"/>
      <c r="O40" s="19"/>
      <c r="P40" s="19"/>
      <c r="Q40" s="19"/>
      <c r="R40" s="19"/>
      <c r="S40" s="19"/>
      <c r="T40" s="19"/>
      <c r="U40" s="19"/>
    </row>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P1000"/>
  <sheetViews>
    <sheetView showFormulas="false" showGridLines="true" showRowColHeaders="true" showZeros="true" rightToLeft="false" tabSelected="false" showOutlineSymbols="true" defaultGridColor="true" view="normal" topLeftCell="A19" colorId="64" zoomScale="120" zoomScaleNormal="120" zoomScalePageLayoutView="100" workbookViewId="0">
      <selection pane="topLeft" activeCell="G64" activeCellId="0" sqref="G64"/>
    </sheetView>
  </sheetViews>
  <sheetFormatPr defaultColWidth="12.6328125" defaultRowHeight="15" customHeight="true" zeroHeight="false" outlineLevelRow="0" outlineLevelCol="0"/>
  <cols>
    <col collapsed="false" customWidth="true" hidden="false" outlineLevel="0" max="3" min="1" style="1" width="8.88"/>
    <col collapsed="false" customWidth="true" hidden="false" outlineLevel="0" max="4" min="4" style="1" width="23.38"/>
    <col collapsed="false" customWidth="true" hidden="false" outlineLevel="0" max="5" min="5" style="1" width="8.88"/>
    <col collapsed="false" customWidth="true" hidden="false" outlineLevel="0" max="6" min="6" style="1" width="9.25"/>
    <col collapsed="false" customWidth="true" hidden="false" outlineLevel="0" max="7" min="7" style="1" width="9"/>
    <col collapsed="false" customWidth="true" hidden="false" outlineLevel="0" max="8" min="8" style="1" width="8.88"/>
    <col collapsed="false" customWidth="true" hidden="false" outlineLevel="0" max="9" min="9" style="1" width="10.75"/>
    <col collapsed="false" customWidth="true" hidden="false" outlineLevel="0" max="10" min="10" style="1" width="14.75"/>
    <col collapsed="false" customWidth="true" hidden="false" outlineLevel="0" max="16" min="11" style="1" width="8.88"/>
    <col collapsed="false" customWidth="true" hidden="false" outlineLevel="0" max="26" min="17" style="1" width="14.38"/>
  </cols>
  <sheetData>
    <row r="1" customFormat="false" ht="18" hidden="false" customHeight="true" outlineLevel="0" collapsed="false">
      <c r="A1" s="39" t="s">
        <v>324</v>
      </c>
      <c r="B1" s="10"/>
      <c r="C1" s="10"/>
      <c r="D1" s="10"/>
      <c r="E1" s="10"/>
      <c r="F1" s="40" t="str">
        <f aca="false">'Title Page'!F3</f>
        <v>Coconut Cubesat</v>
      </c>
      <c r="G1" s="10"/>
      <c r="H1" s="10"/>
      <c r="I1" s="10"/>
      <c r="J1" s="41" t="str">
        <f aca="false">'Title Page'!F23</f>
        <v>2025 June 06</v>
      </c>
      <c r="K1" s="10"/>
      <c r="L1" s="10"/>
      <c r="M1" s="10"/>
      <c r="N1" s="10"/>
      <c r="O1" s="10"/>
      <c r="P1" s="10"/>
    </row>
    <row r="2" customFormat="false" ht="12" hidden="false" customHeight="true" outlineLevel="0" collapsed="false">
      <c r="A2" s="19"/>
      <c r="B2" s="19"/>
      <c r="C2" s="19"/>
      <c r="D2" s="19"/>
      <c r="E2" s="19" t="s">
        <v>0</v>
      </c>
      <c r="F2" s="19"/>
      <c r="G2" s="19"/>
      <c r="H2" s="19"/>
      <c r="I2" s="19"/>
      <c r="J2" s="19"/>
      <c r="K2" s="19"/>
      <c r="L2" s="19"/>
      <c r="M2" s="19"/>
      <c r="N2" s="19"/>
      <c r="O2" s="19"/>
      <c r="P2" s="19"/>
    </row>
    <row r="3" customFormat="false" ht="12" hidden="false" customHeight="true" outlineLevel="0" collapsed="false">
      <c r="A3" s="19"/>
      <c r="B3" s="19"/>
      <c r="C3" s="19"/>
      <c r="D3" s="19"/>
      <c r="E3" s="19"/>
      <c r="F3" s="19"/>
      <c r="G3" s="19"/>
      <c r="H3" s="19"/>
      <c r="I3" s="19"/>
      <c r="J3" s="19"/>
      <c r="K3" s="19"/>
      <c r="L3" s="19"/>
      <c r="M3" s="19"/>
      <c r="N3" s="19"/>
      <c r="O3" s="19"/>
      <c r="P3" s="19"/>
    </row>
    <row r="4" customFormat="false" ht="15" hidden="false" customHeight="true" outlineLevel="0" collapsed="false">
      <c r="A4" s="19"/>
      <c r="B4" s="44" t="s">
        <v>325</v>
      </c>
      <c r="C4" s="46"/>
      <c r="D4" s="46"/>
      <c r="E4" s="46"/>
      <c r="F4" s="46"/>
      <c r="G4" s="45"/>
      <c r="H4" s="19"/>
      <c r="I4" s="19"/>
      <c r="J4" s="37"/>
      <c r="K4" s="19"/>
      <c r="L4" s="19"/>
      <c r="M4" s="19"/>
      <c r="N4" s="19"/>
      <c r="O4" s="19"/>
      <c r="P4" s="19"/>
    </row>
    <row r="5" customFormat="false" ht="15" hidden="false" customHeight="true" outlineLevel="0" collapsed="false">
      <c r="A5" s="19"/>
      <c r="B5" s="239"/>
      <c r="C5" s="19"/>
      <c r="D5" s="19"/>
      <c r="E5" s="19"/>
      <c r="F5" s="19"/>
      <c r="G5" s="19"/>
      <c r="H5" s="19"/>
      <c r="I5" s="19"/>
      <c r="J5" s="37"/>
      <c r="K5" s="19"/>
      <c r="L5" s="19"/>
      <c r="M5" s="19"/>
      <c r="N5" s="19"/>
      <c r="O5" s="19"/>
      <c r="P5" s="19"/>
    </row>
    <row r="6" customFormat="false" ht="12" hidden="false" customHeight="true" outlineLevel="0" collapsed="false">
      <c r="A6" s="19"/>
      <c r="B6" s="23" t="s">
        <v>203</v>
      </c>
      <c r="C6" s="19"/>
      <c r="D6" s="19"/>
      <c r="E6" s="19"/>
      <c r="F6" s="19"/>
      <c r="G6" s="19"/>
      <c r="H6" s="19"/>
      <c r="I6" s="19"/>
      <c r="J6" s="19"/>
      <c r="K6" s="19"/>
      <c r="L6" s="19"/>
      <c r="M6" s="19"/>
      <c r="N6" s="19"/>
      <c r="O6" s="19"/>
      <c r="P6" s="19"/>
    </row>
    <row r="7" customFormat="false" ht="12" hidden="false" customHeight="true" outlineLevel="0" collapsed="false">
      <c r="A7" s="19"/>
      <c r="B7" s="19"/>
      <c r="C7" s="19"/>
      <c r="D7" s="19"/>
      <c r="E7" s="19"/>
      <c r="F7" s="19"/>
      <c r="G7" s="19"/>
      <c r="H7" s="19"/>
      <c r="I7" s="19"/>
      <c r="J7" s="19"/>
      <c r="K7" s="19"/>
      <c r="L7" s="19"/>
      <c r="M7" s="19"/>
      <c r="N7" s="19"/>
      <c r="O7" s="19"/>
      <c r="P7" s="19"/>
    </row>
    <row r="8" customFormat="false" ht="12" hidden="false" customHeight="true" outlineLevel="0" collapsed="false">
      <c r="A8" s="19"/>
      <c r="B8" s="19"/>
      <c r="C8" s="240"/>
      <c r="D8" s="241"/>
      <c r="E8" s="241"/>
      <c r="F8" s="241"/>
      <c r="G8" s="241"/>
      <c r="H8" s="241"/>
      <c r="I8" s="241"/>
      <c r="J8" s="241"/>
      <c r="K8" s="242"/>
      <c r="L8" s="19"/>
      <c r="M8" s="19"/>
      <c r="N8" s="19"/>
      <c r="O8" s="19"/>
      <c r="P8" s="19"/>
    </row>
    <row r="9" customFormat="false" ht="12" hidden="false" customHeight="true" outlineLevel="0" collapsed="false">
      <c r="A9" s="19"/>
      <c r="B9" s="19"/>
      <c r="C9" s="243" t="s">
        <v>326</v>
      </c>
      <c r="D9" s="48"/>
      <c r="E9" s="48"/>
      <c r="F9" s="48"/>
      <c r="G9" s="48"/>
      <c r="H9" s="48"/>
      <c r="I9" s="48"/>
      <c r="J9" s="48"/>
      <c r="K9" s="244"/>
      <c r="L9" s="19"/>
      <c r="M9" s="19"/>
      <c r="N9" s="19"/>
      <c r="O9" s="19"/>
      <c r="P9" s="19"/>
    </row>
    <row r="10" customFormat="false" ht="12" hidden="false" customHeight="true" outlineLevel="0" collapsed="false">
      <c r="A10" s="19"/>
      <c r="B10" s="19"/>
      <c r="C10" s="245"/>
      <c r="D10" s="48"/>
      <c r="E10" s="48"/>
      <c r="F10" s="48"/>
      <c r="G10" s="48"/>
      <c r="H10" s="48"/>
      <c r="I10" s="48"/>
      <c r="J10" s="48"/>
      <c r="K10" s="244"/>
      <c r="L10" s="19"/>
      <c r="M10" s="19"/>
      <c r="N10" s="19"/>
      <c r="O10" s="19"/>
      <c r="P10" s="19"/>
    </row>
    <row r="11" customFormat="false" ht="12" hidden="false" customHeight="true" outlineLevel="0" collapsed="false">
      <c r="A11" s="19"/>
      <c r="B11" s="19"/>
      <c r="C11" s="245"/>
      <c r="D11" s="48"/>
      <c r="E11" s="48"/>
      <c r="F11" s="48" t="s">
        <v>327</v>
      </c>
      <c r="G11" s="48"/>
      <c r="H11" s="48" t="s">
        <v>328</v>
      </c>
      <c r="I11" s="48"/>
      <c r="J11" s="48" t="s">
        <v>329</v>
      </c>
      <c r="K11" s="244"/>
      <c r="L11" s="19"/>
      <c r="M11" s="19"/>
      <c r="N11" s="19"/>
      <c r="O11" s="19"/>
      <c r="P11" s="19"/>
    </row>
    <row r="12" customFormat="false" ht="12" hidden="false" customHeight="true" outlineLevel="0" collapsed="false">
      <c r="A12" s="19"/>
      <c r="B12" s="19"/>
      <c r="C12" s="245"/>
      <c r="D12" s="48"/>
      <c r="E12" s="48"/>
      <c r="F12" s="48"/>
      <c r="G12" s="48"/>
      <c r="H12" s="48"/>
      <c r="I12" s="48"/>
      <c r="J12" s="48"/>
      <c r="K12" s="244"/>
      <c r="L12" s="19"/>
      <c r="M12" s="19"/>
      <c r="N12" s="19"/>
      <c r="O12" s="19"/>
      <c r="P12" s="19"/>
    </row>
    <row r="13" customFormat="false" ht="12" hidden="false" customHeight="true" outlineLevel="0" collapsed="false">
      <c r="A13" s="19"/>
      <c r="B13" s="19"/>
      <c r="C13" s="245"/>
      <c r="D13" s="48"/>
      <c r="E13" s="48"/>
      <c r="F13" s="48"/>
      <c r="G13" s="48"/>
      <c r="H13" s="48"/>
      <c r="I13" s="48"/>
      <c r="J13" s="48"/>
      <c r="K13" s="244"/>
      <c r="L13" s="19"/>
      <c r="M13" s="19"/>
      <c r="N13" s="19"/>
      <c r="O13" s="19"/>
      <c r="P13" s="19"/>
    </row>
    <row r="14" customFormat="false" ht="12" hidden="false" customHeight="true" outlineLevel="0" collapsed="false">
      <c r="A14" s="19"/>
      <c r="B14" s="19"/>
      <c r="C14" s="245"/>
      <c r="D14" s="48"/>
      <c r="E14" s="48"/>
      <c r="F14" s="48"/>
      <c r="G14" s="48"/>
      <c r="H14" s="48"/>
      <c r="I14" s="48"/>
      <c r="J14" s="48"/>
      <c r="K14" s="244"/>
      <c r="L14" s="19"/>
      <c r="M14" s="19"/>
      <c r="N14" s="19"/>
      <c r="O14" s="19"/>
      <c r="P14" s="19"/>
    </row>
    <row r="15" customFormat="false" ht="12" hidden="false" customHeight="true" outlineLevel="0" collapsed="false">
      <c r="A15" s="19"/>
      <c r="B15" s="19"/>
      <c r="C15" s="245"/>
      <c r="D15" s="48"/>
      <c r="E15" s="48"/>
      <c r="F15" s="48"/>
      <c r="G15" s="48"/>
      <c r="H15" s="48"/>
      <c r="I15" s="48"/>
      <c r="J15" s="48"/>
      <c r="K15" s="244"/>
      <c r="L15" s="19"/>
      <c r="M15" s="19"/>
      <c r="N15" s="19"/>
      <c r="O15" s="19"/>
      <c r="P15" s="19"/>
    </row>
    <row r="16" customFormat="false" ht="12" hidden="false" customHeight="true" outlineLevel="0" collapsed="false">
      <c r="A16" s="19"/>
      <c r="B16" s="19"/>
      <c r="C16" s="245" t="s">
        <v>330</v>
      </c>
      <c r="D16" s="48"/>
      <c r="E16" s="246" t="n">
        <v>50</v>
      </c>
      <c r="F16" s="48" t="s">
        <v>331</v>
      </c>
      <c r="G16" s="247" t="n">
        <f aca="false">10*LOG10(E16)</f>
        <v>16.9897000433602</v>
      </c>
      <c r="H16" s="48" t="s">
        <v>332</v>
      </c>
      <c r="I16" s="248" t="n">
        <f aca="false">G16+30</f>
        <v>46.9897000433602</v>
      </c>
      <c r="J16" s="48" t="s">
        <v>333</v>
      </c>
      <c r="K16" s="244" t="s">
        <v>0</v>
      </c>
      <c r="L16" s="19"/>
      <c r="M16" s="19"/>
      <c r="N16" s="19"/>
      <c r="O16" s="19"/>
      <c r="P16" s="19"/>
    </row>
    <row r="17" customFormat="false" ht="12" hidden="false" customHeight="true" outlineLevel="0" collapsed="false">
      <c r="A17" s="19"/>
      <c r="B17" s="19"/>
      <c r="C17" s="245"/>
      <c r="D17" s="48"/>
      <c r="E17" s="48"/>
      <c r="F17" s="48"/>
      <c r="G17" s="48"/>
      <c r="H17" s="48"/>
      <c r="I17" s="48"/>
      <c r="J17" s="48"/>
      <c r="K17" s="244"/>
      <c r="L17" s="19"/>
      <c r="M17" s="19"/>
      <c r="N17" s="19"/>
      <c r="O17" s="19"/>
      <c r="P17" s="19"/>
    </row>
    <row r="18" customFormat="false" ht="12" hidden="false" customHeight="true" outlineLevel="0" collapsed="false">
      <c r="A18" s="19"/>
      <c r="B18" s="19"/>
      <c r="C18" s="245" t="s">
        <v>334</v>
      </c>
      <c r="D18" s="48"/>
      <c r="E18" s="48"/>
      <c r="F18" s="48" t="s">
        <v>0</v>
      </c>
      <c r="G18" s="48"/>
      <c r="H18" s="48"/>
      <c r="I18" s="48"/>
      <c r="J18" s="48"/>
      <c r="K18" s="244"/>
      <c r="L18" s="19"/>
      <c r="M18" s="19"/>
      <c r="N18" s="19"/>
      <c r="O18" s="19"/>
      <c r="P18" s="19"/>
    </row>
    <row r="19" customFormat="false" ht="12" hidden="false" customHeight="true" outlineLevel="0" collapsed="false">
      <c r="A19" s="19"/>
      <c r="B19" s="19"/>
      <c r="C19" s="245"/>
      <c r="D19" s="249" t="s">
        <v>335</v>
      </c>
      <c r="E19" s="48"/>
      <c r="F19" s="48"/>
      <c r="G19" s="48"/>
      <c r="H19" s="48"/>
      <c r="I19" s="250" t="n">
        <v>12</v>
      </c>
      <c r="J19" s="48" t="s">
        <v>315</v>
      </c>
      <c r="K19" s="244"/>
      <c r="L19" s="19"/>
      <c r="M19" s="19"/>
      <c r="N19" s="19"/>
      <c r="O19" s="19"/>
      <c r="P19" s="19"/>
    </row>
    <row r="20" customFormat="false" ht="12" hidden="false" customHeight="true" outlineLevel="0" collapsed="false">
      <c r="A20" s="19"/>
      <c r="B20" s="19"/>
      <c r="C20" s="245"/>
      <c r="D20" s="249" t="s">
        <v>336</v>
      </c>
      <c r="E20" s="48"/>
      <c r="F20" s="48"/>
      <c r="G20" s="48"/>
      <c r="H20" s="48"/>
      <c r="I20" s="250" t="n">
        <v>0</v>
      </c>
      <c r="J20" s="48" t="s">
        <v>315</v>
      </c>
      <c r="K20" s="244"/>
      <c r="L20" s="19"/>
      <c r="M20" s="19"/>
      <c r="N20" s="19"/>
      <c r="O20" s="19"/>
      <c r="P20" s="19"/>
    </row>
    <row r="21" customFormat="false" ht="12" hidden="false" customHeight="true" outlineLevel="0" collapsed="false">
      <c r="A21" s="19"/>
      <c r="B21" s="19"/>
      <c r="C21" s="245"/>
      <c r="D21" s="249" t="s">
        <v>337</v>
      </c>
      <c r="E21" s="48"/>
      <c r="F21" s="48"/>
      <c r="G21" s="48"/>
      <c r="H21" s="48"/>
      <c r="I21" s="250" t="n">
        <v>0</v>
      </c>
      <c r="J21" s="48" t="s">
        <v>315</v>
      </c>
      <c r="K21" s="244"/>
      <c r="L21" s="19"/>
      <c r="M21" s="19"/>
      <c r="N21" s="19"/>
      <c r="O21" s="19"/>
      <c r="P21" s="19"/>
    </row>
    <row r="22" customFormat="false" ht="12" hidden="false" customHeight="true" outlineLevel="0" collapsed="false">
      <c r="A22" s="19"/>
      <c r="B22" s="19"/>
      <c r="C22" s="245"/>
      <c r="D22" s="48"/>
      <c r="E22" s="48"/>
      <c r="F22" s="48" t="s">
        <v>0</v>
      </c>
      <c r="G22" s="48"/>
      <c r="H22" s="48"/>
      <c r="I22" s="48"/>
      <c r="J22" s="48" t="s">
        <v>0</v>
      </c>
      <c r="K22" s="244"/>
      <c r="L22" s="19"/>
      <c r="M22" s="19"/>
      <c r="N22" s="19"/>
      <c r="O22" s="19"/>
      <c r="P22" s="19"/>
    </row>
    <row r="23" customFormat="false" ht="12" hidden="false" customHeight="true" outlineLevel="0" collapsed="false">
      <c r="A23" s="19"/>
      <c r="B23" s="19"/>
      <c r="C23" s="245"/>
      <c r="D23" s="48" t="s">
        <v>338</v>
      </c>
      <c r="E23" s="48"/>
      <c r="F23" s="48" t="s">
        <v>0</v>
      </c>
      <c r="G23" s="48"/>
      <c r="H23" s="48"/>
      <c r="I23" s="251" t="n">
        <f aca="false">SUM(I19:I21)</f>
        <v>12</v>
      </c>
      <c r="J23" s="48" t="s">
        <v>315</v>
      </c>
      <c r="K23" s="244"/>
      <c r="L23" s="19"/>
      <c r="M23" s="19"/>
      <c r="N23" s="19"/>
      <c r="O23" s="19"/>
      <c r="P23" s="19"/>
    </row>
    <row r="24" customFormat="false" ht="12" hidden="false" customHeight="true" outlineLevel="0" collapsed="false">
      <c r="A24" s="19"/>
      <c r="B24" s="19"/>
      <c r="C24" s="245"/>
      <c r="D24" s="48" t="s">
        <v>339</v>
      </c>
      <c r="E24" s="48"/>
      <c r="F24" s="48"/>
      <c r="G24" s="48"/>
      <c r="H24" s="48"/>
      <c r="I24" s="179" t="s">
        <v>340</v>
      </c>
      <c r="J24" s="252" t="s">
        <v>341</v>
      </c>
      <c r="K24" s="244"/>
      <c r="L24" s="19"/>
      <c r="M24" s="19"/>
      <c r="N24" s="19"/>
      <c r="O24" s="19"/>
      <c r="P24" s="19"/>
    </row>
    <row r="25" customFormat="false" ht="12" hidden="false" customHeight="true" outlineLevel="0" collapsed="false">
      <c r="A25" s="19"/>
      <c r="B25" s="19"/>
      <c r="C25" s="245"/>
      <c r="D25" s="48" t="s">
        <v>342</v>
      </c>
      <c r="E25" s="253" t="n">
        <v>0.09</v>
      </c>
      <c r="F25" s="48" t="s">
        <v>343</v>
      </c>
      <c r="G25" s="254" t="n">
        <f aca="false">Frequency!M10</f>
        <v>437.5</v>
      </c>
      <c r="H25" s="48" t="s">
        <v>344</v>
      </c>
      <c r="I25" s="255" t="n">
        <f aca="false">I23*E25</f>
        <v>1.08</v>
      </c>
      <c r="J25" s="48" t="s">
        <v>258</v>
      </c>
      <c r="K25" s="244"/>
      <c r="L25" s="19"/>
      <c r="M25" s="19"/>
      <c r="N25" s="19"/>
      <c r="O25" s="19"/>
      <c r="P25" s="19"/>
    </row>
    <row r="26" customFormat="false" ht="12" hidden="false" customHeight="true" outlineLevel="0" collapsed="false">
      <c r="A26" s="19"/>
      <c r="B26" s="19"/>
      <c r="C26" s="245"/>
      <c r="D26" s="48"/>
      <c r="E26" s="256"/>
      <c r="F26" s="48"/>
      <c r="G26" s="255"/>
      <c r="H26" s="48"/>
      <c r="I26" s="255"/>
      <c r="J26" s="48"/>
      <c r="K26" s="244"/>
      <c r="L26" s="19"/>
      <c r="M26" s="35"/>
      <c r="N26" s="19"/>
      <c r="O26" s="19"/>
      <c r="P26" s="19"/>
    </row>
    <row r="27" customFormat="false" ht="12" hidden="false" customHeight="true" outlineLevel="0" collapsed="false">
      <c r="A27" s="19"/>
      <c r="B27" s="19"/>
      <c r="C27" s="245" t="s">
        <v>345</v>
      </c>
      <c r="D27" s="48"/>
      <c r="E27" s="256"/>
      <c r="F27" s="48"/>
      <c r="G27" s="255"/>
      <c r="H27" s="48"/>
      <c r="I27" s="255"/>
      <c r="J27" s="48"/>
      <c r="K27" s="244"/>
      <c r="L27" s="19"/>
      <c r="M27" s="19"/>
      <c r="N27" s="19"/>
      <c r="O27" s="19"/>
      <c r="P27" s="19"/>
    </row>
    <row r="28" customFormat="false" ht="12" hidden="false" customHeight="true" outlineLevel="0" collapsed="false">
      <c r="A28" s="19"/>
      <c r="B28" s="19"/>
      <c r="C28" s="245"/>
      <c r="D28" s="48"/>
      <c r="E28" s="256"/>
      <c r="F28" s="48"/>
      <c r="G28" s="255"/>
      <c r="H28" s="48"/>
      <c r="I28" s="255"/>
      <c r="J28" s="48"/>
      <c r="K28" s="244"/>
      <c r="L28" s="19"/>
      <c r="M28" s="19"/>
      <c r="N28" s="19"/>
      <c r="O28" s="19"/>
      <c r="P28" s="19"/>
    </row>
    <row r="29" customFormat="false" ht="12" hidden="false" customHeight="true" outlineLevel="0" collapsed="false">
      <c r="A29" s="19"/>
      <c r="B29" s="19"/>
      <c r="C29" s="245"/>
      <c r="D29" s="48" t="s">
        <v>346</v>
      </c>
      <c r="E29" s="50" t="n">
        <v>4</v>
      </c>
      <c r="F29" s="48" t="s">
        <v>347</v>
      </c>
      <c r="G29" s="48"/>
      <c r="H29" s="48"/>
      <c r="I29" s="255" t="n">
        <f aca="false">E29*0.05</f>
        <v>0.2</v>
      </c>
      <c r="J29" s="48" t="s">
        <v>258</v>
      </c>
      <c r="K29" s="244"/>
      <c r="L29" s="98"/>
      <c r="M29" s="19"/>
      <c r="N29" s="19"/>
      <c r="O29" s="19"/>
      <c r="P29" s="19"/>
    </row>
    <row r="30" customFormat="false" ht="12" hidden="false" customHeight="true" outlineLevel="0" collapsed="false">
      <c r="A30" s="19"/>
      <c r="B30" s="19"/>
      <c r="C30" s="245"/>
      <c r="D30" s="48" t="s">
        <v>348</v>
      </c>
      <c r="E30" s="48"/>
      <c r="F30" s="48"/>
      <c r="G30" s="48"/>
      <c r="H30" s="48"/>
      <c r="I30" s="250" t="n">
        <v>1</v>
      </c>
      <c r="J30" s="48" t="s">
        <v>258</v>
      </c>
      <c r="K30" s="244"/>
      <c r="L30" s="19"/>
      <c r="M30" s="19"/>
      <c r="N30" s="19"/>
      <c r="O30" s="19"/>
      <c r="P30" s="19"/>
    </row>
    <row r="31" customFormat="false" ht="12" hidden="false" customHeight="true" outlineLevel="0" collapsed="false">
      <c r="A31" s="19"/>
      <c r="B31" s="19"/>
      <c r="C31" s="245"/>
      <c r="D31" s="48" t="s">
        <v>349</v>
      </c>
      <c r="E31" s="249" t="s">
        <v>350</v>
      </c>
      <c r="F31" s="257"/>
      <c r="G31" s="187"/>
      <c r="H31" s="48"/>
      <c r="I31" s="50" t="n">
        <v>0</v>
      </c>
      <c r="J31" s="48" t="s">
        <v>258</v>
      </c>
      <c r="K31" s="244"/>
      <c r="L31" s="19"/>
      <c r="M31" s="19"/>
      <c r="N31" s="19"/>
      <c r="O31" s="19"/>
      <c r="P31" s="19"/>
    </row>
    <row r="32" customFormat="false" ht="12" hidden="false" customHeight="true" outlineLevel="0" collapsed="false">
      <c r="A32" s="19"/>
      <c r="B32" s="19"/>
      <c r="C32" s="245"/>
      <c r="D32" s="48"/>
      <c r="E32" s="249"/>
      <c r="F32" s="258"/>
      <c r="G32" s="48"/>
      <c r="H32" s="48"/>
      <c r="I32" s="259"/>
      <c r="J32" s="48"/>
      <c r="K32" s="244"/>
      <c r="L32" s="19"/>
      <c r="M32" s="19"/>
      <c r="N32" s="19"/>
      <c r="O32" s="19"/>
      <c r="P32" s="19"/>
    </row>
    <row r="33" customFormat="false" ht="12" hidden="false" customHeight="true" outlineLevel="0" collapsed="false">
      <c r="A33" s="19"/>
      <c r="B33" s="19"/>
      <c r="C33" s="245"/>
      <c r="D33" s="48" t="s">
        <v>351</v>
      </c>
      <c r="E33" s="48"/>
      <c r="F33" s="48" t="s">
        <v>352</v>
      </c>
      <c r="G33" s="48"/>
      <c r="H33" s="48"/>
      <c r="I33" s="50" t="n">
        <v>0.05</v>
      </c>
      <c r="J33" s="48" t="s">
        <v>258</v>
      </c>
      <c r="K33" s="244"/>
      <c r="L33" s="19"/>
      <c r="M33" s="19"/>
      <c r="N33" s="19"/>
      <c r="O33" s="19"/>
      <c r="P33" s="19"/>
    </row>
    <row r="34" customFormat="false" ht="12" hidden="false" customHeight="true" outlineLevel="0" collapsed="false">
      <c r="A34" s="19"/>
      <c r="B34" s="19"/>
      <c r="C34" s="245"/>
      <c r="D34" s="48"/>
      <c r="E34" s="48"/>
      <c r="F34" s="48"/>
      <c r="G34" s="48"/>
      <c r="H34" s="48"/>
      <c r="I34" s="259"/>
      <c r="J34" s="48"/>
      <c r="K34" s="244"/>
      <c r="L34" s="19"/>
      <c r="M34" s="19"/>
      <c r="N34" s="19"/>
      <c r="O34" s="19"/>
      <c r="P34" s="19"/>
    </row>
    <row r="35" customFormat="false" ht="12" hidden="false" customHeight="true" outlineLevel="0" collapsed="false">
      <c r="A35" s="19"/>
      <c r="B35" s="19"/>
      <c r="C35" s="245" t="s">
        <v>353</v>
      </c>
      <c r="D35" s="48"/>
      <c r="E35" s="48"/>
      <c r="F35" s="48"/>
      <c r="G35" s="48"/>
      <c r="H35" s="48"/>
      <c r="I35" s="260" t="n">
        <f aca="false">I25+I29+I30+I31+I33</f>
        <v>2.33</v>
      </c>
      <c r="J35" s="48" t="s">
        <v>258</v>
      </c>
      <c r="K35" s="244"/>
      <c r="L35" s="19"/>
      <c r="M35" s="19"/>
      <c r="N35" s="19"/>
      <c r="O35" s="19"/>
      <c r="P35" s="19"/>
    </row>
    <row r="36" customFormat="false" ht="12" hidden="false" customHeight="true" outlineLevel="0" collapsed="false">
      <c r="A36" s="19"/>
      <c r="B36" s="19"/>
      <c r="C36" s="245"/>
      <c r="D36" s="48"/>
      <c r="E36" s="48"/>
      <c r="F36" s="48"/>
      <c r="G36" s="48"/>
      <c r="H36" s="48"/>
      <c r="I36" s="261"/>
      <c r="J36" s="48"/>
      <c r="K36" s="244"/>
      <c r="L36" s="19"/>
      <c r="M36" s="19"/>
      <c r="N36" s="19"/>
      <c r="O36" s="19"/>
      <c r="P36" s="19"/>
    </row>
    <row r="37" customFormat="false" ht="12" hidden="false" customHeight="true" outlineLevel="0" collapsed="false">
      <c r="A37" s="19"/>
      <c r="B37" s="19"/>
      <c r="C37" s="245" t="s">
        <v>354</v>
      </c>
      <c r="D37" s="48"/>
      <c r="E37" s="48"/>
      <c r="F37" s="48"/>
      <c r="G37" s="48"/>
      <c r="H37" s="48"/>
      <c r="I37" s="248" t="n">
        <f aca="false">G16-I35</f>
        <v>14.6597000433602</v>
      </c>
      <c r="J37" s="48" t="s">
        <v>355</v>
      </c>
      <c r="K37" s="244"/>
      <c r="L37" s="19"/>
      <c r="M37" s="19"/>
      <c r="N37" s="19"/>
      <c r="O37" s="19"/>
      <c r="P37" s="19"/>
    </row>
    <row r="38" customFormat="false" ht="12" hidden="false" customHeight="true" outlineLevel="0" collapsed="false">
      <c r="A38" s="19"/>
      <c r="B38" s="19"/>
      <c r="C38" s="262"/>
      <c r="D38" s="263"/>
      <c r="E38" s="263"/>
      <c r="F38" s="263"/>
      <c r="G38" s="263"/>
      <c r="H38" s="263"/>
      <c r="I38" s="263"/>
      <c r="J38" s="263"/>
      <c r="K38" s="264"/>
      <c r="L38" s="19"/>
      <c r="M38" s="19"/>
      <c r="N38" s="19"/>
      <c r="O38" s="19"/>
      <c r="P38" s="19"/>
    </row>
    <row r="39" customFormat="false" ht="12" hidden="false" customHeight="true" outlineLevel="0" collapsed="false">
      <c r="A39" s="19"/>
      <c r="B39" s="19"/>
      <c r="C39" s="19"/>
      <c r="D39" s="19"/>
      <c r="E39" s="19"/>
      <c r="F39" s="19"/>
      <c r="G39" s="19"/>
      <c r="H39" s="19"/>
      <c r="I39" s="19"/>
      <c r="J39" s="19"/>
      <c r="K39" s="19"/>
      <c r="L39" s="19"/>
      <c r="M39" s="19"/>
      <c r="N39" s="19"/>
      <c r="O39" s="19"/>
      <c r="P39" s="19"/>
    </row>
    <row r="40" customFormat="false" ht="12" hidden="false" customHeight="true" outlineLevel="0" collapsed="false">
      <c r="A40" s="19"/>
      <c r="B40" s="19"/>
      <c r="C40" s="19"/>
      <c r="D40" s="19"/>
      <c r="E40" s="19"/>
      <c r="F40" s="19"/>
      <c r="G40" s="19"/>
      <c r="H40" s="19"/>
      <c r="I40" s="19"/>
      <c r="J40" s="19"/>
      <c r="K40" s="19"/>
      <c r="L40" s="19"/>
      <c r="M40" s="19"/>
      <c r="N40" s="19"/>
      <c r="O40" s="19"/>
      <c r="P40" s="19"/>
    </row>
    <row r="41" customFormat="false" ht="15" hidden="false" customHeight="true" outlineLevel="0" collapsed="false">
      <c r="A41" s="19"/>
      <c r="B41" s="44" t="s">
        <v>356</v>
      </c>
      <c r="C41" s="46"/>
      <c r="D41" s="46"/>
      <c r="E41" s="46"/>
      <c r="F41" s="46"/>
      <c r="G41" s="45"/>
      <c r="H41" s="19"/>
      <c r="I41" s="19"/>
      <c r="J41" s="19"/>
      <c r="K41" s="19"/>
      <c r="L41" s="19"/>
      <c r="M41" s="19" t="s">
        <v>0</v>
      </c>
      <c r="N41" s="19"/>
      <c r="O41" s="19"/>
      <c r="P41" s="19"/>
    </row>
    <row r="42" customFormat="false" ht="12" hidden="false" customHeight="true" outlineLevel="0" collapsed="false">
      <c r="A42" s="19"/>
      <c r="B42" s="19"/>
      <c r="C42" s="19"/>
      <c r="D42" s="19"/>
      <c r="E42" s="19"/>
      <c r="F42" s="19"/>
      <c r="G42" s="19"/>
      <c r="H42" s="19"/>
      <c r="I42" s="19"/>
      <c r="J42" s="19"/>
      <c r="K42" s="19"/>
      <c r="L42" s="19"/>
      <c r="M42" s="19"/>
      <c r="N42" s="19"/>
      <c r="O42" s="19"/>
      <c r="P42" s="19"/>
    </row>
    <row r="43" customFormat="false" ht="12" hidden="false" customHeight="true" outlineLevel="0" collapsed="false">
      <c r="A43" s="19"/>
      <c r="B43" s="19"/>
      <c r="C43" s="19"/>
      <c r="D43" s="19"/>
      <c r="E43" s="19"/>
      <c r="F43" s="19"/>
      <c r="G43" s="19"/>
      <c r="H43" s="19"/>
      <c r="I43" s="19"/>
      <c r="J43" s="19"/>
      <c r="K43" s="19"/>
      <c r="L43" s="19"/>
      <c r="M43" s="19"/>
      <c r="N43" s="19"/>
      <c r="O43" s="19"/>
      <c r="P43" s="19"/>
    </row>
    <row r="44" customFormat="false" ht="12" hidden="false" customHeight="true" outlineLevel="0" collapsed="false">
      <c r="A44" s="19"/>
      <c r="B44" s="19"/>
      <c r="C44" s="265" t="s">
        <v>326</v>
      </c>
      <c r="D44" s="266"/>
      <c r="E44" s="266"/>
      <c r="F44" s="266"/>
      <c r="G44" s="266"/>
      <c r="H44" s="266"/>
      <c r="I44" s="266"/>
      <c r="J44" s="266"/>
      <c r="K44" s="267"/>
      <c r="L44" s="19"/>
      <c r="M44" s="19"/>
      <c r="N44" s="19"/>
      <c r="O44" s="19"/>
      <c r="P44" s="19"/>
    </row>
    <row r="45" customFormat="false" ht="12" hidden="false" customHeight="true" outlineLevel="0" collapsed="false">
      <c r="A45" s="19"/>
      <c r="B45" s="19"/>
      <c r="C45" s="268"/>
      <c r="D45" s="49"/>
      <c r="E45" s="49"/>
      <c r="F45" s="49"/>
      <c r="G45" s="49"/>
      <c r="H45" s="49"/>
      <c r="I45" s="49"/>
      <c r="J45" s="49"/>
      <c r="K45" s="269"/>
      <c r="L45" s="19"/>
      <c r="M45" s="19"/>
      <c r="N45" s="19"/>
      <c r="O45" s="19"/>
      <c r="P45" s="19"/>
    </row>
    <row r="46" customFormat="false" ht="12" hidden="false" customHeight="true" outlineLevel="0" collapsed="false">
      <c r="A46" s="19"/>
      <c r="B46" s="19"/>
      <c r="C46" s="268"/>
      <c r="D46" s="270" t="s">
        <v>357</v>
      </c>
      <c r="E46" s="49"/>
      <c r="F46" s="271" t="s">
        <v>358</v>
      </c>
      <c r="G46" s="49"/>
      <c r="H46" s="49" t="s">
        <v>359</v>
      </c>
      <c r="I46" s="49"/>
      <c r="J46" s="49" t="s">
        <v>329</v>
      </c>
      <c r="K46" s="269"/>
      <c r="L46" s="19"/>
      <c r="M46" s="19"/>
      <c r="N46" s="19"/>
      <c r="O46" s="19"/>
      <c r="P46" s="19"/>
    </row>
    <row r="47" customFormat="false" ht="12" hidden="false" customHeight="true" outlineLevel="0" collapsed="false">
      <c r="A47" s="19"/>
      <c r="B47" s="19"/>
      <c r="C47" s="268"/>
      <c r="D47" s="49"/>
      <c r="E47" s="49"/>
      <c r="F47" s="49"/>
      <c r="G47" s="49"/>
      <c r="H47" s="49"/>
      <c r="I47" s="49"/>
      <c r="J47" s="49"/>
      <c r="K47" s="269"/>
      <c r="L47" s="19"/>
      <c r="M47" s="19"/>
      <c r="N47" s="19"/>
      <c r="O47" s="19"/>
      <c r="P47" s="19"/>
    </row>
    <row r="48" customFormat="false" ht="12" hidden="false" customHeight="true" outlineLevel="0" collapsed="false">
      <c r="A48" s="19"/>
      <c r="B48" s="19"/>
      <c r="C48" s="268"/>
      <c r="D48" s="49"/>
      <c r="E48" s="49"/>
      <c r="F48" s="49"/>
      <c r="G48" s="49"/>
      <c r="H48" s="49"/>
      <c r="I48" s="49"/>
      <c r="J48" s="49"/>
      <c r="K48" s="269"/>
      <c r="L48" s="19"/>
      <c r="M48" s="19"/>
      <c r="N48" s="19"/>
      <c r="O48" s="19"/>
      <c r="P48" s="19"/>
    </row>
    <row r="49" customFormat="false" ht="12" hidden="false" customHeight="true" outlineLevel="0" collapsed="false">
      <c r="A49" s="19"/>
      <c r="B49" s="19"/>
      <c r="C49" s="268"/>
      <c r="D49" s="49"/>
      <c r="E49" s="49"/>
      <c r="F49" s="49"/>
      <c r="G49" s="49"/>
      <c r="H49" s="49"/>
      <c r="I49" s="49"/>
      <c r="J49" s="49"/>
      <c r="K49" s="269"/>
      <c r="L49" s="19"/>
      <c r="M49" s="19"/>
      <c r="N49" s="19"/>
      <c r="O49" s="19"/>
      <c r="P49" s="19"/>
    </row>
    <row r="50" customFormat="false" ht="12" hidden="false" customHeight="true" outlineLevel="0" collapsed="false">
      <c r="A50" s="19"/>
      <c r="B50" s="19"/>
      <c r="C50" s="268"/>
      <c r="D50" s="49"/>
      <c r="E50" s="49"/>
      <c r="F50" s="49"/>
      <c r="G50" s="49"/>
      <c r="H50" s="49"/>
      <c r="I50" s="49"/>
      <c r="J50" s="49"/>
      <c r="K50" s="269"/>
      <c r="L50" s="19"/>
      <c r="M50" s="19"/>
      <c r="N50" s="19"/>
      <c r="O50" s="19"/>
      <c r="P50" s="19"/>
    </row>
    <row r="51" customFormat="false" ht="12" hidden="false" customHeight="true" outlineLevel="0" collapsed="false">
      <c r="A51" s="19"/>
      <c r="B51" s="19"/>
      <c r="C51" s="268"/>
      <c r="D51" s="49"/>
      <c r="E51" s="49"/>
      <c r="F51" s="49"/>
      <c r="G51" s="49"/>
      <c r="H51" s="49"/>
      <c r="I51" s="49"/>
      <c r="J51" s="49"/>
      <c r="K51" s="269"/>
      <c r="L51" s="19"/>
      <c r="M51" s="19"/>
      <c r="N51" s="19"/>
      <c r="O51" s="19"/>
      <c r="P51" s="19"/>
    </row>
    <row r="52" customFormat="false" ht="12" hidden="false" customHeight="true" outlineLevel="0" collapsed="false">
      <c r="A52" s="19"/>
      <c r="B52" s="19"/>
      <c r="C52" s="268" t="s">
        <v>330</v>
      </c>
      <c r="D52" s="49"/>
      <c r="E52" s="250" t="n">
        <v>1</v>
      </c>
      <c r="F52" s="49" t="s">
        <v>331</v>
      </c>
      <c r="G52" s="247" t="n">
        <f aca="false">10*LOG10(E52)</f>
        <v>0</v>
      </c>
      <c r="H52" s="49" t="s">
        <v>332</v>
      </c>
      <c r="I52" s="248" t="n">
        <f aca="false">G52+30</f>
        <v>30</v>
      </c>
      <c r="J52" s="49" t="s">
        <v>333</v>
      </c>
      <c r="K52" s="269" t="s">
        <v>0</v>
      </c>
      <c r="L52" s="19"/>
      <c r="M52" s="19"/>
      <c r="N52" s="19"/>
      <c r="O52" s="19"/>
      <c r="P52" s="19"/>
    </row>
    <row r="53" customFormat="false" ht="12" hidden="false" customHeight="true" outlineLevel="0" collapsed="false">
      <c r="A53" s="19"/>
      <c r="B53" s="19"/>
      <c r="C53" s="268"/>
      <c r="D53" s="49"/>
      <c r="E53" s="49"/>
      <c r="F53" s="49"/>
      <c r="G53" s="49"/>
      <c r="H53" s="49"/>
      <c r="I53" s="49"/>
      <c r="J53" s="49"/>
      <c r="K53" s="269"/>
      <c r="L53" s="19"/>
      <c r="M53" s="19"/>
      <c r="N53" s="19"/>
      <c r="O53" s="19"/>
      <c r="P53" s="19"/>
    </row>
    <row r="54" customFormat="false" ht="12" hidden="false" customHeight="true" outlineLevel="0" collapsed="false">
      <c r="A54" s="19"/>
      <c r="B54" s="19"/>
      <c r="C54" s="268" t="s">
        <v>360</v>
      </c>
      <c r="D54" s="49"/>
      <c r="E54" s="49"/>
      <c r="F54" s="49" t="s">
        <v>0</v>
      </c>
      <c r="G54" s="49"/>
      <c r="H54" s="49"/>
      <c r="I54" s="49"/>
      <c r="J54" s="49"/>
      <c r="K54" s="269"/>
      <c r="L54" s="19"/>
      <c r="M54" s="19"/>
      <c r="N54" s="19"/>
      <c r="O54" s="19"/>
      <c r="P54" s="19"/>
    </row>
    <row r="55" customFormat="false" ht="12" hidden="false" customHeight="true" outlineLevel="0" collapsed="false">
      <c r="A55" s="19"/>
      <c r="B55" s="19"/>
      <c r="C55" s="268"/>
      <c r="D55" s="49" t="s">
        <v>335</v>
      </c>
      <c r="E55" s="49"/>
      <c r="F55" s="49"/>
      <c r="G55" s="49"/>
      <c r="H55" s="49"/>
      <c r="I55" s="272" t="n">
        <v>0.15</v>
      </c>
      <c r="J55" s="49" t="s">
        <v>315</v>
      </c>
      <c r="K55" s="269"/>
      <c r="L55" s="19"/>
      <c r="M55" s="19"/>
      <c r="N55" s="19"/>
      <c r="O55" s="19"/>
      <c r="P55" s="19"/>
    </row>
    <row r="56" customFormat="false" ht="12" hidden="false" customHeight="true" outlineLevel="0" collapsed="false">
      <c r="A56" s="19"/>
      <c r="B56" s="19"/>
      <c r="C56" s="268"/>
      <c r="D56" s="49" t="s">
        <v>336</v>
      </c>
      <c r="E56" s="49"/>
      <c r="F56" s="49"/>
      <c r="G56" s="49"/>
      <c r="H56" s="49"/>
      <c r="I56" s="272" t="n">
        <v>0.15</v>
      </c>
      <c r="J56" s="49" t="s">
        <v>315</v>
      </c>
      <c r="K56" s="269"/>
      <c r="L56" s="19"/>
      <c r="M56" s="19"/>
      <c r="N56" s="19"/>
      <c r="O56" s="19"/>
      <c r="P56" s="19"/>
    </row>
    <row r="57" customFormat="false" ht="12" hidden="false" customHeight="true" outlineLevel="0" collapsed="false">
      <c r="A57" s="19"/>
      <c r="B57" s="19"/>
      <c r="C57" s="268"/>
      <c r="D57" s="49" t="s">
        <v>337</v>
      </c>
      <c r="E57" s="49"/>
      <c r="F57" s="49"/>
      <c r="G57" s="49"/>
      <c r="H57" s="49"/>
      <c r="I57" s="272" t="n">
        <v>0</v>
      </c>
      <c r="J57" s="49" t="s">
        <v>315</v>
      </c>
      <c r="K57" s="269"/>
      <c r="L57" s="19"/>
      <c r="M57" s="19"/>
      <c r="N57" s="19"/>
      <c r="O57" s="19"/>
      <c r="P57" s="19"/>
    </row>
    <row r="58" customFormat="false" ht="12" hidden="false" customHeight="true" outlineLevel="0" collapsed="false">
      <c r="A58" s="19"/>
      <c r="B58" s="19"/>
      <c r="C58" s="268"/>
      <c r="D58" s="49"/>
      <c r="E58" s="49"/>
      <c r="F58" s="49" t="s">
        <v>0</v>
      </c>
      <c r="G58" s="49"/>
      <c r="H58" s="49"/>
      <c r="I58" s="49"/>
      <c r="J58" s="49" t="s">
        <v>0</v>
      </c>
      <c r="K58" s="269"/>
      <c r="L58" s="19"/>
      <c r="M58" s="19"/>
      <c r="N58" s="19"/>
      <c r="O58" s="19"/>
      <c r="P58" s="19"/>
    </row>
    <row r="59" customFormat="false" ht="12" hidden="false" customHeight="true" outlineLevel="0" collapsed="false">
      <c r="A59" s="19"/>
      <c r="B59" s="19"/>
      <c r="C59" s="268"/>
      <c r="D59" s="49" t="s">
        <v>361</v>
      </c>
      <c r="E59" s="49"/>
      <c r="F59" s="49" t="s">
        <v>0</v>
      </c>
      <c r="G59" s="49"/>
      <c r="H59" s="49"/>
      <c r="I59" s="271" t="n">
        <f aca="false">SUM(I55:I57)</f>
        <v>0.3</v>
      </c>
      <c r="J59" s="49" t="s">
        <v>315</v>
      </c>
      <c r="K59" s="269"/>
      <c r="L59" s="19"/>
      <c r="M59" s="19"/>
      <c r="N59" s="19"/>
      <c r="O59" s="19"/>
      <c r="P59" s="19"/>
    </row>
    <row r="60" customFormat="false" ht="12" hidden="false" customHeight="true" outlineLevel="0" collapsed="false">
      <c r="A60" s="19"/>
      <c r="B60" s="19"/>
      <c r="C60" s="268"/>
      <c r="D60" s="49" t="s">
        <v>362</v>
      </c>
      <c r="E60" s="49"/>
      <c r="F60" s="49"/>
      <c r="G60" s="49"/>
      <c r="H60" s="49"/>
      <c r="I60" s="272" t="s">
        <v>363</v>
      </c>
      <c r="J60" s="49" t="s">
        <v>341</v>
      </c>
      <c r="K60" s="269"/>
      <c r="L60" s="19"/>
      <c r="M60" s="19"/>
      <c r="N60" s="19"/>
      <c r="O60" s="19"/>
      <c r="P60" s="19"/>
    </row>
    <row r="61" customFormat="false" ht="12" hidden="false" customHeight="true" outlineLevel="0" collapsed="false">
      <c r="A61" s="19"/>
      <c r="B61" s="19"/>
      <c r="C61" s="268"/>
      <c r="D61" s="49" t="s">
        <v>364</v>
      </c>
      <c r="E61" s="253" t="n">
        <v>1.33</v>
      </c>
      <c r="F61" s="49" t="s">
        <v>343</v>
      </c>
      <c r="G61" s="254" t="n">
        <f aca="false">Frequency!M16</f>
        <v>437.45</v>
      </c>
      <c r="H61" s="49" t="s">
        <v>344</v>
      </c>
      <c r="I61" s="271" t="n">
        <f aca="false">I59*E61</f>
        <v>0.399</v>
      </c>
      <c r="J61" s="49" t="s">
        <v>258</v>
      </c>
      <c r="K61" s="269"/>
      <c r="L61" s="19"/>
      <c r="M61" s="19"/>
      <c r="N61" s="19"/>
      <c r="O61" s="19"/>
      <c r="P61" s="19"/>
    </row>
    <row r="62" customFormat="false" ht="12" hidden="false" customHeight="true" outlineLevel="0" collapsed="false">
      <c r="A62" s="19"/>
      <c r="B62" s="19"/>
      <c r="C62" s="268"/>
      <c r="D62" s="49"/>
      <c r="E62" s="273"/>
      <c r="F62" s="49"/>
      <c r="G62" s="271"/>
      <c r="H62" s="49"/>
      <c r="I62" s="271"/>
      <c r="J62" s="49"/>
      <c r="K62" s="269"/>
      <c r="L62" s="19"/>
      <c r="M62" s="19"/>
      <c r="N62" s="19"/>
      <c r="O62" s="19"/>
      <c r="P62" s="19"/>
    </row>
    <row r="63" customFormat="false" ht="12" hidden="false" customHeight="true" outlineLevel="0" collapsed="false">
      <c r="A63" s="19"/>
      <c r="B63" s="19"/>
      <c r="C63" s="268" t="s">
        <v>345</v>
      </c>
      <c r="D63" s="49"/>
      <c r="E63" s="273"/>
      <c r="F63" s="49"/>
      <c r="G63" s="271"/>
      <c r="H63" s="49"/>
      <c r="I63" s="271"/>
      <c r="J63" s="49"/>
      <c r="K63" s="269"/>
      <c r="L63" s="19"/>
      <c r="M63" s="19"/>
      <c r="N63" s="19"/>
      <c r="O63" s="19"/>
      <c r="P63" s="19"/>
    </row>
    <row r="64" customFormat="false" ht="12" hidden="false" customHeight="true" outlineLevel="0" collapsed="false">
      <c r="A64" s="19"/>
      <c r="B64" s="19"/>
      <c r="C64" s="268"/>
      <c r="D64" s="49"/>
      <c r="E64" s="273"/>
      <c r="F64" s="49"/>
      <c r="G64" s="271"/>
      <c r="H64" s="49"/>
      <c r="I64" s="271"/>
      <c r="J64" s="49"/>
      <c r="K64" s="269"/>
      <c r="L64" s="19"/>
      <c r="M64" s="19"/>
      <c r="N64" s="19"/>
      <c r="O64" s="19"/>
      <c r="P64" s="19"/>
    </row>
    <row r="65" customFormat="false" ht="12" hidden="false" customHeight="true" outlineLevel="0" collapsed="false">
      <c r="A65" s="19"/>
      <c r="B65" s="19"/>
      <c r="C65" s="268"/>
      <c r="D65" s="49" t="s">
        <v>346</v>
      </c>
      <c r="E65" s="50" t="n">
        <v>4</v>
      </c>
      <c r="F65" s="49" t="s">
        <v>365</v>
      </c>
      <c r="G65" s="49"/>
      <c r="H65" s="49"/>
      <c r="I65" s="271" t="n">
        <f aca="false">E65*0.05</f>
        <v>0.2</v>
      </c>
      <c r="J65" s="49" t="s">
        <v>258</v>
      </c>
      <c r="K65" s="269"/>
      <c r="L65" s="19"/>
      <c r="M65" s="19"/>
      <c r="N65" s="19"/>
      <c r="O65" s="19"/>
      <c r="P65" s="19"/>
    </row>
    <row r="66" customFormat="false" ht="12" hidden="false" customHeight="true" outlineLevel="0" collapsed="false">
      <c r="A66" s="19"/>
      <c r="B66" s="19"/>
      <c r="C66" s="268"/>
      <c r="D66" s="49" t="s">
        <v>348</v>
      </c>
      <c r="E66" s="49"/>
      <c r="F66" s="49"/>
      <c r="G66" s="49"/>
      <c r="H66" s="49"/>
      <c r="I66" s="250" t="n">
        <v>0</v>
      </c>
      <c r="J66" s="49" t="s">
        <v>258</v>
      </c>
      <c r="K66" s="269"/>
      <c r="L66" s="19"/>
      <c r="M66" s="19"/>
      <c r="N66" s="19"/>
      <c r="O66" s="19"/>
      <c r="P66" s="19"/>
    </row>
    <row r="67" customFormat="false" ht="12" hidden="false" customHeight="true" outlineLevel="0" collapsed="false">
      <c r="A67" s="19"/>
      <c r="B67" s="19"/>
      <c r="C67" s="268"/>
      <c r="D67" s="49" t="s">
        <v>349</v>
      </c>
      <c r="E67" s="270" t="s">
        <v>350</v>
      </c>
      <c r="F67" s="274" t="s">
        <v>366</v>
      </c>
      <c r="G67" s="187"/>
      <c r="H67" s="49"/>
      <c r="I67" s="50" t="n">
        <f aca="false">0.5+1.2</f>
        <v>1.7</v>
      </c>
      <c r="J67" s="49" t="s">
        <v>258</v>
      </c>
      <c r="K67" s="269"/>
      <c r="L67" s="19"/>
      <c r="M67" s="19"/>
      <c r="N67" s="19"/>
      <c r="O67" s="19"/>
      <c r="P67" s="19"/>
    </row>
    <row r="68" customFormat="false" ht="12" hidden="false" customHeight="true" outlineLevel="0" collapsed="false">
      <c r="A68" s="19"/>
      <c r="B68" s="19"/>
      <c r="C68" s="268"/>
      <c r="D68" s="49"/>
      <c r="E68" s="270"/>
      <c r="F68" s="275"/>
      <c r="G68" s="49"/>
      <c r="H68" s="49"/>
      <c r="I68" s="276"/>
      <c r="J68" s="49"/>
      <c r="K68" s="269"/>
      <c r="L68" s="19"/>
      <c r="M68" s="19"/>
      <c r="N68" s="19"/>
      <c r="O68" s="19"/>
      <c r="P68" s="19"/>
    </row>
    <row r="69" customFormat="false" ht="12" hidden="false" customHeight="true" outlineLevel="0" collapsed="false">
      <c r="A69" s="19"/>
      <c r="B69" s="19"/>
      <c r="C69" s="268"/>
      <c r="D69" s="49" t="s">
        <v>351</v>
      </c>
      <c r="E69" s="49"/>
      <c r="F69" s="49" t="s">
        <v>352</v>
      </c>
      <c r="G69" s="49"/>
      <c r="H69" s="49"/>
      <c r="I69" s="277" t="n">
        <v>0.05</v>
      </c>
      <c r="J69" s="49" t="s">
        <v>258</v>
      </c>
      <c r="K69" s="269"/>
      <c r="L69" s="19"/>
      <c r="M69" s="19"/>
      <c r="N69" s="19"/>
      <c r="O69" s="19"/>
      <c r="P69" s="19"/>
    </row>
    <row r="70" customFormat="false" ht="12" hidden="false" customHeight="true" outlineLevel="0" collapsed="false">
      <c r="A70" s="19"/>
      <c r="B70" s="19"/>
      <c r="C70" s="268"/>
      <c r="D70" s="49"/>
      <c r="E70" s="49"/>
      <c r="F70" s="49"/>
      <c r="G70" s="49"/>
      <c r="H70" s="49"/>
      <c r="I70" s="276"/>
      <c r="J70" s="49"/>
      <c r="K70" s="269"/>
      <c r="L70" s="19"/>
      <c r="M70" s="19"/>
      <c r="N70" s="19"/>
      <c r="O70" s="19"/>
      <c r="P70" s="19"/>
    </row>
    <row r="71" customFormat="false" ht="12" hidden="false" customHeight="true" outlineLevel="0" collapsed="false">
      <c r="A71" s="19"/>
      <c r="B71" s="19"/>
      <c r="C71" s="268" t="s">
        <v>353</v>
      </c>
      <c r="D71" s="49"/>
      <c r="E71" s="49"/>
      <c r="F71" s="49"/>
      <c r="G71" s="49"/>
      <c r="H71" s="49"/>
      <c r="I71" s="260" t="n">
        <f aca="false">I61+I65+I66+I67+I69</f>
        <v>2.349</v>
      </c>
      <c r="J71" s="49" t="s">
        <v>258</v>
      </c>
      <c r="K71" s="269"/>
      <c r="L71" s="19"/>
      <c r="M71" s="19"/>
      <c r="N71" s="19"/>
      <c r="O71" s="19"/>
      <c r="P71" s="19"/>
    </row>
    <row r="72" customFormat="false" ht="12" hidden="false" customHeight="true" outlineLevel="0" collapsed="false">
      <c r="A72" s="19"/>
      <c r="B72" s="19"/>
      <c r="C72" s="268"/>
      <c r="D72" s="49"/>
      <c r="E72" s="49"/>
      <c r="F72" s="49"/>
      <c r="G72" s="49"/>
      <c r="H72" s="49"/>
      <c r="I72" s="278"/>
      <c r="J72" s="49"/>
      <c r="K72" s="269"/>
      <c r="L72" s="19"/>
      <c r="M72" s="19"/>
      <c r="N72" s="19"/>
      <c r="O72" s="19"/>
      <c r="P72" s="19"/>
    </row>
    <row r="73" customFormat="false" ht="12" hidden="false" customHeight="true" outlineLevel="0" collapsed="false">
      <c r="A73" s="19"/>
      <c r="B73" s="19"/>
      <c r="C73" s="268" t="s">
        <v>367</v>
      </c>
      <c r="D73" s="49"/>
      <c r="E73" s="49"/>
      <c r="F73" s="49"/>
      <c r="G73" s="49"/>
      <c r="H73" s="49"/>
      <c r="I73" s="248" t="n">
        <f aca="false">G52-I71</f>
        <v>-2.349</v>
      </c>
      <c r="J73" s="49" t="s">
        <v>355</v>
      </c>
      <c r="K73" s="269"/>
      <c r="L73" s="19"/>
      <c r="M73" s="19"/>
      <c r="N73" s="19"/>
      <c r="O73" s="19"/>
      <c r="P73" s="19"/>
    </row>
    <row r="74" customFormat="false" ht="12" hidden="false" customHeight="true" outlineLevel="0" collapsed="false">
      <c r="A74" s="19"/>
      <c r="B74" s="19"/>
      <c r="C74" s="279"/>
      <c r="D74" s="280"/>
      <c r="E74" s="280"/>
      <c r="F74" s="280"/>
      <c r="G74" s="280"/>
      <c r="H74" s="280"/>
      <c r="I74" s="280"/>
      <c r="J74" s="280"/>
      <c r="K74" s="281"/>
      <c r="L74" s="19"/>
      <c r="M74" s="19"/>
      <c r="N74" s="19"/>
      <c r="O74" s="19"/>
      <c r="P74" s="19"/>
    </row>
    <row r="75" customFormat="false" ht="12" hidden="false" customHeight="true" outlineLevel="0" collapsed="false">
      <c r="A75" s="19"/>
      <c r="B75" s="19"/>
      <c r="C75" s="19"/>
      <c r="D75" s="19"/>
      <c r="E75" s="19"/>
      <c r="F75" s="19"/>
      <c r="G75" s="19"/>
      <c r="H75" s="19"/>
      <c r="I75" s="19"/>
      <c r="J75" s="19"/>
      <c r="K75" s="19"/>
      <c r="L75" s="19"/>
      <c r="M75" s="19"/>
      <c r="N75" s="19"/>
      <c r="O75" s="19"/>
      <c r="P75" s="19"/>
    </row>
    <row r="76" customFormat="false" ht="12" hidden="false" customHeight="true" outlineLevel="0" collapsed="false">
      <c r="A76" s="19"/>
      <c r="B76" s="19"/>
      <c r="C76" s="19"/>
      <c r="D76" s="19"/>
      <c r="E76" s="19"/>
      <c r="F76" s="19"/>
      <c r="G76" s="19"/>
      <c r="H76" s="19"/>
      <c r="I76" s="19"/>
      <c r="J76" s="19"/>
      <c r="K76" s="19"/>
      <c r="L76" s="19"/>
      <c r="M76" s="19"/>
      <c r="N76" s="19"/>
      <c r="O76" s="19"/>
      <c r="P76" s="19"/>
    </row>
    <row r="77" customFormat="false" ht="12" hidden="false" customHeight="true" outlineLevel="0" collapsed="false">
      <c r="A77" s="19"/>
      <c r="B77" s="19"/>
      <c r="C77" s="19"/>
      <c r="D77" s="19"/>
      <c r="E77" s="19"/>
      <c r="F77" s="19"/>
      <c r="G77" s="19"/>
      <c r="H77" s="19"/>
      <c r="I77" s="19"/>
      <c r="J77" s="19"/>
      <c r="K77" s="19"/>
      <c r="L77" s="19"/>
      <c r="M77" s="19"/>
      <c r="N77" s="19"/>
      <c r="O77" s="19"/>
      <c r="P77" s="19"/>
    </row>
    <row r="78" customFormat="false" ht="12" hidden="false" customHeight="true" outlineLevel="0" collapsed="false">
      <c r="A78" s="19"/>
      <c r="B78" s="19"/>
      <c r="C78" s="19"/>
      <c r="D78" s="19"/>
      <c r="E78" s="19"/>
      <c r="F78" s="19"/>
      <c r="G78" s="19"/>
      <c r="H78" s="19"/>
      <c r="I78" s="19"/>
      <c r="J78" s="19"/>
      <c r="K78" s="19"/>
      <c r="L78" s="19"/>
      <c r="M78" s="19"/>
      <c r="N78" s="19"/>
      <c r="O78" s="19"/>
      <c r="P78" s="19"/>
    </row>
    <row r="79" customFormat="false" ht="12" hidden="false" customHeight="true" outlineLevel="0" collapsed="false">
      <c r="A79" s="19"/>
      <c r="B79" s="19"/>
      <c r="C79" s="19"/>
      <c r="D79" s="19"/>
      <c r="E79" s="19"/>
      <c r="F79" s="19"/>
      <c r="G79" s="19"/>
      <c r="H79" s="19"/>
      <c r="I79" s="19"/>
      <c r="J79" s="19"/>
      <c r="K79" s="19"/>
      <c r="L79" s="19"/>
      <c r="M79" s="19"/>
      <c r="N79" s="19"/>
      <c r="O79" s="19"/>
      <c r="P79" s="19"/>
    </row>
    <row r="80" customFormat="false" ht="12" hidden="false" customHeight="true" outlineLevel="0" collapsed="false">
      <c r="A80" s="19"/>
      <c r="B80" s="19"/>
      <c r="C80" s="19"/>
      <c r="D80" s="19"/>
      <c r="E80" s="19"/>
      <c r="F80" s="19"/>
      <c r="G80" s="19"/>
      <c r="H80" s="19"/>
      <c r="I80" s="19"/>
      <c r="J80" s="19"/>
      <c r="K80" s="19"/>
      <c r="L80" s="19"/>
      <c r="M80" s="19"/>
      <c r="N80" s="19"/>
      <c r="O80" s="19"/>
      <c r="P80" s="19"/>
    </row>
    <row r="81" customFormat="false" ht="12" hidden="false" customHeight="true" outlineLevel="0" collapsed="false">
      <c r="A81" s="19"/>
      <c r="B81" s="19"/>
      <c r="C81" s="19"/>
      <c r="D81" s="19"/>
      <c r="E81" s="19"/>
      <c r="F81" s="19"/>
      <c r="G81" s="19"/>
      <c r="H81" s="19"/>
      <c r="I81" s="19"/>
      <c r="J81" s="19"/>
      <c r="K81" s="19"/>
      <c r="L81" s="19"/>
      <c r="M81" s="19"/>
      <c r="N81" s="19"/>
      <c r="O81" s="19"/>
      <c r="P81" s="19"/>
    </row>
    <row r="82" customFormat="false" ht="12" hidden="false" customHeight="true" outlineLevel="0" collapsed="false">
      <c r="A82" s="19"/>
      <c r="B82" s="19"/>
      <c r="C82" s="19"/>
      <c r="D82" s="19"/>
      <c r="E82" s="19"/>
      <c r="F82" s="19"/>
      <c r="G82" s="19"/>
      <c r="H82" s="19"/>
      <c r="I82" s="19"/>
      <c r="J82" s="19"/>
      <c r="K82" s="19"/>
      <c r="L82" s="19"/>
      <c r="M82" s="19"/>
      <c r="N82" s="19"/>
      <c r="O82" s="19"/>
      <c r="P82" s="19"/>
    </row>
    <row r="83" customFormat="false" ht="12" hidden="false" customHeight="true" outlineLevel="0" collapsed="false">
      <c r="A83" s="19"/>
      <c r="B83" s="19"/>
      <c r="C83" s="19"/>
      <c r="D83" s="19"/>
      <c r="E83" s="19"/>
      <c r="F83" s="19"/>
      <c r="G83" s="19"/>
      <c r="H83" s="19"/>
      <c r="I83" s="19"/>
      <c r="J83" s="19"/>
      <c r="K83" s="19"/>
      <c r="L83" s="19"/>
      <c r="M83" s="19"/>
      <c r="N83" s="19"/>
      <c r="O83" s="19"/>
      <c r="P83" s="19"/>
    </row>
    <row r="84" customFormat="false" ht="12" hidden="false" customHeight="true" outlineLevel="0" collapsed="false">
      <c r="A84" s="19"/>
      <c r="B84" s="19"/>
      <c r="C84" s="19"/>
      <c r="D84" s="19"/>
      <c r="E84" s="19"/>
      <c r="F84" s="19"/>
      <c r="G84" s="19"/>
      <c r="H84" s="19"/>
      <c r="I84" s="19"/>
      <c r="J84" s="19"/>
      <c r="K84" s="19"/>
      <c r="L84" s="19"/>
      <c r="M84" s="19"/>
      <c r="N84" s="19"/>
      <c r="O84" s="19"/>
      <c r="P84" s="19"/>
    </row>
    <row r="85" customFormat="false" ht="12" hidden="false" customHeight="true" outlineLevel="0" collapsed="false">
      <c r="A85" s="19"/>
      <c r="B85" s="19"/>
      <c r="C85" s="19"/>
      <c r="D85" s="19"/>
      <c r="E85" s="19"/>
      <c r="F85" s="19"/>
      <c r="G85" s="19"/>
      <c r="H85" s="19"/>
      <c r="I85" s="19"/>
      <c r="J85" s="19"/>
      <c r="K85" s="19"/>
      <c r="L85" s="19"/>
      <c r="M85" s="19"/>
      <c r="N85" s="19"/>
      <c r="O85" s="19"/>
      <c r="P85" s="19"/>
    </row>
    <row r="86" customFormat="false" ht="12" hidden="false" customHeight="true" outlineLevel="0" collapsed="false">
      <c r="A86" s="19"/>
      <c r="B86" s="19"/>
      <c r="C86" s="19"/>
      <c r="D86" s="19"/>
      <c r="E86" s="19"/>
      <c r="F86" s="19"/>
      <c r="G86" s="19"/>
      <c r="H86" s="19"/>
      <c r="I86" s="19"/>
      <c r="J86" s="19"/>
      <c r="K86" s="19"/>
      <c r="L86" s="19"/>
      <c r="M86" s="19"/>
      <c r="N86" s="19"/>
      <c r="O86" s="19"/>
      <c r="P86" s="19"/>
    </row>
    <row r="87" customFormat="false" ht="12" hidden="false" customHeight="true" outlineLevel="0" collapsed="false">
      <c r="A87" s="19"/>
      <c r="B87" s="19"/>
      <c r="C87" s="19"/>
      <c r="D87" s="19"/>
      <c r="E87" s="19"/>
      <c r="F87" s="19"/>
      <c r="G87" s="19"/>
      <c r="H87" s="19"/>
      <c r="I87" s="19"/>
      <c r="J87" s="19"/>
      <c r="K87" s="19"/>
      <c r="L87" s="19"/>
      <c r="M87" s="19"/>
      <c r="N87" s="19"/>
      <c r="O87" s="19"/>
      <c r="P87" s="19"/>
    </row>
    <row r="88" customFormat="false" ht="12" hidden="false" customHeight="true" outlineLevel="0" collapsed="false">
      <c r="A88" s="19"/>
      <c r="B88" s="19"/>
      <c r="C88" s="19"/>
      <c r="D88" s="19"/>
      <c r="E88" s="19"/>
      <c r="F88" s="19"/>
      <c r="G88" s="19"/>
      <c r="H88" s="19"/>
      <c r="I88" s="19"/>
      <c r="J88" s="19"/>
      <c r="K88" s="19"/>
      <c r="L88" s="19"/>
      <c r="M88" s="19"/>
      <c r="N88" s="19"/>
      <c r="O88" s="19"/>
      <c r="P88" s="19"/>
    </row>
    <row r="89" customFormat="false" ht="12" hidden="false" customHeight="true" outlineLevel="0" collapsed="false">
      <c r="A89" s="19"/>
      <c r="B89" s="19"/>
      <c r="C89" s="19"/>
      <c r="D89" s="19"/>
      <c r="E89" s="19"/>
      <c r="F89" s="19"/>
      <c r="G89" s="19"/>
      <c r="H89" s="19"/>
      <c r="I89" s="19"/>
      <c r="J89" s="19"/>
      <c r="K89" s="19"/>
      <c r="L89" s="19"/>
      <c r="M89" s="19"/>
      <c r="N89" s="19"/>
      <c r="O89" s="19"/>
      <c r="P89" s="19"/>
    </row>
    <row r="90" customFormat="false" ht="12" hidden="false" customHeight="true" outlineLevel="0" collapsed="false">
      <c r="A90" s="19"/>
      <c r="B90" s="19"/>
      <c r="C90" s="19"/>
      <c r="D90" s="19"/>
      <c r="E90" s="19"/>
      <c r="F90" s="19"/>
      <c r="G90" s="19"/>
      <c r="H90" s="19"/>
      <c r="I90" s="19"/>
      <c r="J90" s="19"/>
      <c r="K90" s="19"/>
      <c r="L90" s="19"/>
      <c r="M90" s="19"/>
      <c r="N90" s="19"/>
      <c r="O90" s="19"/>
      <c r="P90" s="19"/>
    </row>
    <row r="91" customFormat="false" ht="12" hidden="false" customHeight="true" outlineLevel="0" collapsed="false">
      <c r="A91" s="19"/>
      <c r="B91" s="19"/>
      <c r="C91" s="19"/>
      <c r="D91" s="19"/>
      <c r="E91" s="19"/>
      <c r="F91" s="19"/>
      <c r="G91" s="19"/>
      <c r="H91" s="19"/>
      <c r="I91" s="19"/>
      <c r="J91" s="19"/>
      <c r="K91" s="19"/>
      <c r="L91" s="19"/>
      <c r="M91" s="19"/>
      <c r="N91" s="19"/>
      <c r="O91" s="19"/>
      <c r="P91" s="19"/>
    </row>
    <row r="92" customFormat="false" ht="12" hidden="false" customHeight="true" outlineLevel="0" collapsed="false">
      <c r="A92" s="19"/>
      <c r="B92" s="19"/>
      <c r="C92" s="19"/>
      <c r="D92" s="19"/>
      <c r="E92" s="19"/>
      <c r="F92" s="19"/>
      <c r="G92" s="19"/>
      <c r="H92" s="19"/>
      <c r="I92" s="19"/>
      <c r="J92" s="19"/>
      <c r="K92" s="19"/>
      <c r="L92" s="19"/>
      <c r="M92" s="19"/>
      <c r="N92" s="19"/>
      <c r="O92" s="19"/>
      <c r="P92" s="19"/>
    </row>
    <row r="93" customFormat="false" ht="12" hidden="false" customHeight="true" outlineLevel="0" collapsed="false">
      <c r="A93" s="19"/>
      <c r="B93" s="19"/>
      <c r="C93" s="19"/>
      <c r="D93" s="19"/>
      <c r="E93" s="19"/>
      <c r="F93" s="19"/>
      <c r="G93" s="19"/>
      <c r="H93" s="19"/>
      <c r="I93" s="19"/>
      <c r="J93" s="19"/>
      <c r="K93" s="19"/>
      <c r="L93" s="19"/>
      <c r="M93" s="19"/>
      <c r="N93" s="19"/>
      <c r="O93" s="19"/>
      <c r="P93" s="19"/>
    </row>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AA1000"/>
  <sheetViews>
    <sheetView showFormulas="false" showGridLines="true" showRowColHeaders="true" showZeros="true" rightToLeft="false" tabSelected="false" showOutlineSymbols="true" defaultGridColor="true" view="normal" topLeftCell="B88" colorId="64" zoomScale="120" zoomScaleNormal="120" zoomScalePageLayoutView="100" workbookViewId="0">
      <selection pane="topLeft" activeCell="J136" activeCellId="0" sqref="J136"/>
    </sheetView>
  </sheetViews>
  <sheetFormatPr defaultColWidth="12.6328125" defaultRowHeight="15" customHeight="true" zeroHeight="false" outlineLevelRow="0" outlineLevelCol="0"/>
  <cols>
    <col collapsed="false" customWidth="true" hidden="false" outlineLevel="0" max="8" min="1" style="1" width="8.88"/>
    <col collapsed="false" customWidth="true" hidden="false" outlineLevel="0" max="9" min="9" style="1" width="14.13"/>
    <col collapsed="false" customWidth="true" hidden="false" outlineLevel="0" max="10" min="10" style="1" width="10"/>
    <col collapsed="false" customWidth="true" hidden="false" outlineLevel="0" max="11" min="11" style="1" width="12.38"/>
    <col collapsed="false" customWidth="true" hidden="false" outlineLevel="0" max="20" min="12" style="1" width="8.88"/>
    <col collapsed="false" customWidth="true" hidden="false" outlineLevel="0" max="21" min="21" style="1" width="9.38"/>
    <col collapsed="false" customWidth="true" hidden="false" outlineLevel="0" max="27" min="22" style="1" width="8.88"/>
  </cols>
  <sheetData>
    <row r="1" customFormat="false" ht="18" hidden="false" customHeight="true" outlineLevel="0" collapsed="false">
      <c r="A1" s="39" t="s">
        <v>368</v>
      </c>
      <c r="B1" s="10"/>
      <c r="C1" s="10"/>
      <c r="D1" s="10"/>
      <c r="E1" s="10"/>
      <c r="F1" s="10"/>
      <c r="G1" s="10"/>
      <c r="H1" s="40" t="str">
        <f aca="false">'Title Page'!F3</f>
        <v>Coconut Cubesat</v>
      </c>
      <c r="I1" s="10"/>
      <c r="J1" s="10"/>
      <c r="K1" s="41" t="str">
        <f aca="false">'Title Page'!F23</f>
        <v>2025 June 06</v>
      </c>
      <c r="L1" s="10"/>
      <c r="M1" s="10"/>
      <c r="N1" s="10"/>
      <c r="O1" s="10"/>
      <c r="P1" s="10"/>
      <c r="Q1" s="10"/>
      <c r="R1" s="10"/>
      <c r="S1" s="10"/>
      <c r="T1" s="10"/>
      <c r="U1" s="10"/>
      <c r="V1" s="10"/>
      <c r="W1" s="10"/>
      <c r="X1" s="10"/>
      <c r="Y1" s="10"/>
      <c r="Z1" s="10"/>
      <c r="AA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c r="AA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c r="T3" s="19"/>
      <c r="U3" s="19"/>
      <c r="V3" s="19"/>
      <c r="W3" s="19"/>
      <c r="X3" s="19"/>
      <c r="Y3" s="19"/>
      <c r="Z3" s="19"/>
      <c r="AA3" s="19"/>
    </row>
    <row r="4" customFormat="false" ht="15" hidden="false" customHeight="true" outlineLevel="0" collapsed="false">
      <c r="A4" s="19"/>
      <c r="B4" s="44" t="s">
        <v>369</v>
      </c>
      <c r="C4" s="46"/>
      <c r="D4" s="46"/>
      <c r="E4" s="46"/>
      <c r="F4" s="45"/>
      <c r="G4" s="19"/>
      <c r="H4" s="19"/>
      <c r="I4" s="19"/>
      <c r="J4" s="37"/>
      <c r="K4" s="19"/>
      <c r="L4" s="19"/>
      <c r="M4" s="19"/>
      <c r="N4" s="19"/>
      <c r="O4" s="19"/>
      <c r="P4" s="19"/>
      <c r="Q4" s="19"/>
      <c r="R4" s="19"/>
      <c r="S4" s="19"/>
      <c r="T4" s="19"/>
      <c r="U4" s="19"/>
      <c r="V4" s="19"/>
      <c r="W4" s="19"/>
      <c r="X4" s="19"/>
      <c r="Y4" s="19"/>
      <c r="Z4" s="19"/>
      <c r="AA4" s="19"/>
    </row>
    <row r="5" customFormat="false" ht="12" hidden="false" customHeight="true" outlineLevel="0" collapsed="false">
      <c r="A5" s="19"/>
      <c r="B5" s="19"/>
      <c r="C5" s="19"/>
      <c r="D5" s="19"/>
      <c r="E5" s="19"/>
      <c r="F5" s="19"/>
      <c r="G5" s="19"/>
      <c r="H5" s="19"/>
      <c r="I5" s="19"/>
      <c r="J5" s="19"/>
      <c r="K5" s="19"/>
      <c r="L5" s="19"/>
      <c r="M5" s="19"/>
      <c r="N5" s="19"/>
      <c r="O5" s="19"/>
      <c r="P5" s="19"/>
      <c r="Q5" s="19"/>
      <c r="R5" s="19"/>
      <c r="S5" s="19"/>
      <c r="T5" s="19"/>
      <c r="U5" s="19"/>
      <c r="V5" s="19"/>
      <c r="W5" s="19"/>
      <c r="X5" s="19"/>
      <c r="Y5" s="19"/>
      <c r="Z5" s="19"/>
      <c r="AA5" s="19"/>
    </row>
    <row r="6" customFormat="false" ht="12" hidden="false" customHeight="true" outlineLevel="0" collapsed="false">
      <c r="A6" s="19"/>
      <c r="B6" s="19"/>
      <c r="C6" s="23" t="s">
        <v>203</v>
      </c>
      <c r="D6" s="19"/>
      <c r="E6" s="19"/>
      <c r="F6" s="19"/>
      <c r="G6" s="19"/>
      <c r="H6" s="19"/>
      <c r="I6" s="19"/>
      <c r="J6" s="19"/>
      <c r="K6" s="19"/>
      <c r="L6" s="19"/>
      <c r="M6" s="19"/>
      <c r="N6" s="19"/>
      <c r="O6" s="19"/>
      <c r="P6" s="19"/>
      <c r="Q6" s="19"/>
      <c r="R6" s="19"/>
      <c r="S6" s="19"/>
      <c r="T6" s="19"/>
      <c r="U6" s="19"/>
      <c r="V6" s="19"/>
      <c r="W6" s="19"/>
      <c r="X6" s="19"/>
      <c r="Y6" s="19"/>
      <c r="Z6" s="19"/>
      <c r="AA6" s="19"/>
    </row>
    <row r="7" customFormat="false" ht="12" hidden="false" customHeight="true" outlineLevel="0" collapsed="false">
      <c r="A7" s="19"/>
      <c r="B7" s="19"/>
      <c r="C7" s="19"/>
      <c r="D7" s="19"/>
      <c r="E7" s="19"/>
      <c r="F7" s="19"/>
      <c r="G7" s="19"/>
      <c r="H7" s="19"/>
      <c r="I7" s="19"/>
      <c r="J7" s="19"/>
      <c r="K7" s="19"/>
      <c r="L7" s="19"/>
      <c r="M7" s="19"/>
      <c r="N7" s="19"/>
      <c r="O7" s="19"/>
      <c r="P7" s="19"/>
      <c r="Q7" s="19"/>
      <c r="R7" s="19"/>
      <c r="S7" s="19"/>
      <c r="T7" s="19"/>
      <c r="U7" s="19"/>
      <c r="V7" s="19"/>
      <c r="W7" s="19"/>
      <c r="X7" s="19"/>
      <c r="Y7" s="19"/>
      <c r="Z7" s="19"/>
      <c r="AA7" s="19"/>
    </row>
    <row r="8" customFormat="false" ht="12" hidden="false" customHeight="true" outlineLevel="0" collapsed="false">
      <c r="A8" s="19"/>
      <c r="B8" s="19"/>
      <c r="C8" s="282" t="s">
        <v>326</v>
      </c>
      <c r="D8" s="241"/>
      <c r="E8" s="241"/>
      <c r="F8" s="241"/>
      <c r="G8" s="241"/>
      <c r="H8" s="241"/>
      <c r="I8" s="241"/>
      <c r="J8" s="241"/>
      <c r="K8" s="241"/>
      <c r="L8" s="241"/>
      <c r="M8" s="242"/>
      <c r="N8" s="19"/>
      <c r="O8" s="19"/>
      <c r="P8" s="19"/>
      <c r="Q8" s="19"/>
      <c r="R8" s="19"/>
      <c r="S8" s="19"/>
      <c r="T8" s="19"/>
      <c r="U8" s="19"/>
      <c r="V8" s="19"/>
      <c r="W8" s="19"/>
      <c r="X8" s="19"/>
      <c r="Y8" s="19"/>
      <c r="Z8" s="19"/>
      <c r="AA8" s="19"/>
    </row>
    <row r="9" customFormat="false" ht="12" hidden="false" customHeight="true" outlineLevel="0" collapsed="false">
      <c r="A9" s="19"/>
      <c r="B9" s="19"/>
      <c r="C9" s="245"/>
      <c r="D9" s="48"/>
      <c r="E9" s="48"/>
      <c r="F9" s="48"/>
      <c r="G9" s="48"/>
      <c r="H9" s="48"/>
      <c r="I9" s="48"/>
      <c r="J9" s="48"/>
      <c r="K9" s="48"/>
      <c r="L9" s="48"/>
      <c r="M9" s="244"/>
      <c r="N9" s="19"/>
      <c r="O9" s="19"/>
      <c r="P9" s="19"/>
      <c r="Q9" s="19"/>
      <c r="R9" s="19"/>
      <c r="S9" s="19"/>
      <c r="T9" s="19"/>
      <c r="U9" s="19"/>
      <c r="V9" s="19"/>
      <c r="W9" s="19"/>
      <c r="X9" s="19"/>
      <c r="Y9" s="19"/>
      <c r="Z9" s="19"/>
      <c r="AA9" s="19"/>
    </row>
    <row r="10" customFormat="false" ht="12" hidden="false" customHeight="true" outlineLevel="0" collapsed="false">
      <c r="A10" s="19"/>
      <c r="B10" s="19"/>
      <c r="C10" s="245"/>
      <c r="D10" s="48"/>
      <c r="E10" s="48"/>
      <c r="F10" s="48"/>
      <c r="G10" s="48"/>
      <c r="H10" s="48"/>
      <c r="I10" s="48" t="s">
        <v>370</v>
      </c>
      <c r="J10" s="48"/>
      <c r="K10" s="48" t="s">
        <v>371</v>
      </c>
      <c r="L10" s="48"/>
      <c r="M10" s="244"/>
      <c r="N10" s="19"/>
      <c r="O10" s="19"/>
      <c r="P10" s="19"/>
      <c r="Q10" s="19"/>
      <c r="R10" s="19"/>
      <c r="S10" s="19"/>
      <c r="T10" s="19"/>
      <c r="U10" s="19"/>
      <c r="V10" s="19"/>
      <c r="W10" s="19"/>
      <c r="X10" s="19"/>
      <c r="Y10" s="19"/>
      <c r="Z10" s="19"/>
      <c r="AA10" s="19"/>
    </row>
    <row r="11" customFormat="false" ht="12" hidden="false" customHeight="true" outlineLevel="0" collapsed="false">
      <c r="A11" s="19"/>
      <c r="B11" s="19"/>
      <c r="C11" s="245"/>
      <c r="D11" s="48"/>
      <c r="E11" s="48"/>
      <c r="F11" s="48"/>
      <c r="G11" s="48"/>
      <c r="H11" s="48"/>
      <c r="I11" s="48"/>
      <c r="J11" s="48"/>
      <c r="K11" s="48"/>
      <c r="L11" s="48"/>
      <c r="M11" s="244"/>
      <c r="N11" s="19"/>
      <c r="O11" s="19"/>
      <c r="P11" s="19"/>
      <c r="Q11" s="19"/>
      <c r="R11" s="19"/>
      <c r="S11" s="19"/>
      <c r="T11" s="19"/>
      <c r="U11" s="19"/>
      <c r="V11" s="19"/>
      <c r="W11" s="19"/>
      <c r="X11" s="19"/>
      <c r="Y11" s="19"/>
      <c r="Z11" s="19"/>
      <c r="AA11" s="19"/>
    </row>
    <row r="12" customFormat="false" ht="12" hidden="false" customHeight="true" outlineLevel="0" collapsed="false">
      <c r="A12" s="19"/>
      <c r="B12" s="19"/>
      <c r="C12" s="245"/>
      <c r="D12" s="48"/>
      <c r="E12" s="48"/>
      <c r="F12" s="48"/>
      <c r="G12" s="48"/>
      <c r="H12" s="48"/>
      <c r="I12" s="48"/>
      <c r="J12" s="48"/>
      <c r="K12" s="48"/>
      <c r="L12" s="48"/>
      <c r="M12" s="244"/>
      <c r="N12" s="19"/>
      <c r="O12" s="19"/>
      <c r="P12" s="19"/>
      <c r="Q12" s="19"/>
      <c r="R12" s="19"/>
      <c r="S12" s="19"/>
      <c r="T12" s="19"/>
      <c r="U12" s="19"/>
      <c r="V12" s="19"/>
      <c r="W12" s="19"/>
      <c r="X12" s="19"/>
      <c r="Y12" s="19"/>
      <c r="Z12" s="19"/>
      <c r="AA12" s="19"/>
    </row>
    <row r="13" customFormat="false" ht="12" hidden="false" customHeight="true" outlineLevel="0" collapsed="false">
      <c r="A13" s="19"/>
      <c r="B13" s="19"/>
      <c r="C13" s="245"/>
      <c r="D13" s="48"/>
      <c r="E13" s="48"/>
      <c r="F13" s="48"/>
      <c r="G13" s="48"/>
      <c r="H13" s="48"/>
      <c r="I13" s="48"/>
      <c r="J13" s="48"/>
      <c r="K13" s="48"/>
      <c r="L13" s="48"/>
      <c r="M13" s="244"/>
      <c r="N13" s="19"/>
      <c r="O13" s="19"/>
      <c r="P13" s="19"/>
      <c r="Q13" s="19"/>
      <c r="R13" s="19"/>
      <c r="S13" s="19"/>
      <c r="T13" s="19"/>
      <c r="U13" s="19"/>
      <c r="V13" s="19"/>
      <c r="W13" s="19"/>
      <c r="X13" s="19"/>
      <c r="Y13" s="19"/>
      <c r="Z13" s="19"/>
      <c r="AA13" s="19"/>
    </row>
    <row r="14" customFormat="false" ht="12" hidden="false" customHeight="true" outlineLevel="0" collapsed="false">
      <c r="A14" s="19"/>
      <c r="B14" s="19"/>
      <c r="C14" s="245"/>
      <c r="D14" s="255" t="s">
        <v>372</v>
      </c>
      <c r="E14" s="48"/>
      <c r="F14" s="255" t="s">
        <v>373</v>
      </c>
      <c r="G14" s="48"/>
      <c r="H14" s="255" t="s">
        <v>374</v>
      </c>
      <c r="I14" s="48"/>
      <c r="J14" s="48"/>
      <c r="K14" s="48"/>
      <c r="L14" s="48"/>
      <c r="M14" s="244"/>
      <c r="N14" s="19"/>
      <c r="O14" s="19"/>
      <c r="P14" s="19"/>
      <c r="Q14" s="19"/>
      <c r="R14" s="19"/>
      <c r="S14" s="19"/>
      <c r="T14" s="19"/>
      <c r="U14" s="19"/>
      <c r="V14" s="19"/>
      <c r="W14" s="19"/>
      <c r="X14" s="19"/>
      <c r="Y14" s="19"/>
      <c r="Z14" s="19"/>
      <c r="AA14" s="19"/>
    </row>
    <row r="15" customFormat="false" ht="12" hidden="false" customHeight="true" outlineLevel="0" collapsed="false">
      <c r="A15" s="19"/>
      <c r="B15" s="19"/>
      <c r="C15" s="245"/>
      <c r="D15" s="48"/>
      <c r="E15" s="48"/>
      <c r="F15" s="48"/>
      <c r="G15" s="48"/>
      <c r="H15" s="48"/>
      <c r="I15" s="48"/>
      <c r="J15" s="48"/>
      <c r="K15" s="48"/>
      <c r="L15" s="48"/>
      <c r="M15" s="244"/>
      <c r="N15" s="19"/>
      <c r="O15" s="19"/>
      <c r="P15" s="19"/>
      <c r="Q15" s="19"/>
      <c r="R15" s="19"/>
      <c r="S15" s="19"/>
      <c r="T15" s="19"/>
      <c r="U15" s="19"/>
      <c r="V15" s="19"/>
      <c r="W15" s="19"/>
      <c r="X15" s="19"/>
      <c r="Y15" s="19"/>
      <c r="Z15" s="19"/>
      <c r="AA15" s="19"/>
    </row>
    <row r="16" customFormat="false" ht="12" hidden="false" customHeight="true" outlineLevel="0" collapsed="false">
      <c r="A16" s="19"/>
      <c r="B16" s="19"/>
      <c r="C16" s="245"/>
      <c r="D16" s="255" t="s">
        <v>375</v>
      </c>
      <c r="E16" s="48"/>
      <c r="F16" s="255" t="s">
        <v>376</v>
      </c>
      <c r="G16" s="48"/>
      <c r="H16" s="48"/>
      <c r="I16" s="48"/>
      <c r="J16" s="48"/>
      <c r="K16" s="48"/>
      <c r="L16" s="48"/>
      <c r="M16" s="244"/>
      <c r="N16" s="19"/>
      <c r="O16" s="19"/>
      <c r="P16" s="19"/>
      <c r="Q16" s="19"/>
      <c r="R16" s="19"/>
      <c r="S16" s="19"/>
      <c r="T16" s="19"/>
      <c r="U16" s="19"/>
      <c r="V16" s="19"/>
      <c r="W16" s="19"/>
      <c r="X16" s="19"/>
      <c r="Y16" s="19"/>
      <c r="Z16" s="19"/>
      <c r="AA16" s="19"/>
    </row>
    <row r="17" customFormat="false" ht="12" hidden="false" customHeight="true" outlineLevel="0" collapsed="false">
      <c r="A17" s="19"/>
      <c r="B17" s="19"/>
      <c r="C17" s="245"/>
      <c r="D17" s="48"/>
      <c r="E17" s="48"/>
      <c r="F17" s="48"/>
      <c r="G17" s="48"/>
      <c r="H17" s="48"/>
      <c r="I17" s="48"/>
      <c r="J17" s="48" t="s">
        <v>375</v>
      </c>
      <c r="K17" s="249" t="s">
        <v>375</v>
      </c>
      <c r="L17" s="48"/>
      <c r="M17" s="244"/>
      <c r="N17" s="19"/>
      <c r="O17" s="19"/>
      <c r="P17" s="19"/>
      <c r="Q17" s="19"/>
      <c r="R17" s="19"/>
      <c r="S17" s="19"/>
      <c r="T17" s="19"/>
      <c r="U17" s="19"/>
      <c r="V17" s="19"/>
      <c r="W17" s="19"/>
      <c r="X17" s="19"/>
      <c r="Y17" s="19"/>
      <c r="Z17" s="19"/>
      <c r="AA17" s="19"/>
    </row>
    <row r="18" customFormat="false" ht="12" hidden="false" customHeight="true" outlineLevel="0" collapsed="false">
      <c r="A18" s="19"/>
      <c r="B18" s="19"/>
      <c r="C18" s="245"/>
      <c r="D18" s="48"/>
      <c r="E18" s="48"/>
      <c r="F18" s="48"/>
      <c r="G18" s="48"/>
      <c r="H18" s="48"/>
      <c r="I18" s="48"/>
      <c r="J18" s="48"/>
      <c r="K18" s="48"/>
      <c r="L18" s="48"/>
      <c r="M18" s="244"/>
      <c r="N18" s="19"/>
      <c r="O18" s="19"/>
      <c r="P18" s="19"/>
      <c r="Q18" s="19"/>
      <c r="R18" s="19"/>
      <c r="S18" s="19"/>
      <c r="T18" s="19"/>
      <c r="U18" s="19"/>
      <c r="V18" s="19"/>
      <c r="W18" s="19"/>
      <c r="X18" s="19"/>
      <c r="Y18" s="19"/>
      <c r="Z18" s="19"/>
      <c r="AA18" s="19"/>
    </row>
    <row r="19" customFormat="false" ht="12" hidden="false" customHeight="true" outlineLevel="0" collapsed="false">
      <c r="A19" s="19"/>
      <c r="B19" s="19"/>
      <c r="C19" s="245"/>
      <c r="D19" s="48"/>
      <c r="E19" s="48"/>
      <c r="F19" s="48"/>
      <c r="G19" s="48"/>
      <c r="H19" s="48"/>
      <c r="I19" s="48"/>
      <c r="J19" s="48"/>
      <c r="K19" s="48"/>
      <c r="L19" s="48"/>
      <c r="M19" s="244"/>
      <c r="N19" s="19"/>
      <c r="O19" s="19"/>
      <c r="P19" s="19"/>
      <c r="Q19" s="19"/>
      <c r="R19" s="19"/>
      <c r="S19" s="19"/>
      <c r="T19" s="19"/>
      <c r="U19" s="19"/>
      <c r="V19" s="19"/>
      <c r="W19" s="19"/>
      <c r="X19" s="19"/>
      <c r="Y19" s="19"/>
      <c r="Z19" s="19"/>
      <c r="AA19" s="19"/>
    </row>
    <row r="20" customFormat="false" ht="12" hidden="false" customHeight="true" outlineLevel="0" collapsed="false">
      <c r="A20" s="19"/>
      <c r="B20" s="19"/>
      <c r="C20" s="245"/>
      <c r="D20" s="48" t="s">
        <v>377</v>
      </c>
      <c r="E20" s="48"/>
      <c r="F20" s="48"/>
      <c r="G20" s="48"/>
      <c r="H20" s="48"/>
      <c r="I20" s="48"/>
      <c r="J20" s="48"/>
      <c r="K20" s="48"/>
      <c r="L20" s="48"/>
      <c r="M20" s="244"/>
      <c r="N20" s="19"/>
      <c r="O20" s="19"/>
      <c r="P20" s="19"/>
      <c r="Q20" s="19"/>
      <c r="R20" s="19"/>
      <c r="S20" s="19"/>
      <c r="T20" s="19"/>
      <c r="U20" s="19"/>
      <c r="V20" s="19"/>
      <c r="W20" s="19"/>
      <c r="X20" s="19"/>
      <c r="Y20" s="19"/>
      <c r="Z20" s="19"/>
      <c r="AA20" s="19"/>
    </row>
    <row r="21" customFormat="false" ht="12" hidden="false" customHeight="true" outlineLevel="0" collapsed="false">
      <c r="A21" s="19"/>
      <c r="B21" s="19"/>
      <c r="C21" s="245"/>
      <c r="D21" s="48"/>
      <c r="E21" s="48"/>
      <c r="F21" s="48"/>
      <c r="G21" s="48"/>
      <c r="H21" s="48"/>
      <c r="I21" s="48"/>
      <c r="J21" s="48"/>
      <c r="K21" s="48"/>
      <c r="L21" s="48"/>
      <c r="M21" s="244"/>
      <c r="N21" s="19"/>
      <c r="O21" s="19"/>
      <c r="P21" s="19"/>
      <c r="Q21" s="19"/>
      <c r="R21" s="19"/>
      <c r="S21" s="19"/>
      <c r="T21" s="19"/>
      <c r="U21" s="19"/>
      <c r="V21" s="19"/>
      <c r="W21" s="19"/>
      <c r="X21" s="19"/>
      <c r="Y21" s="19"/>
      <c r="Z21" s="19"/>
      <c r="AA21" s="19"/>
    </row>
    <row r="22" customFormat="false" ht="12" hidden="false" customHeight="true" outlineLevel="0" collapsed="false">
      <c r="A22" s="19"/>
      <c r="B22" s="19"/>
      <c r="C22" s="245"/>
      <c r="D22" s="283" t="s">
        <v>378</v>
      </c>
      <c r="E22" s="48"/>
      <c r="F22" s="48"/>
      <c r="G22" s="48"/>
      <c r="H22" s="48"/>
      <c r="I22" s="48"/>
      <c r="J22" s="48"/>
      <c r="K22" s="48"/>
      <c r="L22" s="48"/>
      <c r="M22" s="244"/>
      <c r="N22" s="19"/>
      <c r="O22" s="19"/>
      <c r="P22" s="19"/>
      <c r="Q22" s="19"/>
      <c r="R22" s="19"/>
      <c r="S22" s="19"/>
      <c r="T22" s="19"/>
      <c r="U22" s="19"/>
      <c r="V22" s="19"/>
      <c r="W22" s="19"/>
      <c r="X22" s="19"/>
      <c r="Y22" s="19"/>
      <c r="Z22" s="19"/>
      <c r="AA22" s="19"/>
    </row>
    <row r="23" customFormat="false" ht="12" hidden="false" customHeight="true" outlineLevel="0" collapsed="false">
      <c r="A23" s="19"/>
      <c r="B23" s="19"/>
      <c r="C23" s="245"/>
      <c r="D23" s="48" t="s">
        <v>379</v>
      </c>
      <c r="E23" s="48"/>
      <c r="F23" s="48"/>
      <c r="G23" s="284"/>
      <c r="H23" s="48"/>
      <c r="I23" s="48"/>
      <c r="J23" s="48"/>
      <c r="K23" s="48"/>
      <c r="L23" s="48"/>
      <c r="M23" s="244"/>
      <c r="N23" s="19"/>
      <c r="O23" s="19"/>
      <c r="P23" s="19"/>
      <c r="Q23" s="19"/>
      <c r="R23" s="19"/>
      <c r="S23" s="19"/>
      <c r="T23" s="19"/>
      <c r="U23" s="19"/>
      <c r="V23" s="19"/>
      <c r="W23" s="19"/>
      <c r="X23" s="19"/>
      <c r="Y23" s="19"/>
      <c r="Z23" s="19"/>
      <c r="AA23" s="19"/>
    </row>
    <row r="24" customFormat="false" ht="12" hidden="false" customHeight="true" outlineLevel="0" collapsed="false">
      <c r="A24" s="19"/>
      <c r="B24" s="19"/>
      <c r="C24" s="245"/>
      <c r="D24" s="48" t="s">
        <v>380</v>
      </c>
      <c r="E24" s="48"/>
      <c r="F24" s="48"/>
      <c r="G24" s="48"/>
      <c r="H24" s="48"/>
      <c r="I24" s="48"/>
      <c r="J24" s="48"/>
      <c r="K24" s="48"/>
      <c r="L24" s="48"/>
      <c r="M24" s="244"/>
      <c r="N24" s="19"/>
      <c r="O24" s="19"/>
      <c r="P24" s="19"/>
      <c r="Q24" s="19"/>
      <c r="R24" s="19"/>
      <c r="S24" s="19"/>
      <c r="T24" s="19"/>
      <c r="U24" s="19"/>
      <c r="V24" s="19"/>
      <c r="W24" s="19"/>
      <c r="X24" s="19"/>
      <c r="Y24" s="19"/>
      <c r="Z24" s="19"/>
      <c r="AA24" s="19"/>
    </row>
    <row r="25" customFormat="false" ht="12" hidden="false" customHeight="true" outlineLevel="0" collapsed="false">
      <c r="A25" s="19"/>
      <c r="B25" s="19"/>
      <c r="C25" s="245"/>
      <c r="D25" s="48" t="s">
        <v>381</v>
      </c>
      <c r="E25" s="48"/>
      <c r="F25" s="48"/>
      <c r="G25" s="48"/>
      <c r="H25" s="48"/>
      <c r="I25" s="48"/>
      <c r="J25" s="48"/>
      <c r="K25" s="48"/>
      <c r="L25" s="48"/>
      <c r="M25" s="244"/>
      <c r="N25" s="19"/>
      <c r="O25" s="19"/>
      <c r="P25" s="19"/>
      <c r="Q25" s="19"/>
      <c r="R25" s="19"/>
      <c r="S25" s="19"/>
      <c r="T25" s="19"/>
      <c r="U25" s="19"/>
      <c r="V25" s="19"/>
      <c r="W25" s="19"/>
      <c r="X25" s="19"/>
      <c r="Y25" s="19"/>
      <c r="Z25" s="19"/>
      <c r="AA25" s="19"/>
    </row>
    <row r="26" customFormat="false" ht="12" hidden="false" customHeight="true" outlineLevel="0" collapsed="false">
      <c r="A26" s="19"/>
      <c r="B26" s="19"/>
      <c r="C26" s="245"/>
      <c r="D26" s="48" t="s">
        <v>382</v>
      </c>
      <c r="E26" s="48"/>
      <c r="F26" s="48"/>
      <c r="G26" s="48"/>
      <c r="H26" s="48"/>
      <c r="I26" s="48"/>
      <c r="J26" s="48"/>
      <c r="K26" s="48"/>
      <c r="L26" s="48"/>
      <c r="M26" s="244"/>
      <c r="N26" s="19"/>
      <c r="O26" s="19"/>
      <c r="P26" s="19"/>
      <c r="Q26" s="19"/>
      <c r="R26" s="19"/>
      <c r="S26" s="19"/>
      <c r="T26" s="19"/>
      <c r="U26" s="19"/>
      <c r="V26" s="19"/>
      <c r="W26" s="19"/>
      <c r="X26" s="19"/>
      <c r="Y26" s="19"/>
      <c r="Z26" s="19"/>
      <c r="AA26" s="19"/>
    </row>
    <row r="27" customFormat="false" ht="12" hidden="false" customHeight="true" outlineLevel="0" collapsed="false">
      <c r="A27" s="19"/>
      <c r="B27" s="19"/>
      <c r="C27" s="245"/>
      <c r="D27" s="48" t="s">
        <v>383</v>
      </c>
      <c r="E27" s="48"/>
      <c r="F27" s="48"/>
      <c r="G27" s="48"/>
      <c r="H27" s="48"/>
      <c r="I27" s="48"/>
      <c r="J27" s="48"/>
      <c r="K27" s="48"/>
      <c r="L27" s="48"/>
      <c r="M27" s="244"/>
      <c r="N27" s="19"/>
      <c r="O27" s="19"/>
      <c r="P27" s="19"/>
      <c r="Q27" s="19"/>
      <c r="R27" s="19"/>
      <c r="S27" s="19"/>
      <c r="T27" s="19"/>
      <c r="U27" s="19"/>
      <c r="V27" s="19"/>
      <c r="W27" s="19"/>
      <c r="X27" s="19"/>
      <c r="Y27" s="19"/>
      <c r="Z27" s="19"/>
      <c r="AA27" s="19"/>
    </row>
    <row r="28" customFormat="false" ht="12" hidden="false" customHeight="true" outlineLevel="0" collapsed="false">
      <c r="A28" s="19"/>
      <c r="B28" s="19"/>
      <c r="C28" s="245"/>
      <c r="D28" s="48" t="s">
        <v>384</v>
      </c>
      <c r="E28" s="48"/>
      <c r="F28" s="48"/>
      <c r="G28" s="48"/>
      <c r="H28" s="48"/>
      <c r="I28" s="210" t="s">
        <v>385</v>
      </c>
      <c r="J28" s="48"/>
      <c r="K28" s="48"/>
      <c r="L28" s="48"/>
      <c r="M28" s="244"/>
      <c r="N28" s="19"/>
      <c r="O28" s="19"/>
      <c r="P28" s="19"/>
      <c r="Q28" s="19"/>
      <c r="R28" s="19"/>
      <c r="S28" s="19"/>
      <c r="T28" s="19"/>
      <c r="U28" s="19"/>
      <c r="V28" s="19"/>
      <c r="W28" s="19"/>
      <c r="X28" s="19"/>
      <c r="Y28" s="19"/>
      <c r="Z28" s="19"/>
      <c r="AA28" s="19"/>
    </row>
    <row r="29" customFormat="false" ht="12" hidden="false" customHeight="true" outlineLevel="0" collapsed="false">
      <c r="A29" s="19"/>
      <c r="B29" s="19"/>
      <c r="C29" s="245"/>
      <c r="D29" s="285" t="s">
        <v>386</v>
      </c>
      <c r="E29" s="48"/>
      <c r="F29" s="48"/>
      <c r="G29" s="48"/>
      <c r="H29" s="48"/>
      <c r="I29" s="48"/>
      <c r="J29" s="48"/>
      <c r="K29" s="48"/>
      <c r="L29" s="48"/>
      <c r="M29" s="244"/>
      <c r="N29" s="19"/>
      <c r="O29" s="19"/>
      <c r="P29" s="19"/>
      <c r="Q29" s="19"/>
      <c r="R29" s="19"/>
      <c r="S29" s="19"/>
      <c r="T29" s="19"/>
      <c r="U29" s="19"/>
      <c r="V29" s="19"/>
      <c r="W29" s="19"/>
      <c r="X29" s="19"/>
      <c r="Y29" s="19"/>
      <c r="Z29" s="19"/>
      <c r="AA29" s="19"/>
    </row>
    <row r="30" customFormat="false" ht="12" hidden="false" customHeight="true" outlineLevel="0" collapsed="false">
      <c r="A30" s="19"/>
      <c r="B30" s="19"/>
      <c r="C30" s="245"/>
      <c r="D30" s="48" t="s">
        <v>379</v>
      </c>
      <c r="E30" s="48"/>
      <c r="F30" s="48"/>
      <c r="G30" s="48"/>
      <c r="H30" s="48"/>
      <c r="I30" s="48"/>
      <c r="J30" s="48"/>
      <c r="K30" s="48"/>
      <c r="L30" s="48"/>
      <c r="M30" s="244"/>
      <c r="N30" s="19"/>
      <c r="O30" s="19"/>
      <c r="P30" s="19"/>
      <c r="Q30" s="19"/>
      <c r="R30" s="19"/>
      <c r="S30" s="19"/>
      <c r="T30" s="19"/>
      <c r="U30" s="19"/>
      <c r="V30" s="19"/>
      <c r="W30" s="19"/>
      <c r="X30" s="19"/>
      <c r="Y30" s="19"/>
      <c r="Z30" s="19"/>
      <c r="AA30" s="19"/>
    </row>
    <row r="31" customFormat="false" ht="12" hidden="false" customHeight="true" outlineLevel="0" collapsed="false">
      <c r="A31" s="19"/>
      <c r="B31" s="19"/>
      <c r="C31" s="245"/>
      <c r="D31" s="48"/>
      <c r="E31" s="48" t="s">
        <v>387</v>
      </c>
      <c r="F31" s="48"/>
      <c r="G31" s="48"/>
      <c r="H31" s="48"/>
      <c r="I31" s="48"/>
      <c r="J31" s="48"/>
      <c r="K31" s="48"/>
      <c r="L31" s="48"/>
      <c r="M31" s="244"/>
      <c r="N31" s="19"/>
      <c r="O31" s="19"/>
      <c r="P31" s="19"/>
      <c r="Q31" s="19"/>
      <c r="R31" s="19"/>
      <c r="S31" s="19"/>
      <c r="T31" s="19"/>
      <c r="U31" s="19"/>
      <c r="V31" s="19"/>
      <c r="W31" s="19"/>
      <c r="X31" s="19"/>
      <c r="Y31" s="19"/>
      <c r="Z31" s="19"/>
      <c r="AA31" s="19"/>
    </row>
    <row r="32" customFormat="false" ht="12" hidden="false" customHeight="true" outlineLevel="0" collapsed="false">
      <c r="A32" s="19"/>
      <c r="B32" s="19"/>
      <c r="C32" s="245"/>
      <c r="D32" s="48"/>
      <c r="E32" s="48" t="s">
        <v>388</v>
      </c>
      <c r="F32" s="48"/>
      <c r="G32" s="48"/>
      <c r="H32" s="48"/>
      <c r="I32" s="48"/>
      <c r="J32" s="48"/>
      <c r="K32" s="48"/>
      <c r="L32" s="48"/>
      <c r="M32" s="244"/>
      <c r="N32" s="19"/>
      <c r="O32" s="19"/>
      <c r="P32" s="19"/>
      <c r="Q32" s="19"/>
      <c r="R32" s="19"/>
      <c r="S32" s="19"/>
      <c r="T32" s="19"/>
      <c r="U32" s="19"/>
      <c r="V32" s="19"/>
      <c r="W32" s="19"/>
      <c r="X32" s="19"/>
      <c r="Y32" s="19"/>
      <c r="Z32" s="19"/>
      <c r="AA32" s="19"/>
    </row>
    <row r="33" customFormat="false" ht="12" hidden="false" customHeight="true" outlineLevel="0" collapsed="false">
      <c r="A33" s="19"/>
      <c r="B33" s="19"/>
      <c r="C33" s="245"/>
      <c r="D33" s="48"/>
      <c r="E33" s="48" t="s">
        <v>389</v>
      </c>
      <c r="F33" s="48"/>
      <c r="G33" s="48"/>
      <c r="H33" s="48"/>
      <c r="I33" s="48"/>
      <c r="J33" s="48"/>
      <c r="K33" s="48"/>
      <c r="L33" s="48"/>
      <c r="M33" s="244"/>
      <c r="N33" s="19"/>
      <c r="O33" s="19"/>
      <c r="P33" s="19"/>
      <c r="Q33" s="19"/>
      <c r="R33" s="19"/>
      <c r="S33" s="19"/>
      <c r="T33" s="19"/>
      <c r="U33" s="19"/>
      <c r="V33" s="19"/>
      <c r="W33" s="19"/>
      <c r="X33" s="19"/>
      <c r="Y33" s="19"/>
      <c r="Z33" s="19"/>
      <c r="AA33" s="19"/>
    </row>
    <row r="34" customFormat="false" ht="12" hidden="false" customHeight="true" outlineLevel="0" collapsed="false">
      <c r="A34" s="19"/>
      <c r="B34" s="19"/>
      <c r="C34" s="245"/>
      <c r="D34" s="48"/>
      <c r="E34" s="48"/>
      <c r="F34" s="48"/>
      <c r="G34" s="48"/>
      <c r="H34" s="48"/>
      <c r="I34" s="48"/>
      <c r="J34" s="48"/>
      <c r="K34" s="48"/>
      <c r="L34" s="48"/>
      <c r="M34" s="244"/>
      <c r="N34" s="19"/>
      <c r="O34" s="19"/>
      <c r="P34" s="19"/>
      <c r="Q34" s="19"/>
      <c r="R34" s="19"/>
      <c r="S34" s="19"/>
      <c r="T34" s="19"/>
      <c r="U34" s="19"/>
      <c r="V34" s="19"/>
      <c r="W34" s="19"/>
      <c r="X34" s="19"/>
      <c r="Y34" s="19"/>
      <c r="Z34" s="19"/>
      <c r="AA34" s="19"/>
    </row>
    <row r="35" customFormat="false" ht="12" hidden="false" customHeight="true" outlineLevel="0" collapsed="false">
      <c r="A35" s="19"/>
      <c r="B35" s="19"/>
      <c r="C35" s="245"/>
      <c r="D35" s="48"/>
      <c r="E35" s="48"/>
      <c r="F35" s="48"/>
      <c r="G35" s="48"/>
      <c r="H35" s="48"/>
      <c r="I35" s="48"/>
      <c r="J35" s="48"/>
      <c r="K35" s="48"/>
      <c r="L35" s="48"/>
      <c r="M35" s="244"/>
      <c r="N35" s="19"/>
      <c r="O35" s="19"/>
      <c r="P35" s="19"/>
      <c r="Q35" s="19"/>
      <c r="R35" s="19"/>
      <c r="S35" s="19"/>
      <c r="T35" s="19"/>
      <c r="U35" s="19"/>
      <c r="V35" s="19"/>
      <c r="W35" s="19"/>
      <c r="X35" s="19"/>
      <c r="Y35" s="19"/>
      <c r="Z35" s="19"/>
      <c r="AA35" s="19"/>
    </row>
    <row r="36" customFormat="false" ht="12" hidden="false" customHeight="true" outlineLevel="0" collapsed="false">
      <c r="A36" s="19"/>
      <c r="B36" s="19"/>
      <c r="C36" s="245"/>
      <c r="D36" s="48" t="s">
        <v>390</v>
      </c>
      <c r="E36" s="48"/>
      <c r="F36" s="48"/>
      <c r="G36" s="48"/>
      <c r="H36" s="48"/>
      <c r="I36" s="48"/>
      <c r="J36" s="48"/>
      <c r="K36" s="48"/>
      <c r="L36" s="48"/>
      <c r="M36" s="244"/>
      <c r="N36" s="19"/>
      <c r="O36" s="19"/>
      <c r="P36" s="19"/>
      <c r="Q36" s="19"/>
      <c r="R36" s="19"/>
      <c r="S36" s="19"/>
      <c r="T36" s="19"/>
      <c r="U36" s="19"/>
      <c r="V36" s="19"/>
      <c r="W36" s="19"/>
      <c r="X36" s="19"/>
      <c r="Y36" s="19"/>
      <c r="Z36" s="19"/>
      <c r="AA36" s="19"/>
    </row>
    <row r="37" customFormat="false" ht="12" hidden="false" customHeight="true" outlineLevel="0" collapsed="false">
      <c r="A37" s="19"/>
      <c r="B37" s="19"/>
      <c r="C37" s="245"/>
      <c r="D37" s="48"/>
      <c r="E37" s="48"/>
      <c r="F37" s="48"/>
      <c r="G37" s="48"/>
      <c r="H37" s="48"/>
      <c r="I37" s="48"/>
      <c r="J37" s="48"/>
      <c r="K37" s="48"/>
      <c r="L37" s="48"/>
      <c r="M37" s="244"/>
      <c r="N37" s="19"/>
      <c r="O37" s="19"/>
      <c r="P37" s="19"/>
      <c r="Q37" s="19"/>
      <c r="R37" s="19"/>
      <c r="S37" s="19"/>
      <c r="T37" s="19"/>
      <c r="U37" s="19"/>
      <c r="V37" s="19"/>
      <c r="W37" s="19"/>
      <c r="X37" s="19"/>
      <c r="Y37" s="19"/>
      <c r="Z37" s="19"/>
      <c r="AA37" s="19"/>
    </row>
    <row r="38" customFormat="false" ht="12" hidden="false" customHeight="true" outlineLevel="0" collapsed="false">
      <c r="A38" s="19"/>
      <c r="B38" s="19"/>
      <c r="C38" s="245"/>
      <c r="D38" s="249" t="s">
        <v>0</v>
      </c>
      <c r="E38" s="48" t="s">
        <v>335</v>
      </c>
      <c r="F38" s="48"/>
      <c r="G38" s="48"/>
      <c r="H38" s="48"/>
      <c r="I38" s="48"/>
      <c r="J38" s="272" t="n">
        <v>0.15</v>
      </c>
      <c r="K38" s="48" t="s">
        <v>315</v>
      </c>
      <c r="L38" s="48"/>
      <c r="M38" s="244"/>
      <c r="N38" s="19"/>
      <c r="O38" s="19"/>
      <c r="P38" s="19"/>
      <c r="Q38" s="19"/>
      <c r="R38" s="19"/>
      <c r="S38" s="19"/>
      <c r="T38" s="19"/>
      <c r="U38" s="19"/>
      <c r="V38" s="19"/>
      <c r="W38" s="19"/>
      <c r="X38" s="19"/>
      <c r="Y38" s="19"/>
      <c r="Z38" s="19"/>
      <c r="AA38" s="19"/>
    </row>
    <row r="39" customFormat="false" ht="12" hidden="false" customHeight="true" outlineLevel="0" collapsed="false">
      <c r="A39" s="19"/>
      <c r="B39" s="19"/>
      <c r="C39" s="245"/>
      <c r="D39" s="48"/>
      <c r="E39" s="48" t="s">
        <v>336</v>
      </c>
      <c r="F39" s="48"/>
      <c r="G39" s="48"/>
      <c r="H39" s="48"/>
      <c r="I39" s="48"/>
      <c r="J39" s="272" t="n">
        <v>0.15</v>
      </c>
      <c r="K39" s="48" t="s">
        <v>315</v>
      </c>
      <c r="L39" s="48"/>
      <c r="M39" s="244"/>
      <c r="N39" s="19"/>
      <c r="O39" s="19"/>
      <c r="P39" s="19"/>
      <c r="Q39" s="19"/>
      <c r="R39" s="19"/>
      <c r="S39" s="19"/>
      <c r="T39" s="19"/>
      <c r="U39" s="19"/>
      <c r="V39" s="19"/>
      <c r="W39" s="19"/>
      <c r="X39" s="19"/>
      <c r="Y39" s="19"/>
      <c r="Z39" s="19"/>
      <c r="AA39" s="19"/>
    </row>
    <row r="40" customFormat="false" ht="12" hidden="false" customHeight="true" outlineLevel="0" collapsed="false">
      <c r="A40" s="19"/>
      <c r="B40" s="19"/>
      <c r="C40" s="245"/>
      <c r="D40" s="48"/>
      <c r="E40" s="48" t="s">
        <v>337</v>
      </c>
      <c r="F40" s="48"/>
      <c r="G40" s="48"/>
      <c r="H40" s="48"/>
      <c r="I40" s="48"/>
      <c r="J40" s="272" t="n">
        <v>0</v>
      </c>
      <c r="K40" s="48" t="s">
        <v>315</v>
      </c>
      <c r="L40" s="48"/>
      <c r="M40" s="244"/>
      <c r="N40" s="19"/>
      <c r="O40" s="19"/>
      <c r="P40" s="19"/>
      <c r="Q40" s="19"/>
      <c r="R40" s="19"/>
      <c r="S40" s="19"/>
      <c r="T40" s="19"/>
      <c r="U40" s="19"/>
      <c r="V40" s="19"/>
      <c r="W40" s="19"/>
      <c r="X40" s="19"/>
      <c r="Y40" s="19"/>
      <c r="Z40" s="19"/>
      <c r="AA40" s="19"/>
    </row>
    <row r="41" customFormat="false" ht="12" hidden="false" customHeight="true" outlineLevel="0" collapsed="false">
      <c r="A41" s="19"/>
      <c r="B41" s="19"/>
      <c r="C41" s="245"/>
      <c r="D41" s="48"/>
      <c r="E41" s="48"/>
      <c r="F41" s="48"/>
      <c r="G41" s="48"/>
      <c r="H41" s="48"/>
      <c r="I41" s="48"/>
      <c r="J41" s="258"/>
      <c r="K41" s="48"/>
      <c r="L41" s="48"/>
      <c r="M41" s="244"/>
      <c r="N41" s="19"/>
      <c r="O41" s="19"/>
      <c r="P41" s="19"/>
      <c r="Q41" s="19"/>
      <c r="R41" s="19"/>
      <c r="S41" s="19"/>
      <c r="T41" s="19"/>
      <c r="U41" s="19"/>
      <c r="V41" s="19"/>
      <c r="W41" s="19"/>
      <c r="X41" s="19"/>
      <c r="Y41" s="19"/>
      <c r="Z41" s="19"/>
      <c r="AA41" s="19"/>
    </row>
    <row r="42" customFormat="false" ht="12" hidden="false" customHeight="true" outlineLevel="0" collapsed="false">
      <c r="A42" s="19"/>
      <c r="B42" s="19"/>
      <c r="C42" s="245"/>
      <c r="D42" s="48"/>
      <c r="E42" s="48" t="s">
        <v>362</v>
      </c>
      <c r="F42" s="48"/>
      <c r="G42" s="48"/>
      <c r="H42" s="48"/>
      <c r="I42" s="48"/>
      <c r="J42" s="257" t="s">
        <v>363</v>
      </c>
      <c r="K42" s="252" t="s">
        <v>341</v>
      </c>
      <c r="L42" s="48"/>
      <c r="M42" s="244"/>
      <c r="N42" s="19"/>
      <c r="O42" s="19"/>
      <c r="P42" s="19"/>
      <c r="Q42" s="19"/>
      <c r="R42" s="19"/>
      <c r="S42" s="19"/>
      <c r="T42" s="19"/>
      <c r="U42" s="19"/>
      <c r="V42" s="19"/>
      <c r="W42" s="19"/>
      <c r="X42" s="19"/>
      <c r="Y42" s="19"/>
      <c r="Z42" s="19"/>
      <c r="AA42" s="19"/>
    </row>
    <row r="43" customFormat="false" ht="12" hidden="false" customHeight="true" outlineLevel="0" collapsed="false">
      <c r="A43" s="19"/>
      <c r="B43" s="19"/>
      <c r="C43" s="245"/>
      <c r="D43" s="48"/>
      <c r="E43" s="48" t="s">
        <v>364</v>
      </c>
      <c r="F43" s="48"/>
      <c r="G43" s="48"/>
      <c r="H43" s="250" t="n">
        <v>1.33</v>
      </c>
      <c r="I43" s="255" t="s">
        <v>391</v>
      </c>
      <c r="J43" s="286" t="n">
        <f aca="false">Frequency!M10</f>
        <v>437.5</v>
      </c>
      <c r="K43" s="48" t="s">
        <v>314</v>
      </c>
      <c r="L43" s="48"/>
      <c r="M43" s="244"/>
      <c r="N43" s="19"/>
      <c r="O43" s="19"/>
      <c r="P43" s="19"/>
      <c r="Q43" s="19"/>
      <c r="R43" s="19"/>
      <c r="S43" s="19"/>
      <c r="T43" s="19"/>
      <c r="U43" s="19"/>
      <c r="V43" s="19"/>
      <c r="W43" s="19"/>
      <c r="X43" s="19"/>
      <c r="Y43" s="19"/>
      <c r="Z43" s="19"/>
      <c r="AA43" s="19"/>
    </row>
    <row r="44" customFormat="false" ht="12" hidden="false" customHeight="true" outlineLevel="0" collapsed="false">
      <c r="A44" s="19"/>
      <c r="B44" s="19"/>
      <c r="C44" s="245"/>
      <c r="D44" s="48"/>
      <c r="E44" s="48"/>
      <c r="F44" s="48"/>
      <c r="G44" s="48"/>
      <c r="H44" s="48"/>
      <c r="I44" s="48"/>
      <c r="J44" s="48"/>
      <c r="K44" s="48"/>
      <c r="L44" s="48"/>
      <c r="M44" s="244"/>
      <c r="N44" s="19"/>
      <c r="O44" s="19"/>
      <c r="P44" s="19"/>
      <c r="Q44" s="19"/>
      <c r="R44" s="19"/>
      <c r="S44" s="19"/>
      <c r="T44" s="19"/>
      <c r="U44" s="19"/>
      <c r="V44" s="19"/>
      <c r="W44" s="19"/>
      <c r="X44" s="19"/>
      <c r="Y44" s="19"/>
      <c r="Z44" s="19"/>
      <c r="AA44" s="19"/>
    </row>
    <row r="45" customFormat="false" ht="12" hidden="false" customHeight="true" outlineLevel="0" collapsed="false">
      <c r="A45" s="19"/>
      <c r="B45" s="19"/>
      <c r="C45" s="245"/>
      <c r="D45" s="48"/>
      <c r="E45" s="48" t="s">
        <v>392</v>
      </c>
      <c r="F45" s="48"/>
      <c r="G45" s="48"/>
      <c r="H45" s="48"/>
      <c r="I45" s="48" t="s">
        <v>393</v>
      </c>
      <c r="J45" s="48" t="n">
        <f aca="false">J38*H43</f>
        <v>0.1995</v>
      </c>
      <c r="K45" s="255" t="s">
        <v>258</v>
      </c>
      <c r="L45" s="48"/>
      <c r="M45" s="244"/>
      <c r="N45" s="19"/>
      <c r="O45" s="19"/>
      <c r="P45" s="19"/>
      <c r="Q45" s="19"/>
      <c r="R45" s="19"/>
      <c r="S45" s="19"/>
      <c r="T45" s="19"/>
      <c r="U45" s="19"/>
      <c r="V45" s="19"/>
      <c r="W45" s="19"/>
      <c r="X45" s="19"/>
      <c r="Y45" s="19"/>
      <c r="Z45" s="19"/>
      <c r="AA45" s="19"/>
    </row>
    <row r="46" customFormat="false" ht="12" hidden="false" customHeight="true" outlineLevel="0" collapsed="false">
      <c r="A46" s="19"/>
      <c r="B46" s="19"/>
      <c r="C46" s="245"/>
      <c r="D46" s="48"/>
      <c r="E46" s="48" t="s">
        <v>394</v>
      </c>
      <c r="F46" s="48"/>
      <c r="G46" s="48"/>
      <c r="H46" s="48"/>
      <c r="I46" s="48" t="s">
        <v>395</v>
      </c>
      <c r="J46" s="48" t="n">
        <f aca="false">J39*H43</f>
        <v>0.1995</v>
      </c>
      <c r="K46" s="255" t="s">
        <v>258</v>
      </c>
      <c r="L46" s="48"/>
      <c r="M46" s="244"/>
      <c r="N46" s="19"/>
      <c r="O46" s="19"/>
      <c r="P46" s="19"/>
      <c r="Q46" s="19"/>
      <c r="R46" s="19"/>
      <c r="S46" s="19"/>
      <c r="T46" s="19"/>
      <c r="U46" s="19"/>
      <c r="V46" s="19"/>
      <c r="W46" s="19"/>
      <c r="X46" s="19"/>
      <c r="Y46" s="19"/>
      <c r="Z46" s="19"/>
      <c r="AA46" s="19"/>
    </row>
    <row r="47" customFormat="false" ht="12" hidden="false" customHeight="true" outlineLevel="0" collapsed="false">
      <c r="A47" s="19"/>
      <c r="B47" s="19"/>
      <c r="C47" s="245"/>
      <c r="D47" s="48"/>
      <c r="E47" s="48" t="s">
        <v>396</v>
      </c>
      <c r="F47" s="48"/>
      <c r="G47" s="48"/>
      <c r="H47" s="48"/>
      <c r="I47" s="48" t="s">
        <v>397</v>
      </c>
      <c r="J47" s="48" t="n">
        <f aca="false">J40*H43</f>
        <v>0</v>
      </c>
      <c r="K47" s="48" t="s">
        <v>258</v>
      </c>
      <c r="L47" s="48"/>
      <c r="M47" s="244"/>
      <c r="N47" s="19"/>
      <c r="O47" s="19"/>
      <c r="P47" s="19"/>
      <c r="Q47" s="19"/>
      <c r="R47" s="19"/>
      <c r="S47" s="19"/>
      <c r="T47" s="19"/>
      <c r="U47" s="19"/>
      <c r="V47" s="19"/>
      <c r="W47" s="19"/>
      <c r="X47" s="19"/>
      <c r="Y47" s="19"/>
      <c r="Z47" s="19"/>
      <c r="AA47" s="19"/>
    </row>
    <row r="48" customFormat="false" ht="12" hidden="false" customHeight="true" outlineLevel="0" collapsed="false">
      <c r="A48" s="19"/>
      <c r="B48" s="19"/>
      <c r="C48" s="245"/>
      <c r="D48" s="48"/>
      <c r="E48" s="48" t="s">
        <v>398</v>
      </c>
      <c r="F48" s="48"/>
      <c r="G48" s="48"/>
      <c r="H48" s="48"/>
      <c r="I48" s="48" t="s">
        <v>399</v>
      </c>
      <c r="J48" s="287"/>
      <c r="K48" s="48" t="s">
        <v>258</v>
      </c>
      <c r="L48" s="48"/>
      <c r="M48" s="244"/>
      <c r="N48" s="19"/>
      <c r="O48" s="19"/>
      <c r="P48" s="19"/>
      <c r="Q48" s="19"/>
      <c r="R48" s="19"/>
      <c r="S48" s="19"/>
      <c r="T48" s="19"/>
      <c r="U48" s="19"/>
      <c r="V48" s="19"/>
      <c r="W48" s="19"/>
      <c r="X48" s="19"/>
      <c r="Y48" s="19"/>
      <c r="Z48" s="19"/>
      <c r="AA48" s="19"/>
    </row>
    <row r="49" customFormat="false" ht="12" hidden="false" customHeight="true" outlineLevel="0" collapsed="false">
      <c r="A49" s="19"/>
      <c r="B49" s="19"/>
      <c r="C49" s="245"/>
      <c r="D49" s="48"/>
      <c r="E49" s="48" t="s">
        <v>400</v>
      </c>
      <c r="F49" s="48"/>
      <c r="G49" s="48"/>
      <c r="H49" s="48"/>
      <c r="I49" s="48" t="s">
        <v>401</v>
      </c>
      <c r="J49" s="272" t="n">
        <f aca="false">0.5+1.2</f>
        <v>1.7</v>
      </c>
      <c r="K49" s="48" t="s">
        <v>258</v>
      </c>
      <c r="L49" s="48"/>
      <c r="M49" s="244"/>
      <c r="N49" s="19"/>
      <c r="O49" s="19"/>
      <c r="P49" s="19"/>
      <c r="Q49" s="19"/>
      <c r="R49" s="19"/>
      <c r="S49" s="19"/>
      <c r="T49" s="19"/>
      <c r="U49" s="19"/>
      <c r="V49" s="19"/>
      <c r="W49" s="19"/>
      <c r="X49" s="19"/>
      <c r="Y49" s="19"/>
      <c r="Z49" s="19"/>
      <c r="AA49" s="19"/>
    </row>
    <row r="50" customFormat="false" ht="12" hidden="false" customHeight="true" outlineLevel="0" collapsed="false">
      <c r="A50" s="19"/>
      <c r="B50" s="19"/>
      <c r="C50" s="245"/>
      <c r="D50" s="48"/>
      <c r="E50" s="48" t="s">
        <v>402</v>
      </c>
      <c r="F50" s="48"/>
      <c r="G50" s="48"/>
      <c r="H50" s="50" t="n">
        <v>4</v>
      </c>
      <c r="I50" s="48" t="s">
        <v>403</v>
      </c>
      <c r="J50" s="48" t="n">
        <f aca="false">H50*0.05</f>
        <v>0.2</v>
      </c>
      <c r="K50" s="48" t="s">
        <v>258</v>
      </c>
      <c r="L50" s="48"/>
      <c r="M50" s="244"/>
      <c r="N50" s="19"/>
      <c r="O50" s="19"/>
      <c r="P50" s="19"/>
      <c r="Q50" s="19"/>
      <c r="R50" s="19"/>
      <c r="S50" s="19"/>
      <c r="T50" s="19"/>
      <c r="U50" s="19"/>
      <c r="V50" s="19"/>
      <c r="W50" s="19"/>
      <c r="X50" s="19"/>
      <c r="Y50" s="19"/>
      <c r="Z50" s="19"/>
      <c r="AA50" s="19"/>
    </row>
    <row r="51" customFormat="false" ht="12" hidden="false" customHeight="true" outlineLevel="0" collapsed="false">
      <c r="A51" s="19"/>
      <c r="B51" s="19"/>
      <c r="C51" s="245"/>
      <c r="D51" s="48"/>
      <c r="E51" s="48" t="s">
        <v>404</v>
      </c>
      <c r="F51" s="48"/>
      <c r="G51" s="48"/>
      <c r="H51" s="259"/>
      <c r="I51" s="48"/>
      <c r="J51" s="274" t="s">
        <v>366</v>
      </c>
      <c r="K51" s="187"/>
      <c r="L51" s="48"/>
      <c r="M51" s="244"/>
      <c r="N51" s="19"/>
      <c r="O51" s="19"/>
      <c r="P51" s="19"/>
      <c r="Q51" s="19"/>
      <c r="R51" s="19"/>
      <c r="S51" s="19"/>
      <c r="T51" s="19"/>
      <c r="U51" s="19"/>
      <c r="V51" s="19"/>
      <c r="W51" s="19"/>
      <c r="X51" s="19"/>
      <c r="Y51" s="19"/>
      <c r="Z51" s="19"/>
      <c r="AA51" s="19"/>
    </row>
    <row r="52" customFormat="false" ht="12" hidden="false" customHeight="true" outlineLevel="0" collapsed="false">
      <c r="A52" s="19"/>
      <c r="B52" s="19"/>
      <c r="C52" s="245"/>
      <c r="D52" s="48"/>
      <c r="E52" s="48"/>
      <c r="F52" s="48"/>
      <c r="G52" s="48"/>
      <c r="H52" s="48"/>
      <c r="I52" s="48"/>
      <c r="J52" s="48"/>
      <c r="K52" s="48"/>
      <c r="L52" s="48"/>
      <c r="M52" s="244"/>
      <c r="N52" s="19"/>
      <c r="O52" s="288" t="s">
        <v>405</v>
      </c>
      <c r="P52" s="289"/>
      <c r="Q52" s="290"/>
      <c r="R52" s="290"/>
      <c r="S52" s="290"/>
      <c r="T52" s="290"/>
      <c r="U52" s="290"/>
      <c r="V52" s="210" t="s">
        <v>60</v>
      </c>
      <c r="W52" s="19"/>
      <c r="X52" s="19"/>
      <c r="Y52" s="19"/>
      <c r="Z52" s="19"/>
      <c r="AA52" s="19"/>
    </row>
    <row r="53" customFormat="false" ht="12" hidden="false" customHeight="true" outlineLevel="0" collapsed="false">
      <c r="A53" s="19"/>
      <c r="B53" s="19"/>
      <c r="C53" s="245"/>
      <c r="D53" s="48"/>
      <c r="E53" s="48" t="s">
        <v>406</v>
      </c>
      <c r="F53" s="48"/>
      <c r="G53" s="48"/>
      <c r="H53" s="48"/>
      <c r="I53" s="48"/>
      <c r="J53" s="23" t="n">
        <f aca="false">SUM($J45:J51)</f>
        <v>2.299</v>
      </c>
      <c r="K53" s="48" t="s">
        <v>258</v>
      </c>
      <c r="L53" s="48"/>
      <c r="M53" s="244"/>
      <c r="N53" s="19"/>
      <c r="O53" s="291"/>
      <c r="P53" s="292"/>
      <c r="Q53" s="292"/>
      <c r="R53" s="292"/>
      <c r="S53" s="292"/>
      <c r="T53" s="292"/>
      <c r="U53" s="292"/>
      <c r="V53" s="293"/>
      <c r="W53" s="19"/>
      <c r="X53" s="19"/>
      <c r="Y53" s="19"/>
      <c r="Z53" s="19"/>
      <c r="AA53" s="19"/>
    </row>
    <row r="54" customFormat="false" ht="12" hidden="false" customHeight="true" outlineLevel="0" collapsed="false">
      <c r="A54" s="19"/>
      <c r="B54" s="19"/>
      <c r="C54" s="245"/>
      <c r="D54" s="48"/>
      <c r="E54" s="48"/>
      <c r="F54" s="48"/>
      <c r="G54" s="48"/>
      <c r="H54" s="48"/>
      <c r="I54" s="48"/>
      <c r="J54" s="48"/>
      <c r="K54" s="48"/>
      <c r="L54" s="48"/>
      <c r="M54" s="244"/>
      <c r="N54" s="19"/>
      <c r="O54" s="291"/>
      <c r="P54" s="292"/>
      <c r="Q54" s="292" t="s">
        <v>407</v>
      </c>
      <c r="R54" s="292"/>
      <c r="S54" s="292"/>
      <c r="T54" s="292"/>
      <c r="U54" s="292"/>
      <c r="V54" s="293"/>
      <c r="W54" s="19"/>
      <c r="X54" s="19"/>
      <c r="Y54" s="19"/>
      <c r="Z54" s="19"/>
      <c r="AA54" s="19"/>
    </row>
    <row r="55" customFormat="false" ht="12" hidden="false" customHeight="true" outlineLevel="0" collapsed="false">
      <c r="A55" s="19"/>
      <c r="B55" s="19"/>
      <c r="C55" s="245"/>
      <c r="D55" s="48" t="s">
        <v>408</v>
      </c>
      <c r="E55" s="48"/>
      <c r="F55" s="48"/>
      <c r="G55" s="48"/>
      <c r="H55" s="48"/>
      <c r="I55" s="285" t="s">
        <v>409</v>
      </c>
      <c r="J55" s="294" t="n">
        <f aca="false">10^-(J53/10)</f>
        <v>0.588979257229025</v>
      </c>
      <c r="K55" s="48"/>
      <c r="L55" s="48"/>
      <c r="M55" s="244"/>
      <c r="N55" s="19"/>
      <c r="O55" s="291"/>
      <c r="P55" s="292"/>
      <c r="Q55" s="292"/>
      <c r="R55" s="292" t="s">
        <v>83</v>
      </c>
      <c r="S55" s="292"/>
      <c r="T55" s="292"/>
      <c r="U55" s="292"/>
      <c r="V55" s="293"/>
      <c r="W55" s="19"/>
      <c r="X55" s="19"/>
      <c r="Y55" s="19"/>
      <c r="Z55" s="19"/>
      <c r="AA55" s="19"/>
    </row>
    <row r="56" customFormat="false" ht="12" hidden="false" customHeight="true" outlineLevel="0" collapsed="false">
      <c r="A56" s="19"/>
      <c r="B56" s="19"/>
      <c r="C56" s="245"/>
      <c r="D56" s="48"/>
      <c r="E56" s="48"/>
      <c r="F56" s="48"/>
      <c r="G56" s="48"/>
      <c r="H56" s="48"/>
      <c r="I56" s="48"/>
      <c r="J56" s="48"/>
      <c r="K56" s="48"/>
      <c r="L56" s="48"/>
      <c r="M56" s="244"/>
      <c r="N56" s="19"/>
      <c r="O56" s="291"/>
      <c r="P56" s="292"/>
      <c r="Q56" s="292" t="s">
        <v>410</v>
      </c>
      <c r="R56" s="292"/>
      <c r="S56" s="292"/>
      <c r="T56" s="295" t="s">
        <v>411</v>
      </c>
      <c r="U56" s="210" t="n">
        <f aca="false">J59</f>
        <v>290</v>
      </c>
      <c r="V56" s="293" t="s">
        <v>412</v>
      </c>
      <c r="W56" s="19"/>
      <c r="X56" s="19"/>
      <c r="Y56" s="19"/>
      <c r="Z56" s="19"/>
      <c r="AA56" s="19"/>
    </row>
    <row r="57" customFormat="false" ht="12" hidden="false" customHeight="true" outlineLevel="0" collapsed="false">
      <c r="A57" s="19"/>
      <c r="B57" s="19"/>
      <c r="C57" s="245"/>
      <c r="D57" s="48" t="s">
        <v>413</v>
      </c>
      <c r="E57" s="48"/>
      <c r="F57" s="48"/>
      <c r="G57" s="210" t="s">
        <v>60</v>
      </c>
      <c r="H57" s="48"/>
      <c r="I57" s="48" t="s">
        <v>414</v>
      </c>
      <c r="J57" s="272" t="n">
        <v>74.5</v>
      </c>
      <c r="K57" s="48" t="s">
        <v>412</v>
      </c>
      <c r="L57" s="48"/>
      <c r="M57" s="244"/>
      <c r="N57" s="19"/>
      <c r="O57" s="291"/>
      <c r="P57" s="292"/>
      <c r="Q57" s="292"/>
      <c r="R57" s="292"/>
      <c r="S57" s="292"/>
      <c r="T57" s="292"/>
      <c r="U57" s="292"/>
      <c r="V57" s="293"/>
      <c r="W57" s="19"/>
      <c r="X57" s="19"/>
      <c r="Y57" s="19"/>
      <c r="Z57" s="19"/>
      <c r="AA57" s="19"/>
    </row>
    <row r="58" customFormat="false" ht="12" hidden="false" customHeight="true" outlineLevel="0" collapsed="false">
      <c r="A58" s="19"/>
      <c r="B58" s="19"/>
      <c r="C58" s="245"/>
      <c r="D58" s="48"/>
      <c r="E58" s="48"/>
      <c r="F58" s="48"/>
      <c r="G58" s="48"/>
      <c r="H58" s="48"/>
      <c r="I58" s="48"/>
      <c r="J58" s="48"/>
      <c r="K58" s="48"/>
      <c r="L58" s="48"/>
      <c r="M58" s="244"/>
      <c r="N58" s="19"/>
      <c r="O58" s="291"/>
      <c r="P58" s="292"/>
      <c r="Q58" s="292"/>
      <c r="R58" s="292"/>
      <c r="S58" s="292"/>
      <c r="T58" s="292"/>
      <c r="U58" s="292"/>
      <c r="V58" s="293"/>
      <c r="W58" s="19"/>
      <c r="X58" s="19"/>
      <c r="Y58" s="19"/>
      <c r="Z58" s="19"/>
      <c r="AA58" s="19"/>
    </row>
    <row r="59" customFormat="false" ht="12" hidden="false" customHeight="true" outlineLevel="0" collapsed="false">
      <c r="A59" s="19"/>
      <c r="B59" s="19"/>
      <c r="C59" s="245"/>
      <c r="D59" s="48" t="s">
        <v>415</v>
      </c>
      <c r="E59" s="48"/>
      <c r="F59" s="48"/>
      <c r="G59" s="48"/>
      <c r="H59" s="48"/>
      <c r="I59" s="48" t="s">
        <v>411</v>
      </c>
      <c r="J59" s="272" t="n">
        <v>290</v>
      </c>
      <c r="K59" s="48" t="s">
        <v>412</v>
      </c>
      <c r="L59" s="48"/>
      <c r="M59" s="244"/>
      <c r="N59" s="19"/>
      <c r="O59" s="291"/>
      <c r="P59" s="292"/>
      <c r="Q59" s="296" t="s">
        <v>416</v>
      </c>
      <c r="R59" s="250" t="n">
        <v>6</v>
      </c>
      <c r="S59" s="292" t="s">
        <v>258</v>
      </c>
      <c r="T59" s="296" t="s">
        <v>417</v>
      </c>
      <c r="U59" s="297" t="n">
        <f aca="false">J59*(10^(R59/10)-1)</f>
        <v>864.510794605142</v>
      </c>
      <c r="V59" s="293" t="s">
        <v>412</v>
      </c>
      <c r="W59" s="19"/>
      <c r="X59" s="19"/>
      <c r="Y59" s="19"/>
      <c r="Z59" s="19"/>
      <c r="AA59" s="19"/>
    </row>
    <row r="60" customFormat="false" ht="12" hidden="false" customHeight="true" outlineLevel="0" collapsed="false">
      <c r="A60" s="19"/>
      <c r="B60" s="19"/>
      <c r="C60" s="245"/>
      <c r="D60" s="48"/>
      <c r="E60" s="48"/>
      <c r="F60" s="48"/>
      <c r="G60" s="48"/>
      <c r="H60" s="48"/>
      <c r="I60" s="48"/>
      <c r="J60" s="48"/>
      <c r="K60" s="48"/>
      <c r="L60" s="48"/>
      <c r="M60" s="244"/>
      <c r="N60" s="19"/>
      <c r="O60" s="291"/>
      <c r="P60" s="292"/>
      <c r="Q60" s="292"/>
      <c r="R60" s="292"/>
      <c r="S60" s="292"/>
      <c r="T60" s="292"/>
      <c r="U60" s="292"/>
      <c r="V60" s="293"/>
      <c r="W60" s="19"/>
      <c r="X60" s="19"/>
      <c r="Y60" s="19"/>
      <c r="Z60" s="19"/>
      <c r="AA60" s="19"/>
    </row>
    <row r="61" customFormat="false" ht="12" hidden="false" customHeight="true" outlineLevel="0" collapsed="false">
      <c r="A61" s="19"/>
      <c r="B61" s="19"/>
      <c r="C61" s="245"/>
      <c r="D61" s="48" t="s">
        <v>418</v>
      </c>
      <c r="E61" s="48"/>
      <c r="F61" s="48"/>
      <c r="G61" s="48"/>
      <c r="H61" s="48"/>
      <c r="I61" s="48" t="s">
        <v>419</v>
      </c>
      <c r="J61" s="272" t="n">
        <v>864.5</v>
      </c>
      <c r="K61" s="48" t="s">
        <v>412</v>
      </c>
      <c r="L61" s="48"/>
      <c r="M61" s="244"/>
      <c r="N61" s="19"/>
      <c r="O61" s="291"/>
      <c r="P61" s="292"/>
      <c r="Q61" s="292"/>
      <c r="R61" s="292"/>
      <c r="S61" s="295" t="s">
        <v>420</v>
      </c>
      <c r="T61" s="292"/>
      <c r="U61" s="292"/>
      <c r="V61" s="293"/>
      <c r="W61" s="19"/>
      <c r="X61" s="19"/>
      <c r="Y61" s="19"/>
      <c r="Z61" s="19"/>
      <c r="AA61" s="19"/>
    </row>
    <row r="62" customFormat="false" ht="12" hidden="false" customHeight="true" outlineLevel="0" collapsed="false">
      <c r="A62" s="19"/>
      <c r="B62" s="19"/>
      <c r="C62" s="245"/>
      <c r="D62" s="48"/>
      <c r="E62" s="48"/>
      <c r="F62" s="48"/>
      <c r="G62" s="48"/>
      <c r="H62" s="48"/>
      <c r="I62" s="48"/>
      <c r="J62" s="48"/>
      <c r="K62" s="48"/>
      <c r="L62" s="48"/>
      <c r="M62" s="244"/>
      <c r="N62" s="19"/>
      <c r="O62" s="291"/>
      <c r="P62" s="292"/>
      <c r="Q62" s="292"/>
      <c r="R62" s="292"/>
      <c r="S62" s="292"/>
      <c r="T62" s="292"/>
      <c r="U62" s="292"/>
      <c r="V62" s="293"/>
      <c r="W62" s="19"/>
      <c r="X62" s="19"/>
      <c r="Y62" s="19"/>
      <c r="Z62" s="19"/>
      <c r="AA62" s="19"/>
    </row>
    <row r="63" customFormat="false" ht="12" hidden="false" customHeight="true" outlineLevel="0" collapsed="false">
      <c r="A63" s="19"/>
      <c r="B63" s="19"/>
      <c r="C63" s="245"/>
      <c r="D63" s="48" t="s">
        <v>421</v>
      </c>
      <c r="E63" s="48"/>
      <c r="F63" s="287" t="n">
        <v>18</v>
      </c>
      <c r="G63" s="48" t="s">
        <v>258</v>
      </c>
      <c r="H63" s="48"/>
      <c r="I63" s="48" t="s">
        <v>422</v>
      </c>
      <c r="J63" s="298" t="n">
        <f aca="false">10^(F63/10)</f>
        <v>63.09573445</v>
      </c>
      <c r="K63" s="48"/>
      <c r="L63" s="48"/>
      <c r="M63" s="244"/>
      <c r="N63" s="19"/>
      <c r="O63" s="291"/>
      <c r="P63" s="292"/>
      <c r="Q63" s="296" t="s">
        <v>417</v>
      </c>
      <c r="R63" s="250" t="n">
        <v>234</v>
      </c>
      <c r="S63" s="292" t="s">
        <v>412</v>
      </c>
      <c r="T63" s="296" t="s">
        <v>423</v>
      </c>
      <c r="U63" s="299" t="n">
        <f aca="false">10*LOG10(1+(R63/J59))</f>
        <v>2.569332891</v>
      </c>
      <c r="V63" s="293" t="s">
        <v>258</v>
      </c>
      <c r="W63" s="19"/>
      <c r="X63" s="19"/>
      <c r="Y63" s="19"/>
      <c r="Z63" s="19"/>
      <c r="AA63" s="19"/>
    </row>
    <row r="64" customFormat="false" ht="12" hidden="false" customHeight="true" outlineLevel="0" collapsed="false">
      <c r="A64" s="19"/>
      <c r="B64" s="19"/>
      <c r="C64" s="245"/>
      <c r="D64" s="48"/>
      <c r="E64" s="48"/>
      <c r="F64" s="48"/>
      <c r="G64" s="48"/>
      <c r="H64" s="48"/>
      <c r="I64" s="48"/>
      <c r="J64" s="48"/>
      <c r="K64" s="48"/>
      <c r="L64" s="48"/>
      <c r="M64" s="244"/>
      <c r="N64" s="19"/>
      <c r="O64" s="291"/>
      <c r="P64" s="292"/>
      <c r="Q64" s="292"/>
      <c r="R64" s="292"/>
      <c r="S64" s="292"/>
      <c r="T64" s="292"/>
      <c r="U64" s="292"/>
      <c r="V64" s="293"/>
      <c r="W64" s="19"/>
      <c r="X64" s="19"/>
      <c r="Y64" s="19"/>
      <c r="Z64" s="19"/>
      <c r="AA64" s="19"/>
    </row>
    <row r="65" customFormat="false" ht="12" hidden="false" customHeight="true" outlineLevel="0" collapsed="false">
      <c r="A65" s="19"/>
      <c r="B65" s="19"/>
      <c r="C65" s="245"/>
      <c r="D65" s="48" t="s">
        <v>424</v>
      </c>
      <c r="E65" s="48"/>
      <c r="F65" s="48"/>
      <c r="G65" s="48"/>
      <c r="H65" s="48"/>
      <c r="I65" s="48" t="s">
        <v>425</v>
      </c>
      <c r="J65" s="272" t="n">
        <v>0</v>
      </c>
      <c r="K65" s="48" t="s">
        <v>412</v>
      </c>
      <c r="L65" s="48"/>
      <c r="M65" s="244"/>
      <c r="N65" s="19"/>
      <c r="O65" s="291"/>
      <c r="P65" s="292"/>
      <c r="Q65" s="292"/>
      <c r="R65" s="292"/>
      <c r="S65" s="292"/>
      <c r="T65" s="292"/>
      <c r="U65" s="292"/>
      <c r="V65" s="293"/>
      <c r="W65" s="19"/>
      <c r="X65" s="19"/>
      <c r="Y65" s="19"/>
      <c r="Z65" s="19"/>
      <c r="AA65" s="19"/>
    </row>
    <row r="66" customFormat="false" ht="12" hidden="false" customHeight="true" outlineLevel="0" collapsed="false">
      <c r="A66" s="19"/>
      <c r="B66" s="19"/>
      <c r="C66" s="245"/>
      <c r="D66" s="48"/>
      <c r="E66" s="48"/>
      <c r="F66" s="48"/>
      <c r="G66" s="48"/>
      <c r="H66" s="48"/>
      <c r="I66" s="48"/>
      <c r="J66" s="48"/>
      <c r="K66" s="48"/>
      <c r="L66" s="48"/>
      <c r="M66" s="244"/>
      <c r="N66" s="19"/>
      <c r="O66" s="291"/>
      <c r="P66" s="292"/>
      <c r="Q66" s="292"/>
      <c r="R66" s="292"/>
      <c r="S66" s="292"/>
      <c r="T66" s="292"/>
      <c r="U66" s="292"/>
      <c r="V66" s="293"/>
      <c r="W66" s="19"/>
      <c r="X66" s="19"/>
      <c r="Y66" s="19"/>
      <c r="Z66" s="19"/>
      <c r="AA66" s="19"/>
    </row>
    <row r="67" customFormat="false" ht="12" hidden="false" customHeight="true" outlineLevel="0" collapsed="false">
      <c r="A67" s="19"/>
      <c r="B67" s="19"/>
      <c r="C67" s="245"/>
      <c r="D67" s="48"/>
      <c r="E67" s="48"/>
      <c r="F67" s="48"/>
      <c r="G67" s="48"/>
      <c r="H67" s="48"/>
      <c r="I67" s="48"/>
      <c r="J67" s="48"/>
      <c r="K67" s="48"/>
      <c r="L67" s="300"/>
      <c r="M67" s="244"/>
      <c r="N67" s="19"/>
      <c r="O67" s="291"/>
      <c r="P67" s="292"/>
      <c r="Q67" s="301"/>
      <c r="R67" s="302" t="s">
        <v>426</v>
      </c>
      <c r="S67" s="301"/>
      <c r="T67" s="292"/>
      <c r="U67" s="302" t="s">
        <v>427</v>
      </c>
      <c r="V67" s="293"/>
      <c r="W67" s="19"/>
      <c r="X67" s="19"/>
      <c r="Y67" s="19"/>
      <c r="Z67" s="19"/>
      <c r="AA67" s="19"/>
    </row>
    <row r="68" customFormat="false" ht="12" hidden="false" customHeight="true" outlineLevel="0" collapsed="false">
      <c r="A68" s="19"/>
      <c r="B68" s="19"/>
      <c r="C68" s="245"/>
      <c r="D68" s="48" t="s">
        <v>428</v>
      </c>
      <c r="E68" s="48"/>
      <c r="F68" s="48"/>
      <c r="G68" s="48"/>
      <c r="H68" s="48"/>
      <c r="I68" s="48" t="s">
        <v>429</v>
      </c>
      <c r="J68" s="303" t="n">
        <f aca="false">J57*J55+J59*(1-J55)+J61+(J65/J63)</f>
        <v>1027.57497006715</v>
      </c>
      <c r="K68" s="48" t="s">
        <v>412</v>
      </c>
      <c r="L68" s="48"/>
      <c r="M68" s="244"/>
      <c r="N68" s="19"/>
      <c r="O68" s="291"/>
      <c r="P68" s="292"/>
      <c r="Q68" s="292"/>
      <c r="R68" s="292"/>
      <c r="S68" s="292"/>
      <c r="T68" s="292"/>
      <c r="U68" s="292"/>
      <c r="V68" s="293"/>
      <c r="W68" s="19"/>
      <c r="X68" s="19"/>
      <c r="Y68" s="19"/>
      <c r="Z68" s="19"/>
      <c r="AA68" s="19"/>
    </row>
    <row r="69" customFormat="false" ht="12" hidden="false" customHeight="true" outlineLevel="0" collapsed="false">
      <c r="A69" s="19"/>
      <c r="B69" s="19"/>
      <c r="C69" s="245"/>
      <c r="D69" s="48"/>
      <c r="E69" s="48"/>
      <c r="F69" s="48"/>
      <c r="G69" s="48"/>
      <c r="H69" s="48"/>
      <c r="I69" s="48"/>
      <c r="J69" s="48"/>
      <c r="K69" s="48"/>
      <c r="L69" s="48"/>
      <c r="M69" s="244"/>
      <c r="N69" s="19"/>
      <c r="O69" s="304"/>
      <c r="P69" s="305"/>
      <c r="Q69" s="305"/>
      <c r="R69" s="305"/>
      <c r="S69" s="305"/>
      <c r="T69" s="305"/>
      <c r="U69" s="305"/>
      <c r="V69" s="306"/>
      <c r="W69" s="19"/>
      <c r="X69" s="19"/>
      <c r="Y69" s="19"/>
      <c r="Z69" s="19"/>
      <c r="AA69" s="19"/>
    </row>
    <row r="70" customFormat="false" ht="12" hidden="false" customHeight="true" outlineLevel="0" collapsed="false">
      <c r="A70" s="19"/>
      <c r="B70" s="19"/>
      <c r="C70" s="245"/>
      <c r="D70" s="48"/>
      <c r="E70" s="48"/>
      <c r="F70" s="48"/>
      <c r="G70" s="48"/>
      <c r="H70" s="48"/>
      <c r="I70" s="48"/>
      <c r="J70" s="48"/>
      <c r="K70" s="48"/>
      <c r="L70" s="48"/>
      <c r="M70" s="244"/>
      <c r="N70" s="19"/>
      <c r="O70" s="19"/>
      <c r="P70" s="19"/>
      <c r="Q70" s="19"/>
      <c r="R70" s="19"/>
      <c r="S70" s="19"/>
      <c r="T70" s="19"/>
      <c r="U70" s="19"/>
      <c r="V70" s="19"/>
      <c r="W70" s="19"/>
      <c r="X70" s="19"/>
      <c r="Y70" s="19"/>
      <c r="Z70" s="19"/>
      <c r="AA70" s="19"/>
    </row>
    <row r="71" customFormat="false" ht="12" hidden="false" customHeight="true" outlineLevel="0" collapsed="false">
      <c r="A71" s="19"/>
      <c r="B71" s="19"/>
      <c r="C71" s="262"/>
      <c r="D71" s="263"/>
      <c r="E71" s="263"/>
      <c r="F71" s="263"/>
      <c r="G71" s="263"/>
      <c r="H71" s="263"/>
      <c r="I71" s="263"/>
      <c r="J71" s="263"/>
      <c r="K71" s="263"/>
      <c r="L71" s="263"/>
      <c r="M71" s="264"/>
      <c r="N71" s="19"/>
      <c r="O71" s="19"/>
      <c r="P71" s="19"/>
      <c r="Q71" s="19"/>
      <c r="R71" s="19"/>
      <c r="S71" s="19"/>
      <c r="T71" s="19"/>
      <c r="U71" s="19"/>
      <c r="V71" s="19"/>
      <c r="W71" s="19"/>
      <c r="X71" s="19"/>
      <c r="Y71" s="19"/>
      <c r="Z71" s="19"/>
      <c r="AA71" s="19"/>
    </row>
    <row r="72" customFormat="false" ht="12" hidden="false" customHeight="true" outlineLevel="0" collapsed="false">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customFormat="false" ht="12" hidden="false" customHeight="true" outlineLevel="0" collapsed="false">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customFormat="false" ht="12" hidden="false" customHeight="true" outlineLevel="0" collapsed="false">
      <c r="A74" s="19"/>
      <c r="B74" s="19"/>
      <c r="C74" s="19"/>
      <c r="D74" s="19"/>
      <c r="E74" s="19"/>
      <c r="F74" s="19"/>
      <c r="G74" s="19"/>
      <c r="H74" s="19"/>
      <c r="I74" s="19"/>
      <c r="J74" s="19"/>
      <c r="K74" s="19"/>
      <c r="L74" s="19" t="s">
        <v>0</v>
      </c>
      <c r="M74" s="19"/>
      <c r="N74" s="19"/>
      <c r="O74" s="19"/>
      <c r="P74" s="19"/>
      <c r="Q74" s="19"/>
      <c r="R74" s="19"/>
      <c r="S74" s="19"/>
      <c r="T74" s="19"/>
      <c r="U74" s="19"/>
      <c r="V74" s="19"/>
      <c r="W74" s="19"/>
      <c r="X74" s="19"/>
      <c r="Y74" s="19"/>
      <c r="Z74" s="19"/>
      <c r="AA74" s="19"/>
    </row>
    <row r="75" customFormat="false" ht="15" hidden="false" customHeight="true" outlineLevel="0" collapsed="false">
      <c r="A75" s="19"/>
      <c r="B75" s="44" t="s">
        <v>430</v>
      </c>
      <c r="C75" s="46"/>
      <c r="D75" s="46"/>
      <c r="E75" s="46"/>
      <c r="F75" s="46"/>
      <c r="G75" s="45"/>
      <c r="H75" s="19"/>
      <c r="I75" s="19"/>
      <c r="J75" s="19"/>
      <c r="K75" s="19"/>
      <c r="L75" s="19"/>
      <c r="M75" s="19"/>
      <c r="N75" s="19"/>
      <c r="O75" s="19"/>
      <c r="P75" s="19"/>
      <c r="Q75" s="19"/>
      <c r="R75" s="19"/>
      <c r="S75" s="19"/>
      <c r="T75" s="19"/>
      <c r="U75" s="19"/>
      <c r="V75" s="19"/>
      <c r="W75" s="19"/>
      <c r="X75" s="19"/>
      <c r="Y75" s="19"/>
      <c r="Z75" s="19"/>
      <c r="AA75" s="19"/>
    </row>
    <row r="76" customFormat="false" ht="12" hidden="false" customHeight="true" outlineLevel="0" collapsed="false">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customFormat="false" ht="12" hidden="false" customHeight="true" outlineLevel="0" collapsed="false">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customFormat="false" ht="12" hidden="false" customHeight="true" outlineLevel="0" collapsed="false">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customFormat="false" ht="12" hidden="false" customHeight="true" outlineLevel="0" collapsed="false">
      <c r="A79" s="19"/>
      <c r="B79" s="19"/>
      <c r="C79" s="307" t="s">
        <v>326</v>
      </c>
      <c r="D79" s="266"/>
      <c r="E79" s="266"/>
      <c r="F79" s="266"/>
      <c r="G79" s="266"/>
      <c r="H79" s="266"/>
      <c r="I79" s="266"/>
      <c r="J79" s="266"/>
      <c r="K79" s="266"/>
      <c r="L79" s="266"/>
      <c r="M79" s="267"/>
      <c r="N79" s="19"/>
      <c r="O79" s="19"/>
      <c r="P79" s="19"/>
      <c r="Q79" s="19"/>
      <c r="R79" s="19"/>
      <c r="S79" s="19"/>
      <c r="T79" s="19"/>
      <c r="U79" s="19"/>
      <c r="V79" s="19"/>
      <c r="W79" s="19"/>
      <c r="X79" s="19"/>
      <c r="Y79" s="19"/>
      <c r="Z79" s="19"/>
      <c r="AA79" s="19"/>
    </row>
    <row r="80" customFormat="false" ht="12" hidden="false" customHeight="true" outlineLevel="0" collapsed="false">
      <c r="A80" s="19"/>
      <c r="B80" s="19"/>
      <c r="C80" s="268"/>
      <c r="D80" s="49"/>
      <c r="E80" s="49"/>
      <c r="F80" s="49"/>
      <c r="G80" s="49"/>
      <c r="H80" s="49"/>
      <c r="I80" s="49"/>
      <c r="J80" s="49"/>
      <c r="K80" s="49"/>
      <c r="L80" s="49"/>
      <c r="M80" s="269"/>
      <c r="N80" s="19"/>
      <c r="O80" s="19"/>
      <c r="P80" s="19"/>
      <c r="Q80" s="19"/>
      <c r="R80" s="19"/>
      <c r="S80" s="19"/>
      <c r="T80" s="19"/>
      <c r="U80" s="19"/>
      <c r="V80" s="19"/>
      <c r="W80" s="19"/>
      <c r="X80" s="19"/>
      <c r="Y80" s="19"/>
      <c r="Z80" s="19"/>
      <c r="AA80" s="19"/>
    </row>
    <row r="81" customFormat="false" ht="12" hidden="false" customHeight="true" outlineLevel="0" collapsed="false">
      <c r="A81" s="19"/>
      <c r="B81" s="19"/>
      <c r="C81" s="268"/>
      <c r="D81" s="49"/>
      <c r="E81" s="49"/>
      <c r="F81" s="49"/>
      <c r="G81" s="49"/>
      <c r="H81" s="49"/>
      <c r="I81" s="49" t="s">
        <v>370</v>
      </c>
      <c r="J81" s="49"/>
      <c r="K81" s="49" t="s">
        <v>431</v>
      </c>
      <c r="L81" s="49"/>
      <c r="M81" s="269"/>
      <c r="N81" s="19"/>
      <c r="O81" s="19"/>
      <c r="P81" s="19"/>
      <c r="Q81" s="19"/>
      <c r="R81" s="19"/>
      <c r="S81" s="19"/>
      <c r="T81" s="19"/>
      <c r="U81" s="19"/>
      <c r="V81" s="19"/>
      <c r="W81" s="19"/>
      <c r="X81" s="19"/>
      <c r="Y81" s="19"/>
      <c r="Z81" s="19"/>
      <c r="AA81" s="19"/>
    </row>
    <row r="82" customFormat="false" ht="12" hidden="false" customHeight="true" outlineLevel="0" collapsed="false">
      <c r="A82" s="19"/>
      <c r="B82" s="19"/>
      <c r="C82" s="268"/>
      <c r="D82" s="49"/>
      <c r="E82" s="49"/>
      <c r="F82" s="49"/>
      <c r="G82" s="49"/>
      <c r="H82" s="49"/>
      <c r="I82" s="49"/>
      <c r="J82" s="49"/>
      <c r="K82" s="49"/>
      <c r="L82" s="49"/>
      <c r="M82" s="269"/>
      <c r="N82" s="19"/>
      <c r="O82" s="19"/>
      <c r="P82" s="19"/>
      <c r="Q82" s="19"/>
      <c r="R82" s="19"/>
      <c r="S82" s="19"/>
      <c r="T82" s="19"/>
      <c r="U82" s="19"/>
      <c r="V82" s="19"/>
      <c r="W82" s="19"/>
      <c r="X82" s="19"/>
      <c r="Y82" s="19"/>
      <c r="Z82" s="19"/>
      <c r="AA82" s="19"/>
    </row>
    <row r="83" customFormat="false" ht="12" hidden="false" customHeight="true" outlineLevel="0" collapsed="false">
      <c r="A83" s="19"/>
      <c r="B83" s="19"/>
      <c r="C83" s="268"/>
      <c r="D83" s="49"/>
      <c r="E83" s="49"/>
      <c r="F83" s="49"/>
      <c r="G83" s="49"/>
      <c r="H83" s="49"/>
      <c r="I83" s="49"/>
      <c r="J83" s="49"/>
      <c r="K83" s="49"/>
      <c r="L83" s="49"/>
      <c r="M83" s="269"/>
      <c r="N83" s="19"/>
      <c r="O83" s="19"/>
      <c r="P83" s="19"/>
      <c r="Q83" s="19"/>
      <c r="R83" s="19"/>
      <c r="S83" s="19"/>
      <c r="T83" s="19"/>
      <c r="U83" s="19"/>
      <c r="V83" s="19"/>
      <c r="W83" s="19"/>
      <c r="X83" s="19"/>
      <c r="Y83" s="19"/>
      <c r="Z83" s="19"/>
      <c r="AA83" s="19"/>
    </row>
    <row r="84" customFormat="false" ht="12" hidden="false" customHeight="true" outlineLevel="0" collapsed="false">
      <c r="A84" s="19"/>
      <c r="B84" s="19"/>
      <c r="C84" s="268"/>
      <c r="D84" s="49"/>
      <c r="E84" s="49"/>
      <c r="F84" s="49"/>
      <c r="G84" s="49"/>
      <c r="H84" s="49"/>
      <c r="I84" s="49"/>
      <c r="J84" s="49"/>
      <c r="K84" s="49"/>
      <c r="L84" s="49"/>
      <c r="M84" s="269"/>
      <c r="N84" s="19"/>
      <c r="O84" s="19"/>
      <c r="P84" s="19"/>
      <c r="Q84" s="19"/>
      <c r="R84" s="19"/>
      <c r="S84" s="19"/>
      <c r="T84" s="19"/>
      <c r="U84" s="19"/>
      <c r="V84" s="19"/>
      <c r="W84" s="19"/>
      <c r="X84" s="19"/>
      <c r="Y84" s="19"/>
      <c r="Z84" s="19"/>
      <c r="AA84" s="19"/>
    </row>
    <row r="85" customFormat="false" ht="12" hidden="false" customHeight="true" outlineLevel="0" collapsed="false">
      <c r="A85" s="19"/>
      <c r="B85" s="19"/>
      <c r="C85" s="268"/>
      <c r="D85" s="271" t="s">
        <v>372</v>
      </c>
      <c r="E85" s="49"/>
      <c r="F85" s="271" t="s">
        <v>373</v>
      </c>
      <c r="G85" s="49"/>
      <c r="H85" s="271" t="s">
        <v>374</v>
      </c>
      <c r="I85" s="49"/>
      <c r="J85" s="49"/>
      <c r="K85" s="49"/>
      <c r="L85" s="49"/>
      <c r="M85" s="269"/>
      <c r="N85" s="19"/>
      <c r="O85" s="19"/>
      <c r="P85" s="19"/>
      <c r="Q85" s="19"/>
      <c r="R85" s="19"/>
      <c r="S85" s="19"/>
      <c r="T85" s="19"/>
      <c r="U85" s="19"/>
      <c r="V85" s="19"/>
      <c r="W85" s="19"/>
      <c r="X85" s="19"/>
      <c r="Y85" s="19"/>
      <c r="Z85" s="19"/>
      <c r="AA85" s="19"/>
    </row>
    <row r="86" customFormat="false" ht="12" hidden="false" customHeight="true" outlineLevel="0" collapsed="false">
      <c r="A86" s="19"/>
      <c r="B86" s="19"/>
      <c r="C86" s="268"/>
      <c r="D86" s="49"/>
      <c r="E86" s="49"/>
      <c r="F86" s="49"/>
      <c r="G86" s="49"/>
      <c r="H86" s="49"/>
      <c r="I86" s="49"/>
      <c r="J86" s="49"/>
      <c r="K86" s="49"/>
      <c r="L86" s="49"/>
      <c r="M86" s="269"/>
      <c r="N86" s="19"/>
      <c r="O86" s="19"/>
      <c r="P86" s="19"/>
      <c r="Q86" s="19"/>
      <c r="R86" s="19"/>
      <c r="S86" s="19"/>
      <c r="T86" s="19"/>
      <c r="U86" s="19"/>
      <c r="V86" s="19"/>
      <c r="W86" s="19"/>
      <c r="X86" s="19"/>
      <c r="Y86" s="19"/>
      <c r="Z86" s="19"/>
      <c r="AA86" s="19"/>
    </row>
    <row r="87" customFormat="false" ht="12" hidden="false" customHeight="true" outlineLevel="0" collapsed="false">
      <c r="A87" s="19"/>
      <c r="B87" s="19"/>
      <c r="C87" s="268"/>
      <c r="D87" s="271" t="s">
        <v>375</v>
      </c>
      <c r="E87" s="49"/>
      <c r="F87" s="271" t="s">
        <v>376</v>
      </c>
      <c r="G87" s="49"/>
      <c r="H87" s="49"/>
      <c r="I87" s="49"/>
      <c r="J87" s="49"/>
      <c r="K87" s="49"/>
      <c r="L87" s="49"/>
      <c r="M87" s="269"/>
      <c r="N87" s="19"/>
      <c r="O87" s="19"/>
      <c r="P87" s="19"/>
      <c r="Q87" s="19"/>
      <c r="R87" s="19"/>
      <c r="S87" s="19"/>
      <c r="T87" s="19"/>
      <c r="U87" s="19"/>
      <c r="V87" s="19"/>
      <c r="W87" s="19"/>
      <c r="X87" s="19"/>
      <c r="Y87" s="19"/>
      <c r="Z87" s="19"/>
      <c r="AA87" s="19"/>
    </row>
    <row r="88" customFormat="false" ht="12" hidden="false" customHeight="true" outlineLevel="0" collapsed="false">
      <c r="A88" s="19"/>
      <c r="B88" s="19"/>
      <c r="C88" s="268"/>
      <c r="D88" s="49"/>
      <c r="E88" s="49"/>
      <c r="F88" s="49"/>
      <c r="G88" s="49"/>
      <c r="H88" s="49"/>
      <c r="I88" s="49"/>
      <c r="J88" s="49"/>
      <c r="K88" s="49"/>
      <c r="L88" s="49"/>
      <c r="M88" s="269"/>
      <c r="N88" s="19"/>
      <c r="O88" s="19"/>
      <c r="P88" s="19"/>
      <c r="Q88" s="19"/>
      <c r="R88" s="19"/>
      <c r="S88" s="19"/>
      <c r="T88" s="19"/>
      <c r="U88" s="19"/>
      <c r="V88" s="19"/>
      <c r="W88" s="19"/>
      <c r="X88" s="19"/>
      <c r="Y88" s="19"/>
      <c r="Z88" s="19"/>
      <c r="AA88" s="19"/>
    </row>
    <row r="89" customFormat="false" ht="12" hidden="false" customHeight="true" outlineLevel="0" collapsed="false">
      <c r="A89" s="19"/>
      <c r="B89" s="19"/>
      <c r="C89" s="268"/>
      <c r="D89" s="49"/>
      <c r="E89" s="49"/>
      <c r="F89" s="49"/>
      <c r="G89" s="49"/>
      <c r="H89" s="49"/>
      <c r="I89" s="49"/>
      <c r="J89" s="49"/>
      <c r="K89" s="49"/>
      <c r="L89" s="49"/>
      <c r="M89" s="269"/>
      <c r="N89" s="19"/>
      <c r="O89" s="19"/>
      <c r="P89" s="19"/>
      <c r="Q89" s="19"/>
      <c r="R89" s="19"/>
      <c r="S89" s="19"/>
      <c r="T89" s="19"/>
      <c r="U89" s="19"/>
      <c r="V89" s="19"/>
      <c r="W89" s="19"/>
      <c r="X89" s="19"/>
      <c r="Y89" s="19"/>
      <c r="Z89" s="19"/>
      <c r="AA89" s="19"/>
    </row>
    <row r="90" customFormat="false" ht="12" hidden="false" customHeight="true" outlineLevel="0" collapsed="false">
      <c r="A90" s="19"/>
      <c r="B90" s="19"/>
      <c r="C90" s="268"/>
      <c r="D90" s="49"/>
      <c r="E90" s="49"/>
      <c r="F90" s="49"/>
      <c r="G90" s="49"/>
      <c r="H90" s="49"/>
      <c r="I90" s="49"/>
      <c r="J90" s="49"/>
      <c r="K90" s="49"/>
      <c r="L90" s="49"/>
      <c r="M90" s="269"/>
      <c r="N90" s="19"/>
      <c r="O90" s="19"/>
      <c r="P90" s="19"/>
      <c r="Q90" s="19"/>
      <c r="R90" s="19"/>
      <c r="S90" s="19"/>
      <c r="T90" s="19"/>
      <c r="U90" s="19"/>
      <c r="V90" s="19"/>
      <c r="W90" s="19"/>
      <c r="X90" s="19"/>
      <c r="Y90" s="19"/>
      <c r="Z90" s="19"/>
      <c r="AA90" s="19"/>
    </row>
    <row r="91" customFormat="false" ht="12" hidden="false" customHeight="true" outlineLevel="0" collapsed="false">
      <c r="A91" s="19"/>
      <c r="B91" s="19"/>
      <c r="C91" s="268"/>
      <c r="D91" s="49" t="s">
        <v>377</v>
      </c>
      <c r="E91" s="49"/>
      <c r="F91" s="49"/>
      <c r="G91" s="49"/>
      <c r="H91" s="49"/>
      <c r="I91" s="49"/>
      <c r="J91" s="49"/>
      <c r="K91" s="49"/>
      <c r="L91" s="49"/>
      <c r="M91" s="269"/>
      <c r="N91" s="19"/>
      <c r="O91" s="19"/>
      <c r="P91" s="19"/>
      <c r="Q91" s="19"/>
      <c r="R91" s="19"/>
      <c r="S91" s="19"/>
      <c r="T91" s="19"/>
      <c r="U91" s="19"/>
      <c r="V91" s="19"/>
      <c r="W91" s="19"/>
      <c r="X91" s="19"/>
      <c r="Y91" s="19"/>
      <c r="Z91" s="19"/>
      <c r="AA91" s="19"/>
    </row>
    <row r="92" customFormat="false" ht="12" hidden="false" customHeight="true" outlineLevel="0" collapsed="false">
      <c r="A92" s="19"/>
      <c r="B92" s="19"/>
      <c r="C92" s="268"/>
      <c r="D92" s="49"/>
      <c r="E92" s="49"/>
      <c r="F92" s="49"/>
      <c r="G92" s="49"/>
      <c r="H92" s="49"/>
      <c r="I92" s="49"/>
      <c r="J92" s="49"/>
      <c r="K92" s="49"/>
      <c r="L92" s="49"/>
      <c r="M92" s="269"/>
      <c r="N92" s="19"/>
      <c r="O92" s="19"/>
      <c r="P92" s="19"/>
      <c r="Q92" s="19"/>
      <c r="R92" s="19"/>
      <c r="S92" s="19"/>
      <c r="T92" s="19"/>
      <c r="U92" s="19"/>
      <c r="V92" s="19"/>
      <c r="W92" s="19"/>
      <c r="X92" s="19"/>
      <c r="Y92" s="19"/>
      <c r="Z92" s="19"/>
      <c r="AA92" s="19"/>
    </row>
    <row r="93" customFormat="false" ht="12" hidden="false" customHeight="true" outlineLevel="0" collapsed="false">
      <c r="A93" s="19"/>
      <c r="B93" s="19"/>
      <c r="C93" s="268"/>
      <c r="D93" s="308" t="s">
        <v>432</v>
      </c>
      <c r="E93" s="49"/>
      <c r="F93" s="49"/>
      <c r="G93" s="49"/>
      <c r="H93" s="49"/>
      <c r="I93" s="49"/>
      <c r="J93" s="49"/>
      <c r="K93" s="49"/>
      <c r="L93" s="49"/>
      <c r="M93" s="269"/>
      <c r="N93" s="19"/>
      <c r="O93" s="19"/>
      <c r="P93" s="19"/>
      <c r="Q93" s="19"/>
      <c r="R93" s="19"/>
      <c r="S93" s="19"/>
      <c r="T93" s="19"/>
      <c r="U93" s="19"/>
      <c r="V93" s="19"/>
      <c r="W93" s="19"/>
      <c r="X93" s="19"/>
      <c r="Y93" s="19"/>
      <c r="Z93" s="19"/>
      <c r="AA93" s="19"/>
    </row>
    <row r="94" customFormat="false" ht="12" hidden="false" customHeight="true" outlineLevel="0" collapsed="false">
      <c r="A94" s="19"/>
      <c r="B94" s="19"/>
      <c r="C94" s="268"/>
      <c r="D94" s="49" t="s">
        <v>379</v>
      </c>
      <c r="E94" s="49"/>
      <c r="F94" s="49"/>
      <c r="G94" s="309"/>
      <c r="H94" s="49"/>
      <c r="I94" s="49"/>
      <c r="J94" s="49"/>
      <c r="K94" s="49"/>
      <c r="L94" s="49"/>
      <c r="M94" s="269"/>
      <c r="N94" s="19"/>
      <c r="O94" s="19"/>
      <c r="P94" s="19"/>
      <c r="Q94" s="19"/>
      <c r="R94" s="19"/>
      <c r="S94" s="19"/>
      <c r="T94" s="19"/>
      <c r="U94" s="19"/>
      <c r="V94" s="19"/>
      <c r="W94" s="19"/>
      <c r="X94" s="19"/>
      <c r="Y94" s="19"/>
      <c r="Z94" s="19"/>
      <c r="AA94" s="19"/>
    </row>
    <row r="95" customFormat="false" ht="12" hidden="false" customHeight="true" outlineLevel="0" collapsed="false">
      <c r="A95" s="19"/>
      <c r="B95" s="19"/>
      <c r="C95" s="268"/>
      <c r="D95" s="49" t="s">
        <v>433</v>
      </c>
      <c r="E95" s="49"/>
      <c r="F95" s="49"/>
      <c r="G95" s="49"/>
      <c r="H95" s="49"/>
      <c r="I95" s="49"/>
      <c r="J95" s="49"/>
      <c r="K95" s="49"/>
      <c r="L95" s="49"/>
      <c r="M95" s="269"/>
      <c r="N95" s="19"/>
      <c r="O95" s="19"/>
      <c r="P95" s="19"/>
      <c r="Q95" s="19"/>
      <c r="R95" s="19"/>
      <c r="S95" s="19"/>
      <c r="T95" s="19"/>
      <c r="U95" s="19"/>
      <c r="V95" s="19"/>
      <c r="W95" s="19"/>
      <c r="X95" s="19"/>
      <c r="Y95" s="19"/>
      <c r="Z95" s="19"/>
      <c r="AA95" s="19"/>
    </row>
    <row r="96" customFormat="false" ht="12" hidden="false" customHeight="true" outlineLevel="0" collapsed="false">
      <c r="A96" s="19"/>
      <c r="B96" s="19"/>
      <c r="C96" s="268"/>
      <c r="D96" s="49" t="s">
        <v>434</v>
      </c>
      <c r="E96" s="49"/>
      <c r="F96" s="49"/>
      <c r="G96" s="49"/>
      <c r="H96" s="49"/>
      <c r="I96" s="49"/>
      <c r="J96" s="49"/>
      <c r="K96" s="49"/>
      <c r="L96" s="49"/>
      <c r="M96" s="269"/>
      <c r="N96" s="19"/>
      <c r="O96" s="19"/>
      <c r="P96" s="19"/>
      <c r="Q96" s="19"/>
      <c r="R96" s="19"/>
      <c r="S96" s="19"/>
      <c r="T96" s="19"/>
      <c r="U96" s="19"/>
      <c r="V96" s="19"/>
      <c r="W96" s="19"/>
      <c r="X96" s="19"/>
      <c r="Y96" s="19"/>
      <c r="Z96" s="19"/>
      <c r="AA96" s="19"/>
    </row>
    <row r="97" customFormat="false" ht="12" hidden="false" customHeight="true" outlineLevel="0" collapsed="false">
      <c r="A97" s="19"/>
      <c r="B97" s="19"/>
      <c r="C97" s="268"/>
      <c r="D97" s="49" t="s">
        <v>382</v>
      </c>
      <c r="E97" s="49"/>
      <c r="F97" s="49"/>
      <c r="G97" s="49"/>
      <c r="H97" s="49"/>
      <c r="I97" s="49"/>
      <c r="J97" s="49"/>
      <c r="K97" s="49"/>
      <c r="L97" s="49"/>
      <c r="M97" s="269"/>
      <c r="N97" s="19"/>
      <c r="O97" s="19"/>
      <c r="P97" s="19"/>
      <c r="Q97" s="19"/>
      <c r="R97" s="19"/>
      <c r="S97" s="19"/>
      <c r="T97" s="19"/>
      <c r="U97" s="19"/>
      <c r="V97" s="19"/>
      <c r="W97" s="19"/>
      <c r="X97" s="19"/>
      <c r="Y97" s="19"/>
      <c r="Z97" s="19"/>
      <c r="AA97" s="19"/>
    </row>
    <row r="98" customFormat="false" ht="12" hidden="false" customHeight="true" outlineLevel="0" collapsed="false">
      <c r="A98" s="19"/>
      <c r="B98" s="19"/>
      <c r="C98" s="268"/>
      <c r="D98" s="49" t="s">
        <v>435</v>
      </c>
      <c r="E98" s="49"/>
      <c r="F98" s="49"/>
      <c r="G98" s="49"/>
      <c r="H98" s="49"/>
      <c r="I98" s="49"/>
      <c r="J98" s="49"/>
      <c r="K98" s="49"/>
      <c r="L98" s="49"/>
      <c r="M98" s="269"/>
      <c r="N98" s="19"/>
      <c r="O98" s="19"/>
      <c r="P98" s="19"/>
      <c r="Q98" s="19"/>
      <c r="R98" s="19"/>
      <c r="S98" s="19"/>
      <c r="T98" s="19"/>
      <c r="U98" s="19"/>
      <c r="V98" s="19"/>
      <c r="W98" s="19"/>
      <c r="X98" s="19"/>
      <c r="Y98" s="19"/>
      <c r="Z98" s="19"/>
      <c r="AA98" s="19"/>
    </row>
    <row r="99" customFormat="false" ht="12" hidden="false" customHeight="true" outlineLevel="0" collapsed="false">
      <c r="A99" s="19"/>
      <c r="B99" s="19"/>
      <c r="C99" s="268"/>
      <c r="D99" s="49" t="s">
        <v>384</v>
      </c>
      <c r="E99" s="49"/>
      <c r="F99" s="49"/>
      <c r="G99" s="49"/>
      <c r="H99" s="49"/>
      <c r="I99" s="210" t="s">
        <v>60</v>
      </c>
      <c r="J99" s="49" t="s">
        <v>0</v>
      </c>
      <c r="K99" s="49"/>
      <c r="L99" s="49"/>
      <c r="M99" s="269"/>
      <c r="N99" s="19"/>
      <c r="O99" s="19"/>
      <c r="P99" s="19"/>
      <c r="Q99" s="19"/>
      <c r="R99" s="19"/>
      <c r="S99" s="19"/>
      <c r="T99" s="19"/>
      <c r="U99" s="19"/>
      <c r="V99" s="19"/>
      <c r="W99" s="19"/>
      <c r="X99" s="19"/>
      <c r="Y99" s="19"/>
      <c r="Z99" s="19"/>
      <c r="AA99" s="19"/>
    </row>
    <row r="100" customFormat="false" ht="12" hidden="false" customHeight="true" outlineLevel="0" collapsed="false">
      <c r="A100" s="19"/>
      <c r="B100" s="19"/>
      <c r="C100" s="268"/>
      <c r="D100" s="310" t="s">
        <v>436</v>
      </c>
      <c r="E100" s="49"/>
      <c r="F100" s="49"/>
      <c r="G100" s="49"/>
      <c r="H100" s="49"/>
      <c r="I100" s="49"/>
      <c r="J100" s="49"/>
      <c r="K100" s="49"/>
      <c r="L100" s="49"/>
      <c r="M100" s="269"/>
      <c r="N100" s="19"/>
      <c r="O100" s="19"/>
      <c r="P100" s="19"/>
      <c r="Q100" s="19"/>
      <c r="R100" s="19"/>
      <c r="S100" s="19"/>
      <c r="T100" s="19"/>
      <c r="U100" s="19"/>
      <c r="V100" s="19"/>
      <c r="W100" s="19"/>
      <c r="X100" s="19"/>
      <c r="Y100" s="19"/>
      <c r="Z100" s="19"/>
      <c r="AA100" s="19"/>
    </row>
    <row r="101" customFormat="false" ht="12" hidden="false" customHeight="true" outlineLevel="0" collapsed="false">
      <c r="A101" s="19"/>
      <c r="B101" s="19"/>
      <c r="C101" s="268"/>
      <c r="D101" s="49" t="s">
        <v>379</v>
      </c>
      <c r="E101" s="49"/>
      <c r="F101" s="49"/>
      <c r="G101" s="49"/>
      <c r="H101" s="49"/>
      <c r="I101" s="49"/>
      <c r="J101" s="49"/>
      <c r="K101" s="49"/>
      <c r="L101" s="49"/>
      <c r="M101" s="269"/>
      <c r="N101" s="19"/>
      <c r="O101" s="19"/>
      <c r="P101" s="19"/>
      <c r="Q101" s="19"/>
      <c r="R101" s="19"/>
      <c r="S101" s="19"/>
      <c r="T101" s="19"/>
      <c r="U101" s="19"/>
      <c r="V101" s="19"/>
      <c r="W101" s="19"/>
      <c r="X101" s="19"/>
      <c r="Y101" s="19"/>
      <c r="Z101" s="19"/>
      <c r="AA101" s="19"/>
    </row>
    <row r="102" customFormat="false" ht="12" hidden="false" customHeight="true" outlineLevel="0" collapsed="false">
      <c r="A102" s="19"/>
      <c r="B102" s="19"/>
      <c r="C102" s="268"/>
      <c r="D102" s="49"/>
      <c r="E102" s="49" t="s">
        <v>387</v>
      </c>
      <c r="F102" s="49"/>
      <c r="G102" s="49"/>
      <c r="H102" s="49"/>
      <c r="I102" s="49"/>
      <c r="J102" s="49"/>
      <c r="K102" s="49"/>
      <c r="L102" s="49"/>
      <c r="M102" s="269"/>
      <c r="N102" s="19"/>
      <c r="O102" s="19"/>
      <c r="P102" s="19"/>
      <c r="Q102" s="19"/>
      <c r="R102" s="19"/>
      <c r="S102" s="19"/>
      <c r="T102" s="19"/>
      <c r="U102" s="19"/>
      <c r="V102" s="19"/>
      <c r="W102" s="19"/>
      <c r="X102" s="19"/>
      <c r="Y102" s="19"/>
      <c r="Z102" s="19"/>
      <c r="AA102" s="19"/>
    </row>
    <row r="103" customFormat="false" ht="12" hidden="false" customHeight="true" outlineLevel="0" collapsed="false">
      <c r="A103" s="19"/>
      <c r="B103" s="19"/>
      <c r="C103" s="268"/>
      <c r="D103" s="49"/>
      <c r="E103" s="49" t="s">
        <v>388</v>
      </c>
      <c r="F103" s="49"/>
      <c r="G103" s="49"/>
      <c r="H103" s="49"/>
      <c r="I103" s="49"/>
      <c r="J103" s="49"/>
      <c r="K103" s="49"/>
      <c r="L103" s="49"/>
      <c r="M103" s="269"/>
      <c r="N103" s="19"/>
      <c r="O103" s="19"/>
      <c r="P103" s="19"/>
      <c r="Q103" s="19"/>
      <c r="R103" s="19"/>
      <c r="S103" s="19"/>
      <c r="T103" s="19"/>
      <c r="U103" s="19"/>
      <c r="V103" s="19"/>
      <c r="W103" s="19"/>
      <c r="X103" s="19"/>
      <c r="Y103" s="19"/>
      <c r="Z103" s="19"/>
      <c r="AA103" s="19"/>
    </row>
    <row r="104" customFormat="false" ht="12" hidden="false" customHeight="true" outlineLevel="0" collapsed="false">
      <c r="A104" s="19"/>
      <c r="B104" s="19"/>
      <c r="C104" s="268"/>
      <c r="D104" s="49"/>
      <c r="E104" s="49" t="s">
        <v>389</v>
      </c>
      <c r="F104" s="49"/>
      <c r="G104" s="49"/>
      <c r="H104" s="49"/>
      <c r="I104" s="49"/>
      <c r="J104" s="49"/>
      <c r="K104" s="49"/>
      <c r="L104" s="49"/>
      <c r="M104" s="269"/>
      <c r="N104" s="19"/>
      <c r="O104" s="19"/>
      <c r="P104" s="19"/>
      <c r="Q104" s="19"/>
      <c r="R104" s="19"/>
      <c r="S104" s="19"/>
      <c r="T104" s="19"/>
      <c r="U104" s="19"/>
      <c r="V104" s="19"/>
      <c r="W104" s="19"/>
      <c r="X104" s="19"/>
      <c r="Y104" s="19"/>
      <c r="Z104" s="19"/>
      <c r="AA104" s="19"/>
    </row>
    <row r="105" customFormat="false" ht="12" hidden="false" customHeight="true" outlineLevel="0" collapsed="false">
      <c r="A105" s="19"/>
      <c r="B105" s="19"/>
      <c r="C105" s="268"/>
      <c r="D105" s="49"/>
      <c r="E105" s="49"/>
      <c r="F105" s="49"/>
      <c r="G105" s="49"/>
      <c r="H105" s="49"/>
      <c r="I105" s="49"/>
      <c r="J105" s="49"/>
      <c r="K105" s="49"/>
      <c r="L105" s="49"/>
      <c r="M105" s="269"/>
      <c r="N105" s="19"/>
      <c r="O105" s="19"/>
      <c r="P105" s="19"/>
      <c r="Q105" s="19"/>
      <c r="R105" s="19"/>
      <c r="S105" s="19"/>
      <c r="T105" s="19"/>
      <c r="U105" s="19"/>
      <c r="V105" s="19"/>
      <c r="W105" s="19"/>
      <c r="X105" s="19"/>
      <c r="Y105" s="19"/>
      <c r="Z105" s="19"/>
      <c r="AA105" s="19"/>
    </row>
    <row r="106" customFormat="false" ht="12" hidden="false" customHeight="true" outlineLevel="0" collapsed="false">
      <c r="A106" s="19"/>
      <c r="B106" s="19"/>
      <c r="C106" s="268"/>
      <c r="D106" s="49"/>
      <c r="E106" s="49"/>
      <c r="F106" s="49"/>
      <c r="G106" s="49"/>
      <c r="H106" s="49"/>
      <c r="I106" s="49"/>
      <c r="J106" s="49"/>
      <c r="K106" s="49"/>
      <c r="L106" s="49"/>
      <c r="M106" s="269"/>
      <c r="N106" s="19"/>
      <c r="O106" s="19"/>
      <c r="P106" s="19"/>
      <c r="Q106" s="19"/>
      <c r="R106" s="19"/>
      <c r="S106" s="19"/>
      <c r="T106" s="19"/>
      <c r="U106" s="19"/>
      <c r="V106" s="19"/>
      <c r="W106" s="19"/>
      <c r="X106" s="19"/>
      <c r="Y106" s="19"/>
      <c r="Z106" s="19"/>
      <c r="AA106" s="19"/>
    </row>
    <row r="107" customFormat="false" ht="12" hidden="false" customHeight="true" outlineLevel="0" collapsed="false">
      <c r="A107" s="19"/>
      <c r="B107" s="19"/>
      <c r="C107" s="268"/>
      <c r="D107" s="49" t="s">
        <v>390</v>
      </c>
      <c r="E107" s="49"/>
      <c r="F107" s="49"/>
      <c r="G107" s="49"/>
      <c r="H107" s="210" t="s">
        <v>60</v>
      </c>
      <c r="I107" s="49"/>
      <c r="J107" s="49"/>
      <c r="K107" s="49"/>
      <c r="L107" s="49"/>
      <c r="M107" s="269"/>
      <c r="N107" s="19"/>
      <c r="O107" s="19"/>
      <c r="P107" s="19"/>
      <c r="Q107" s="19"/>
      <c r="R107" s="19"/>
      <c r="S107" s="19"/>
      <c r="T107" s="19"/>
      <c r="U107" s="19"/>
      <c r="V107" s="19"/>
      <c r="W107" s="19"/>
      <c r="X107" s="19"/>
      <c r="Y107" s="19"/>
      <c r="Z107" s="19"/>
      <c r="AA107" s="19"/>
    </row>
    <row r="108" customFormat="false" ht="12" hidden="false" customHeight="true" outlineLevel="0" collapsed="false">
      <c r="A108" s="19"/>
      <c r="B108" s="19"/>
      <c r="C108" s="268"/>
      <c r="D108" s="49"/>
      <c r="E108" s="49"/>
      <c r="F108" s="49"/>
      <c r="G108" s="49"/>
      <c r="H108" s="49"/>
      <c r="I108" s="49"/>
      <c r="J108" s="49"/>
      <c r="K108" s="49"/>
      <c r="L108" s="49"/>
      <c r="M108" s="269"/>
      <c r="N108" s="19"/>
      <c r="O108" s="19"/>
      <c r="P108" s="19"/>
      <c r="Q108" s="19"/>
      <c r="R108" s="19"/>
      <c r="S108" s="19"/>
      <c r="T108" s="19"/>
      <c r="U108" s="19"/>
      <c r="V108" s="19"/>
      <c r="W108" s="19"/>
      <c r="X108" s="19"/>
      <c r="Y108" s="19"/>
      <c r="Z108" s="19"/>
      <c r="AA108" s="19"/>
    </row>
    <row r="109" customFormat="false" ht="12" hidden="false" customHeight="true" outlineLevel="0" collapsed="false">
      <c r="A109" s="19"/>
      <c r="B109" s="19"/>
      <c r="C109" s="268"/>
      <c r="D109" s="270" t="s">
        <v>0</v>
      </c>
      <c r="E109" s="49" t="s">
        <v>335</v>
      </c>
      <c r="F109" s="49"/>
      <c r="G109" s="49"/>
      <c r="H109" s="49"/>
      <c r="I109" s="49"/>
      <c r="J109" s="272" t="n">
        <v>0.15</v>
      </c>
      <c r="K109" s="49" t="s">
        <v>315</v>
      </c>
      <c r="L109" s="49"/>
      <c r="M109" s="269"/>
      <c r="N109" s="19"/>
      <c r="O109" s="19"/>
      <c r="P109" s="19"/>
      <c r="Q109" s="19"/>
      <c r="R109" s="19"/>
      <c r="S109" s="19"/>
      <c r="T109" s="19"/>
      <c r="U109" s="19"/>
      <c r="V109" s="19"/>
      <c r="W109" s="19"/>
      <c r="X109" s="19"/>
      <c r="Y109" s="19"/>
      <c r="Z109" s="19"/>
      <c r="AA109" s="19"/>
    </row>
    <row r="110" customFormat="false" ht="12" hidden="false" customHeight="true" outlineLevel="0" collapsed="false">
      <c r="A110" s="19"/>
      <c r="B110" s="19"/>
      <c r="C110" s="268"/>
      <c r="D110" s="49"/>
      <c r="E110" s="49" t="s">
        <v>336</v>
      </c>
      <c r="F110" s="49"/>
      <c r="G110" s="49"/>
      <c r="H110" s="49"/>
      <c r="I110" s="49"/>
      <c r="J110" s="272" t="n">
        <v>0</v>
      </c>
      <c r="K110" s="49" t="s">
        <v>315</v>
      </c>
      <c r="L110" s="49"/>
      <c r="M110" s="269"/>
      <c r="N110" s="19"/>
      <c r="O110" s="19"/>
      <c r="P110" s="19"/>
      <c r="Q110" s="19"/>
      <c r="R110" s="19"/>
      <c r="S110" s="19"/>
      <c r="T110" s="19"/>
      <c r="U110" s="19"/>
      <c r="V110" s="19"/>
      <c r="W110" s="19"/>
      <c r="X110" s="19"/>
      <c r="Y110" s="19"/>
      <c r="Z110" s="19"/>
      <c r="AA110" s="19"/>
    </row>
    <row r="111" customFormat="false" ht="12" hidden="false" customHeight="true" outlineLevel="0" collapsed="false">
      <c r="A111" s="19"/>
      <c r="B111" s="19"/>
      <c r="C111" s="268"/>
      <c r="D111" s="49"/>
      <c r="E111" s="49" t="s">
        <v>337</v>
      </c>
      <c r="F111" s="49"/>
      <c r="G111" s="49"/>
      <c r="H111" s="49"/>
      <c r="I111" s="49"/>
      <c r="J111" s="272" t="n">
        <v>0</v>
      </c>
      <c r="K111" s="49" t="s">
        <v>315</v>
      </c>
      <c r="L111" s="49"/>
      <c r="M111" s="269"/>
      <c r="N111" s="19"/>
      <c r="O111" s="19"/>
      <c r="P111" s="19"/>
      <c r="Q111" s="19"/>
      <c r="R111" s="19"/>
      <c r="S111" s="19"/>
      <c r="T111" s="19"/>
      <c r="U111" s="19"/>
      <c r="V111" s="19"/>
      <c r="W111" s="19"/>
      <c r="X111" s="19"/>
      <c r="Y111" s="19"/>
      <c r="Z111" s="19"/>
      <c r="AA111" s="19"/>
    </row>
    <row r="112" customFormat="false" ht="12" hidden="false" customHeight="true" outlineLevel="0" collapsed="false">
      <c r="A112" s="19"/>
      <c r="B112" s="19"/>
      <c r="C112" s="268"/>
      <c r="D112" s="49"/>
      <c r="E112" s="49"/>
      <c r="F112" s="49"/>
      <c r="G112" s="49"/>
      <c r="H112" s="49"/>
      <c r="I112" s="49"/>
      <c r="J112" s="311"/>
      <c r="K112" s="49"/>
      <c r="L112" s="49"/>
      <c r="M112" s="269"/>
      <c r="N112" s="19"/>
      <c r="O112" s="19"/>
      <c r="P112" s="19"/>
      <c r="Q112" s="19"/>
      <c r="R112" s="19"/>
      <c r="S112" s="19"/>
      <c r="T112" s="19"/>
      <c r="U112" s="19"/>
      <c r="V112" s="19"/>
      <c r="W112" s="19"/>
      <c r="X112" s="19"/>
      <c r="Y112" s="19"/>
      <c r="Z112" s="19"/>
      <c r="AA112" s="19"/>
    </row>
    <row r="113" customFormat="false" ht="12" hidden="false" customHeight="true" outlineLevel="0" collapsed="false">
      <c r="A113" s="19"/>
      <c r="B113" s="19"/>
      <c r="C113" s="268"/>
      <c r="D113" s="49"/>
      <c r="E113" s="49" t="s">
        <v>362</v>
      </c>
      <c r="F113" s="49"/>
      <c r="G113" s="49"/>
      <c r="H113" s="49"/>
      <c r="I113" s="49"/>
      <c r="J113" s="312" t="s">
        <v>437</v>
      </c>
      <c r="K113" s="252"/>
      <c r="L113" s="49"/>
      <c r="M113" s="269"/>
      <c r="N113" s="19"/>
      <c r="O113" s="19"/>
      <c r="P113" s="19"/>
      <c r="Q113" s="19"/>
      <c r="R113" s="19"/>
      <c r="S113" s="19"/>
      <c r="T113" s="19"/>
      <c r="U113" s="19"/>
      <c r="V113" s="19"/>
      <c r="W113" s="19"/>
      <c r="X113" s="19"/>
      <c r="Y113" s="19"/>
      <c r="Z113" s="19"/>
      <c r="AA113" s="19"/>
    </row>
    <row r="114" customFormat="false" ht="12" hidden="false" customHeight="true" outlineLevel="0" collapsed="false">
      <c r="A114" s="19"/>
      <c r="B114" s="19"/>
      <c r="C114" s="268"/>
      <c r="D114" s="49"/>
      <c r="E114" s="49" t="s">
        <v>364</v>
      </c>
      <c r="F114" s="49"/>
      <c r="G114" s="49"/>
      <c r="H114" s="277" t="n">
        <v>1.33</v>
      </c>
      <c r="I114" s="49" t="s">
        <v>438</v>
      </c>
      <c r="J114" s="286" t="n">
        <f aca="false">Frequency!M16</f>
        <v>437.45</v>
      </c>
      <c r="K114" s="49" t="s">
        <v>314</v>
      </c>
      <c r="L114" s="49"/>
      <c r="M114" s="269"/>
      <c r="N114" s="19"/>
      <c r="O114" s="19"/>
      <c r="P114" s="19"/>
      <c r="Q114" s="19"/>
      <c r="R114" s="19"/>
      <c r="S114" s="19"/>
      <c r="T114" s="19"/>
      <c r="U114" s="19"/>
      <c r="V114" s="19"/>
      <c r="W114" s="19"/>
      <c r="X114" s="19"/>
      <c r="Y114" s="19"/>
      <c r="Z114" s="19"/>
      <c r="AA114" s="19"/>
    </row>
    <row r="115" customFormat="false" ht="12" hidden="false" customHeight="true" outlineLevel="0" collapsed="false">
      <c r="A115" s="19"/>
      <c r="B115" s="19"/>
      <c r="C115" s="268"/>
      <c r="D115" s="49"/>
      <c r="E115" s="49"/>
      <c r="F115" s="49"/>
      <c r="G115" s="49"/>
      <c r="H115" s="49"/>
      <c r="I115" s="49"/>
      <c r="J115" s="49"/>
      <c r="K115" s="49"/>
      <c r="L115" s="49"/>
      <c r="M115" s="269"/>
      <c r="N115" s="19"/>
      <c r="O115" s="19"/>
      <c r="P115" s="19"/>
      <c r="Q115" s="19"/>
      <c r="R115" s="19"/>
      <c r="S115" s="19"/>
      <c r="T115" s="19"/>
      <c r="U115" s="19"/>
      <c r="V115" s="19"/>
      <c r="W115" s="19"/>
      <c r="X115" s="19"/>
      <c r="Y115" s="19"/>
      <c r="Z115" s="19"/>
      <c r="AA115" s="19"/>
    </row>
    <row r="116" customFormat="false" ht="12" hidden="false" customHeight="true" outlineLevel="0" collapsed="false">
      <c r="A116" s="19"/>
      <c r="B116" s="19"/>
      <c r="C116" s="268"/>
      <c r="D116" s="49"/>
      <c r="E116" s="49" t="s">
        <v>392</v>
      </c>
      <c r="F116" s="49"/>
      <c r="G116" s="49"/>
      <c r="H116" s="49"/>
      <c r="I116" s="49" t="s">
        <v>393</v>
      </c>
      <c r="J116" s="49" t="n">
        <f aca="false">J109*H114</f>
        <v>0.1995</v>
      </c>
      <c r="K116" s="49" t="s">
        <v>258</v>
      </c>
      <c r="L116" s="49"/>
      <c r="M116" s="269"/>
      <c r="N116" s="19"/>
      <c r="O116" s="19"/>
      <c r="P116" s="19"/>
      <c r="Q116" s="19"/>
      <c r="R116" s="19"/>
      <c r="S116" s="19"/>
      <c r="T116" s="19"/>
      <c r="U116" s="19"/>
      <c r="V116" s="19"/>
      <c r="W116" s="19"/>
      <c r="X116" s="19"/>
      <c r="Y116" s="19"/>
      <c r="Z116" s="19"/>
      <c r="AA116" s="19"/>
    </row>
    <row r="117" customFormat="false" ht="12" hidden="false" customHeight="true" outlineLevel="0" collapsed="false">
      <c r="A117" s="19"/>
      <c r="B117" s="19"/>
      <c r="C117" s="268"/>
      <c r="D117" s="49"/>
      <c r="E117" s="49" t="s">
        <v>394</v>
      </c>
      <c r="F117" s="49"/>
      <c r="G117" s="49"/>
      <c r="H117" s="49"/>
      <c r="I117" s="49" t="s">
        <v>395</v>
      </c>
      <c r="J117" s="49" t="n">
        <f aca="false">J110*H114</f>
        <v>0</v>
      </c>
      <c r="K117" s="49" t="s">
        <v>258</v>
      </c>
      <c r="L117" s="49"/>
      <c r="M117" s="269"/>
      <c r="N117" s="19"/>
      <c r="O117" s="19"/>
      <c r="P117" s="19"/>
      <c r="Q117" s="19"/>
      <c r="R117" s="19"/>
      <c r="S117" s="19"/>
      <c r="T117" s="19"/>
      <c r="U117" s="19"/>
      <c r="V117" s="19"/>
      <c r="W117" s="19"/>
      <c r="X117" s="19"/>
      <c r="Y117" s="19"/>
      <c r="Z117" s="19"/>
      <c r="AA117" s="19"/>
    </row>
    <row r="118" customFormat="false" ht="12" hidden="false" customHeight="true" outlineLevel="0" collapsed="false">
      <c r="A118" s="19"/>
      <c r="B118" s="19"/>
      <c r="C118" s="268"/>
      <c r="D118" s="49"/>
      <c r="E118" s="49" t="s">
        <v>396</v>
      </c>
      <c r="F118" s="49"/>
      <c r="G118" s="49"/>
      <c r="H118" s="49"/>
      <c r="I118" s="49" t="s">
        <v>397</v>
      </c>
      <c r="J118" s="49" t="n">
        <f aca="false">J111*H114</f>
        <v>0</v>
      </c>
      <c r="K118" s="49" t="s">
        <v>258</v>
      </c>
      <c r="L118" s="49"/>
      <c r="M118" s="269"/>
      <c r="N118" s="19"/>
      <c r="O118" s="19"/>
      <c r="P118" s="19"/>
      <c r="Q118" s="19"/>
      <c r="R118" s="19"/>
      <c r="S118" s="19"/>
      <c r="T118" s="19"/>
      <c r="U118" s="19"/>
      <c r="V118" s="19"/>
      <c r="W118" s="19"/>
      <c r="X118" s="19"/>
      <c r="Y118" s="19"/>
      <c r="Z118" s="19"/>
      <c r="AA118" s="19"/>
    </row>
    <row r="119" customFormat="false" ht="12" hidden="false" customHeight="true" outlineLevel="0" collapsed="false">
      <c r="A119" s="19"/>
      <c r="B119" s="19"/>
      <c r="C119" s="268"/>
      <c r="D119" s="49"/>
      <c r="E119" s="49" t="s">
        <v>398</v>
      </c>
      <c r="F119" s="49"/>
      <c r="G119" s="49"/>
      <c r="H119" s="49"/>
      <c r="I119" s="49" t="s">
        <v>399</v>
      </c>
      <c r="J119" s="287" t="n">
        <v>0.15</v>
      </c>
      <c r="K119" s="49" t="s">
        <v>258</v>
      </c>
      <c r="L119" s="49"/>
      <c r="M119" s="269"/>
      <c r="N119" s="19"/>
      <c r="O119" s="19"/>
      <c r="P119" s="19"/>
      <c r="Q119" s="19"/>
      <c r="R119" s="19"/>
      <c r="S119" s="19"/>
      <c r="T119" s="19"/>
      <c r="U119" s="19"/>
      <c r="V119" s="19"/>
      <c r="W119" s="19"/>
      <c r="X119" s="19"/>
      <c r="Y119" s="19"/>
      <c r="Z119" s="19"/>
      <c r="AA119" s="19"/>
    </row>
    <row r="120" customFormat="false" ht="12" hidden="false" customHeight="true" outlineLevel="0" collapsed="false">
      <c r="A120" s="19"/>
      <c r="B120" s="19"/>
      <c r="C120" s="268"/>
      <c r="D120" s="49"/>
      <c r="E120" s="49" t="s">
        <v>400</v>
      </c>
      <c r="F120" s="49"/>
      <c r="G120" s="49"/>
      <c r="H120" s="49"/>
      <c r="I120" s="49" t="s">
        <v>401</v>
      </c>
      <c r="J120" s="287" t="n">
        <v>0</v>
      </c>
      <c r="K120" s="49" t="s">
        <v>258</v>
      </c>
      <c r="L120" s="49"/>
      <c r="M120" s="269"/>
      <c r="N120" s="19"/>
      <c r="O120" s="288" t="s">
        <v>439</v>
      </c>
      <c r="P120" s="289"/>
      <c r="Q120" s="290"/>
      <c r="R120" s="290"/>
      <c r="S120" s="290"/>
      <c r="T120" s="290"/>
      <c r="U120" s="290"/>
      <c r="V120" s="313"/>
      <c r="W120" s="19"/>
      <c r="X120" s="19"/>
      <c r="Y120" s="19"/>
      <c r="Z120" s="19"/>
      <c r="AA120" s="19"/>
    </row>
    <row r="121" customFormat="false" ht="12" hidden="false" customHeight="true" outlineLevel="0" collapsed="false">
      <c r="A121" s="19"/>
      <c r="B121" s="19"/>
      <c r="C121" s="268"/>
      <c r="D121" s="49"/>
      <c r="E121" s="49" t="s">
        <v>402</v>
      </c>
      <c r="F121" s="49"/>
      <c r="G121" s="49"/>
      <c r="H121" s="50" t="n">
        <v>6</v>
      </c>
      <c r="I121" s="49" t="s">
        <v>440</v>
      </c>
      <c r="J121" s="314" t="n">
        <f aca="false">H121*0.05</f>
        <v>0.3</v>
      </c>
      <c r="K121" s="49" t="s">
        <v>258</v>
      </c>
      <c r="L121" s="49"/>
      <c r="M121" s="269"/>
      <c r="N121" s="19"/>
      <c r="O121" s="291"/>
      <c r="P121" s="292"/>
      <c r="Q121" s="292"/>
      <c r="R121" s="292"/>
      <c r="S121" s="292"/>
      <c r="T121" s="292"/>
      <c r="U121" s="292"/>
      <c r="V121" s="293"/>
      <c r="W121" s="19"/>
      <c r="X121" s="19"/>
      <c r="Y121" s="19"/>
      <c r="Z121" s="19"/>
      <c r="AA121" s="19"/>
    </row>
    <row r="122" customFormat="false" ht="12" hidden="false" customHeight="true" outlineLevel="0" collapsed="false">
      <c r="A122" s="19"/>
      <c r="B122" s="19"/>
      <c r="C122" s="268"/>
      <c r="D122" s="49"/>
      <c r="E122" s="49" t="s">
        <v>404</v>
      </c>
      <c r="F122" s="49"/>
      <c r="G122" s="49"/>
      <c r="H122" s="49"/>
      <c r="I122" s="49"/>
      <c r="J122" s="257" t="n">
        <f aca="false">0.5+0.2</f>
        <v>0.7</v>
      </c>
      <c r="K122" s="187"/>
      <c r="L122" s="49"/>
      <c r="M122" s="269"/>
      <c r="N122" s="19"/>
      <c r="O122" s="291"/>
      <c r="P122" s="292" t="s">
        <v>441</v>
      </c>
      <c r="Q122" s="292"/>
      <c r="R122" s="292"/>
      <c r="S122" s="292"/>
      <c r="T122" s="292"/>
      <c r="U122" s="292"/>
      <c r="V122" s="293"/>
      <c r="W122" s="19"/>
      <c r="X122" s="19"/>
      <c r="Y122" s="19"/>
      <c r="Z122" s="19"/>
      <c r="AA122" s="19"/>
    </row>
    <row r="123" customFormat="false" ht="12" hidden="false" customHeight="true" outlineLevel="0" collapsed="false">
      <c r="A123" s="19"/>
      <c r="B123" s="19"/>
      <c r="C123" s="268"/>
      <c r="D123" s="49"/>
      <c r="E123" s="49"/>
      <c r="F123" s="49"/>
      <c r="G123" s="49"/>
      <c r="H123" s="49"/>
      <c r="I123" s="49"/>
      <c r="J123" s="49"/>
      <c r="K123" s="49"/>
      <c r="L123" s="49"/>
      <c r="M123" s="269"/>
      <c r="N123" s="19"/>
      <c r="O123" s="291"/>
      <c r="P123" s="292"/>
      <c r="Q123" s="292"/>
      <c r="R123" s="292"/>
      <c r="S123" s="292"/>
      <c r="T123" s="292"/>
      <c r="U123" s="292"/>
      <c r="V123" s="293"/>
      <c r="W123" s="19"/>
      <c r="X123" s="19"/>
      <c r="Y123" s="19"/>
      <c r="Z123" s="19"/>
      <c r="AA123" s="19"/>
    </row>
    <row r="124" customFormat="false" ht="12" hidden="false" customHeight="true" outlineLevel="0" collapsed="false">
      <c r="A124" s="19"/>
      <c r="B124" s="19"/>
      <c r="C124" s="268"/>
      <c r="D124" s="49"/>
      <c r="E124" s="49" t="s">
        <v>406</v>
      </c>
      <c r="F124" s="49"/>
      <c r="G124" s="49"/>
      <c r="H124" s="49"/>
      <c r="I124" s="49"/>
      <c r="J124" s="315" t="n">
        <f aca="false">SUM(J116:J122)</f>
        <v>1.3495</v>
      </c>
      <c r="K124" s="49" t="s">
        <v>258</v>
      </c>
      <c r="L124" s="49"/>
      <c r="M124" s="269"/>
      <c r="N124" s="19"/>
      <c r="O124" s="291"/>
      <c r="P124" s="292"/>
      <c r="Q124" s="292" t="s">
        <v>442</v>
      </c>
      <c r="R124" s="292"/>
      <c r="S124" s="292"/>
      <c r="T124" s="257" t="n">
        <v>437.5</v>
      </c>
      <c r="U124" s="316" t="s">
        <v>314</v>
      </c>
      <c r="V124" s="293"/>
      <c r="W124" s="19"/>
      <c r="X124" s="19"/>
      <c r="Y124" s="19"/>
      <c r="Z124" s="19"/>
      <c r="AA124" s="19"/>
    </row>
    <row r="125" customFormat="false" ht="12" hidden="false" customHeight="true" outlineLevel="0" collapsed="false">
      <c r="A125" s="19"/>
      <c r="B125" s="19"/>
      <c r="C125" s="268"/>
      <c r="D125" s="49"/>
      <c r="E125" s="49"/>
      <c r="F125" s="49"/>
      <c r="G125" s="49"/>
      <c r="H125" s="49"/>
      <c r="I125" s="49"/>
      <c r="J125" s="49"/>
      <c r="K125" s="49"/>
      <c r="L125" s="49"/>
      <c r="M125" s="269"/>
      <c r="N125" s="19"/>
      <c r="O125" s="291"/>
      <c r="P125" s="292"/>
      <c r="Q125" s="292"/>
      <c r="R125" s="292"/>
      <c r="S125" s="292"/>
      <c r="T125" s="292"/>
      <c r="U125" s="292"/>
      <c r="V125" s="293"/>
      <c r="W125" s="19"/>
      <c r="X125" s="19"/>
      <c r="Y125" s="19"/>
      <c r="Z125" s="19"/>
      <c r="AA125" s="19"/>
    </row>
    <row r="126" customFormat="false" ht="12" hidden="false" customHeight="true" outlineLevel="0" collapsed="false">
      <c r="A126" s="19"/>
      <c r="B126" s="19"/>
      <c r="C126" s="268"/>
      <c r="D126" s="49" t="s">
        <v>408</v>
      </c>
      <c r="E126" s="49"/>
      <c r="F126" s="49"/>
      <c r="G126" s="49"/>
      <c r="H126" s="49"/>
      <c r="I126" s="310" t="s">
        <v>409</v>
      </c>
      <c r="J126" s="294" t="n">
        <f aca="false">10^-(J124/10)</f>
        <v>0.732908907538081</v>
      </c>
      <c r="K126" s="49"/>
      <c r="L126" s="49"/>
      <c r="M126" s="269"/>
      <c r="N126" s="19"/>
      <c r="O126" s="291"/>
      <c r="P126" s="292"/>
      <c r="Q126" s="292" t="s">
        <v>443</v>
      </c>
      <c r="R126" s="292"/>
      <c r="S126" s="292"/>
      <c r="T126" s="317" t="n">
        <f aca="false">80*((T124/1000)/0.25)^-2.75+2.7</f>
        <v>19.86861861</v>
      </c>
      <c r="U126" s="318" t="s">
        <v>412</v>
      </c>
      <c r="V126" s="293"/>
      <c r="W126" s="19"/>
      <c r="X126" s="19"/>
      <c r="Y126" s="19"/>
      <c r="Z126" s="19"/>
      <c r="AA126" s="19"/>
    </row>
    <row r="127" customFormat="false" ht="12" hidden="false" customHeight="true" outlineLevel="0" collapsed="false">
      <c r="A127" s="19"/>
      <c r="B127" s="19"/>
      <c r="C127" s="268"/>
      <c r="D127" s="49"/>
      <c r="E127" s="49"/>
      <c r="F127" s="49"/>
      <c r="G127" s="49"/>
      <c r="H127" s="49"/>
      <c r="I127" s="49"/>
      <c r="J127" s="49"/>
      <c r="K127" s="49"/>
      <c r="L127" s="49"/>
      <c r="M127" s="269"/>
      <c r="N127" s="19"/>
      <c r="O127" s="291"/>
      <c r="P127" s="292"/>
      <c r="Q127" s="292"/>
      <c r="R127" s="292"/>
      <c r="S127" s="292"/>
      <c r="T127" s="292"/>
      <c r="U127" s="296"/>
      <c r="V127" s="293"/>
      <c r="W127" s="19"/>
      <c r="X127" s="19"/>
      <c r="Y127" s="19"/>
      <c r="Z127" s="19"/>
      <c r="AA127" s="19"/>
    </row>
    <row r="128" customFormat="false" ht="12" hidden="false" customHeight="true" outlineLevel="0" collapsed="false">
      <c r="A128" s="19"/>
      <c r="B128" s="19"/>
      <c r="C128" s="268"/>
      <c r="D128" s="49" t="s">
        <v>413</v>
      </c>
      <c r="E128" s="49"/>
      <c r="F128" s="49"/>
      <c r="G128" s="210" t="s">
        <v>60</v>
      </c>
      <c r="H128" s="49"/>
      <c r="I128" s="49" t="s">
        <v>414</v>
      </c>
      <c r="J128" s="272" t="n">
        <v>501</v>
      </c>
      <c r="K128" s="49" t="s">
        <v>412</v>
      </c>
      <c r="L128" s="49"/>
      <c r="M128" s="269"/>
      <c r="N128" s="19"/>
      <c r="O128" s="291"/>
      <c r="P128" s="292"/>
      <c r="Q128" s="292" t="s">
        <v>444</v>
      </c>
      <c r="R128" s="292"/>
      <c r="S128" s="292"/>
      <c r="T128" s="317" t="n">
        <f aca="false">380*((T124/1000)/0.25)^-2.75+2.7</f>
        <v>84.25093839</v>
      </c>
      <c r="U128" s="318" t="s">
        <v>412</v>
      </c>
      <c r="V128" s="293"/>
      <c r="W128" s="19"/>
      <c r="X128" s="19"/>
      <c r="Y128" s="19"/>
      <c r="Z128" s="19"/>
      <c r="AA128" s="19"/>
    </row>
    <row r="129" customFormat="false" ht="12" hidden="false" customHeight="true" outlineLevel="0" collapsed="false">
      <c r="A129" s="19"/>
      <c r="B129" s="19"/>
      <c r="C129" s="268"/>
      <c r="D129" s="49"/>
      <c r="E129" s="49"/>
      <c r="F129" s="49"/>
      <c r="G129" s="49"/>
      <c r="H129" s="49"/>
      <c r="I129" s="49"/>
      <c r="J129" s="49"/>
      <c r="K129" s="49"/>
      <c r="L129" s="49"/>
      <c r="M129" s="269"/>
      <c r="N129" s="19"/>
      <c r="O129" s="291"/>
      <c r="P129" s="292"/>
      <c r="Q129" s="292"/>
      <c r="R129" s="292"/>
      <c r="S129" s="292"/>
      <c r="T129" s="292"/>
      <c r="U129" s="292"/>
      <c r="V129" s="293"/>
      <c r="W129" s="19"/>
      <c r="X129" s="19"/>
      <c r="Y129" s="19"/>
      <c r="Z129" s="19"/>
      <c r="AA129" s="19"/>
    </row>
    <row r="130" customFormat="false" ht="12" hidden="false" customHeight="true" outlineLevel="0" collapsed="false">
      <c r="A130" s="19"/>
      <c r="B130" s="19"/>
      <c r="C130" s="268"/>
      <c r="D130" s="49" t="s">
        <v>445</v>
      </c>
      <c r="E130" s="49"/>
      <c r="F130" s="49"/>
      <c r="G130" s="49"/>
      <c r="H130" s="49"/>
      <c r="I130" s="49" t="s">
        <v>411</v>
      </c>
      <c r="J130" s="272" t="n">
        <v>290</v>
      </c>
      <c r="K130" s="49" t="s">
        <v>412</v>
      </c>
      <c r="L130" s="49"/>
      <c r="M130" s="269"/>
      <c r="N130" s="19"/>
      <c r="O130" s="291"/>
      <c r="P130" s="292"/>
      <c r="Q130" s="292"/>
      <c r="R130" s="292"/>
      <c r="S130" s="292"/>
      <c r="T130" s="292"/>
      <c r="U130" s="292"/>
      <c r="V130" s="293"/>
      <c r="W130" s="19"/>
      <c r="X130" s="19"/>
      <c r="Y130" s="19"/>
      <c r="Z130" s="19"/>
      <c r="AA130" s="19"/>
    </row>
    <row r="131" customFormat="false" ht="12" hidden="false" customHeight="true" outlineLevel="0" collapsed="false">
      <c r="A131" s="19"/>
      <c r="B131" s="19"/>
      <c r="C131" s="268"/>
      <c r="D131" s="49"/>
      <c r="E131" s="49"/>
      <c r="F131" s="49"/>
      <c r="G131" s="49"/>
      <c r="H131" s="49"/>
      <c r="I131" s="49"/>
      <c r="J131" s="49"/>
      <c r="K131" s="49"/>
      <c r="L131" s="49"/>
      <c r="M131" s="269"/>
      <c r="N131" s="19"/>
      <c r="O131" s="291"/>
      <c r="P131" s="292" t="s">
        <v>446</v>
      </c>
      <c r="Q131" s="292"/>
      <c r="R131" s="292"/>
      <c r="S131" s="292"/>
      <c r="T131" s="292"/>
      <c r="U131" s="292"/>
      <c r="V131" s="293"/>
      <c r="W131" s="19"/>
      <c r="X131" s="19"/>
      <c r="Y131" s="19"/>
      <c r="Z131" s="19"/>
      <c r="AA131" s="19"/>
    </row>
    <row r="132" customFormat="false" ht="12" hidden="false" customHeight="true" outlineLevel="0" collapsed="false">
      <c r="A132" s="19"/>
      <c r="B132" s="19"/>
      <c r="C132" s="268"/>
      <c r="D132" s="49" t="s">
        <v>418</v>
      </c>
      <c r="E132" s="49"/>
      <c r="F132" s="49"/>
      <c r="G132" s="49"/>
      <c r="H132" s="49"/>
      <c r="I132" s="49" t="s">
        <v>419</v>
      </c>
      <c r="J132" s="272" t="n">
        <v>45</v>
      </c>
      <c r="K132" s="49" t="s">
        <v>412</v>
      </c>
      <c r="L132" s="49"/>
      <c r="M132" s="269"/>
      <c r="N132" s="19"/>
      <c r="O132" s="291"/>
      <c r="P132" s="292"/>
      <c r="Q132" s="292"/>
      <c r="R132" s="292"/>
      <c r="S132" s="292"/>
      <c r="T132" s="292"/>
      <c r="U132" s="292"/>
      <c r="V132" s="293"/>
      <c r="W132" s="19"/>
      <c r="X132" s="19"/>
      <c r="Y132" s="19"/>
      <c r="Z132" s="19"/>
      <c r="AA132" s="19"/>
    </row>
    <row r="133" customFormat="false" ht="12" hidden="false" customHeight="true" outlineLevel="0" collapsed="false">
      <c r="A133" s="19"/>
      <c r="B133" s="19"/>
      <c r="C133" s="268"/>
      <c r="D133" s="49"/>
      <c r="E133" s="49"/>
      <c r="F133" s="49"/>
      <c r="G133" s="49"/>
      <c r="H133" s="49"/>
      <c r="I133" s="49"/>
      <c r="J133" s="49"/>
      <c r="K133" s="49"/>
      <c r="L133" s="49"/>
      <c r="M133" s="269"/>
      <c r="N133" s="19"/>
      <c r="O133" s="291"/>
      <c r="P133" s="292"/>
      <c r="Q133" s="292" t="s">
        <v>447</v>
      </c>
      <c r="R133" s="292"/>
      <c r="S133" s="292"/>
      <c r="T133" s="319" t="n">
        <v>10</v>
      </c>
      <c r="U133" s="187" t="s">
        <v>448</v>
      </c>
      <c r="V133" s="293"/>
      <c r="W133" s="19"/>
      <c r="X133" s="19"/>
      <c r="Y133" s="19"/>
      <c r="Z133" s="19"/>
      <c r="AA133" s="19"/>
    </row>
    <row r="134" customFormat="false" ht="12" hidden="false" customHeight="true" outlineLevel="0" collapsed="false">
      <c r="A134" s="19"/>
      <c r="B134" s="19"/>
      <c r="C134" s="268"/>
      <c r="D134" s="49" t="s">
        <v>421</v>
      </c>
      <c r="E134" s="49"/>
      <c r="F134" s="287" t="n">
        <v>20</v>
      </c>
      <c r="G134" s="49" t="s">
        <v>258</v>
      </c>
      <c r="H134" s="49"/>
      <c r="I134" s="49" t="s">
        <v>422</v>
      </c>
      <c r="J134" s="314" t="n">
        <f aca="false">10^(F134/10)</f>
        <v>100</v>
      </c>
      <c r="K134" s="49"/>
      <c r="L134" s="49"/>
      <c r="M134" s="269"/>
      <c r="N134" s="19"/>
      <c r="O134" s="291"/>
      <c r="P134" s="292"/>
      <c r="Q134" s="292"/>
      <c r="R134" s="292"/>
      <c r="S134" s="292"/>
      <c r="T134" s="292"/>
      <c r="U134" s="292"/>
      <c r="V134" s="293"/>
      <c r="W134" s="19"/>
      <c r="X134" s="19"/>
      <c r="Y134" s="19"/>
      <c r="Z134" s="19"/>
      <c r="AA134" s="19"/>
    </row>
    <row r="135" customFormat="false" ht="12" hidden="false" customHeight="true" outlineLevel="0" collapsed="false">
      <c r="A135" s="19"/>
      <c r="B135" s="19"/>
      <c r="C135" s="268"/>
      <c r="D135" s="49"/>
      <c r="E135" s="49"/>
      <c r="F135" s="320"/>
      <c r="G135" s="49"/>
      <c r="H135" s="49"/>
      <c r="I135" s="49"/>
      <c r="J135" s="314"/>
      <c r="K135" s="49"/>
      <c r="L135" s="49"/>
      <c r="M135" s="269"/>
      <c r="N135" s="19"/>
      <c r="O135" s="291"/>
      <c r="P135" s="210" t="s">
        <v>60</v>
      </c>
      <c r="Q135" s="321" t="s">
        <v>449</v>
      </c>
      <c r="R135" s="292"/>
      <c r="S135" s="292"/>
      <c r="T135" s="257" t="n">
        <v>-132.4</v>
      </c>
      <c r="U135" s="187" t="s">
        <v>333</v>
      </c>
      <c r="V135" s="293"/>
      <c r="W135" s="19"/>
      <c r="X135" s="19"/>
      <c r="Y135" s="19"/>
      <c r="Z135" s="19"/>
      <c r="AA135" s="19"/>
    </row>
    <row r="136" customFormat="false" ht="12" hidden="false" customHeight="true" outlineLevel="0" collapsed="false">
      <c r="A136" s="19"/>
      <c r="B136" s="19"/>
      <c r="C136" s="268"/>
      <c r="D136" s="49" t="s">
        <v>450</v>
      </c>
      <c r="E136" s="49"/>
      <c r="F136" s="320"/>
      <c r="G136" s="210" t="s">
        <v>60</v>
      </c>
      <c r="H136" s="49"/>
      <c r="I136" s="49"/>
      <c r="J136" s="287" t="n">
        <v>12</v>
      </c>
      <c r="K136" s="49" t="s">
        <v>451</v>
      </c>
      <c r="L136" s="49"/>
      <c r="M136" s="269"/>
      <c r="N136" s="19"/>
      <c r="O136" s="291"/>
      <c r="P136" s="292"/>
      <c r="Q136" s="292"/>
      <c r="R136" s="292"/>
      <c r="S136" s="292"/>
      <c r="T136" s="292"/>
      <c r="U136" s="292"/>
      <c r="V136" s="293"/>
      <c r="W136" s="19"/>
      <c r="X136" s="19"/>
      <c r="Y136" s="19"/>
      <c r="Z136" s="19"/>
      <c r="AA136" s="19"/>
    </row>
    <row r="137" customFormat="false" ht="12" hidden="false" customHeight="true" outlineLevel="0" collapsed="false">
      <c r="A137" s="19"/>
      <c r="B137" s="19"/>
      <c r="C137" s="268"/>
      <c r="D137" s="49"/>
      <c r="E137" s="49"/>
      <c r="F137" s="320"/>
      <c r="G137" s="49"/>
      <c r="H137" s="49"/>
      <c r="I137" s="49"/>
      <c r="J137" s="314"/>
      <c r="K137" s="49"/>
      <c r="L137" s="49"/>
      <c r="M137" s="269"/>
      <c r="N137" s="19"/>
      <c r="O137" s="291"/>
      <c r="P137" s="292"/>
      <c r="Q137" s="321" t="s">
        <v>452</v>
      </c>
      <c r="R137" s="292"/>
      <c r="S137" s="292"/>
      <c r="T137" s="317" t="n">
        <f aca="false">10^((T135+198.6-10*LOG10(T133*1000))/10)</f>
        <v>416.8693835</v>
      </c>
      <c r="U137" s="318" t="s">
        <v>412</v>
      </c>
      <c r="V137" s="293"/>
      <c r="W137" s="19"/>
      <c r="X137" s="19"/>
      <c r="Y137" s="19"/>
      <c r="Z137" s="19"/>
      <c r="AA137" s="19"/>
    </row>
    <row r="138" customFormat="false" ht="12" hidden="false" customHeight="true" outlineLevel="0" collapsed="false">
      <c r="A138" s="19"/>
      <c r="B138" s="19"/>
      <c r="C138" s="268"/>
      <c r="D138" s="49" t="s">
        <v>453</v>
      </c>
      <c r="E138" s="49"/>
      <c r="F138" s="320"/>
      <c r="G138" s="49"/>
      <c r="H138" s="49"/>
      <c r="I138" s="49"/>
      <c r="J138" s="319" t="s">
        <v>454</v>
      </c>
      <c r="K138" s="187"/>
      <c r="L138" s="49"/>
      <c r="M138" s="269"/>
      <c r="N138" s="19"/>
      <c r="O138" s="291"/>
      <c r="P138" s="292"/>
      <c r="Q138" s="292"/>
      <c r="R138" s="292"/>
      <c r="S138" s="292"/>
      <c r="T138" s="292"/>
      <c r="U138" s="292"/>
      <c r="V138" s="293"/>
      <c r="W138" s="19"/>
      <c r="X138" s="19"/>
      <c r="Y138" s="19"/>
      <c r="Z138" s="19"/>
      <c r="AA138" s="19"/>
    </row>
    <row r="139" customFormat="false" ht="12" hidden="false" customHeight="true" outlineLevel="0" collapsed="false">
      <c r="A139" s="19"/>
      <c r="B139" s="19"/>
      <c r="C139" s="268"/>
      <c r="D139" s="49"/>
      <c r="E139" s="49"/>
      <c r="F139" s="320"/>
      <c r="G139" s="49"/>
      <c r="H139" s="49"/>
      <c r="I139" s="49"/>
      <c r="J139" s="314"/>
      <c r="K139" s="49"/>
      <c r="L139" s="49"/>
      <c r="M139" s="269"/>
      <c r="N139" s="19"/>
      <c r="O139" s="291"/>
      <c r="P139" s="292" t="s">
        <v>455</v>
      </c>
      <c r="Q139" s="292"/>
      <c r="R139" s="292"/>
      <c r="S139" s="292"/>
      <c r="T139" s="322" t="n">
        <f aca="false">T126+T137</f>
        <v>436.7380021</v>
      </c>
      <c r="U139" s="323" t="s">
        <v>412</v>
      </c>
      <c r="V139" s="293"/>
      <c r="W139" s="19"/>
      <c r="X139" s="19"/>
      <c r="Y139" s="19"/>
      <c r="Z139" s="19"/>
      <c r="AA139" s="19"/>
    </row>
    <row r="140" customFormat="false" ht="12" hidden="false" customHeight="true" outlineLevel="0" collapsed="false">
      <c r="A140" s="19"/>
      <c r="B140" s="19"/>
      <c r="C140" s="268"/>
      <c r="D140" s="49" t="s">
        <v>456</v>
      </c>
      <c r="E140" s="49"/>
      <c r="F140" s="320"/>
      <c r="G140" s="49"/>
      <c r="H140" s="49"/>
      <c r="I140" s="49"/>
      <c r="J140" s="324" t="n">
        <v>0.092</v>
      </c>
      <c r="K140" s="49" t="s">
        <v>457</v>
      </c>
      <c r="L140" s="49"/>
      <c r="M140" s="269"/>
      <c r="N140" s="19"/>
      <c r="O140" s="291"/>
      <c r="P140" s="292"/>
      <c r="Q140" s="292"/>
      <c r="R140" s="292"/>
      <c r="S140" s="292"/>
      <c r="T140" s="305"/>
      <c r="U140" s="305"/>
      <c r="V140" s="293"/>
      <c r="W140" s="19"/>
      <c r="X140" s="19"/>
      <c r="Y140" s="19"/>
      <c r="Z140" s="19"/>
      <c r="AA140" s="19"/>
    </row>
    <row r="141" customFormat="false" ht="12" hidden="false" customHeight="true" outlineLevel="0" collapsed="false">
      <c r="A141" s="19"/>
      <c r="B141" s="19"/>
      <c r="C141" s="268"/>
      <c r="D141" s="49"/>
      <c r="E141" s="49"/>
      <c r="F141" s="320"/>
      <c r="G141" s="49"/>
      <c r="H141" s="49"/>
      <c r="I141" s="49"/>
      <c r="J141" s="314"/>
      <c r="K141" s="49"/>
      <c r="L141" s="49"/>
      <c r="M141" s="269"/>
      <c r="N141" s="19"/>
      <c r="O141" s="291"/>
      <c r="P141" s="292" t="s">
        <v>458</v>
      </c>
      <c r="Q141" s="292"/>
      <c r="R141" s="292"/>
      <c r="S141" s="292"/>
      <c r="T141" s="322" t="n">
        <f aca="false">T128+T137</f>
        <v>501.1203219</v>
      </c>
      <c r="U141" s="323" t="s">
        <v>412</v>
      </c>
      <c r="V141" s="293"/>
      <c r="W141" s="19"/>
      <c r="X141" s="19"/>
      <c r="Y141" s="19"/>
      <c r="Z141" s="19"/>
      <c r="AA141" s="19"/>
    </row>
    <row r="142" customFormat="false" ht="12" hidden="false" customHeight="true" outlineLevel="0" collapsed="false">
      <c r="A142" s="19"/>
      <c r="B142" s="19"/>
      <c r="C142" s="268"/>
      <c r="D142" s="49" t="s">
        <v>459</v>
      </c>
      <c r="E142" s="49"/>
      <c r="F142" s="320"/>
      <c r="G142" s="49"/>
      <c r="H142" s="49"/>
      <c r="I142" s="49"/>
      <c r="J142" s="314" t="n">
        <f aca="false">J136*J140</f>
        <v>1.104</v>
      </c>
      <c r="K142" s="49" t="s">
        <v>258</v>
      </c>
      <c r="L142" s="49"/>
      <c r="M142" s="269"/>
      <c r="N142" s="19"/>
      <c r="O142" s="304"/>
      <c r="P142" s="305"/>
      <c r="Q142" s="305"/>
      <c r="R142" s="305"/>
      <c r="S142" s="305"/>
      <c r="T142" s="305"/>
      <c r="U142" s="305"/>
      <c r="V142" s="306"/>
      <c r="W142" s="19"/>
      <c r="X142" s="19"/>
      <c r="Y142" s="19"/>
      <c r="Z142" s="19"/>
      <c r="AA142" s="19"/>
    </row>
    <row r="143" customFormat="false" ht="12" hidden="false" customHeight="true" outlineLevel="0" collapsed="false">
      <c r="A143" s="19"/>
      <c r="B143" s="19"/>
      <c r="C143" s="268"/>
      <c r="D143" s="49"/>
      <c r="E143" s="49"/>
      <c r="F143" s="49"/>
      <c r="G143" s="49"/>
      <c r="H143" s="49"/>
      <c r="I143" s="49"/>
      <c r="J143" s="49"/>
      <c r="K143" s="49"/>
      <c r="L143" s="49"/>
      <c r="M143" s="269"/>
      <c r="N143" s="19"/>
      <c r="O143" s="19"/>
      <c r="P143" s="19"/>
      <c r="Q143" s="19"/>
      <c r="R143" s="19"/>
      <c r="S143" s="19"/>
      <c r="T143" s="19"/>
      <c r="U143" s="19"/>
      <c r="V143" s="19"/>
      <c r="W143" s="19"/>
      <c r="X143" s="19"/>
      <c r="Y143" s="19"/>
      <c r="Z143" s="19"/>
      <c r="AA143" s="19"/>
    </row>
    <row r="144" customFormat="false" ht="12" hidden="false" customHeight="true" outlineLevel="0" collapsed="false">
      <c r="A144" s="19"/>
      <c r="B144" s="19"/>
      <c r="C144" s="268"/>
      <c r="D144" s="49" t="s">
        <v>460</v>
      </c>
      <c r="E144" s="49"/>
      <c r="F144" s="49"/>
      <c r="G144" s="49"/>
      <c r="H144" s="49"/>
      <c r="I144" s="49" t="s">
        <v>461</v>
      </c>
      <c r="J144" s="272" t="n">
        <v>1000</v>
      </c>
      <c r="K144" s="49" t="s">
        <v>412</v>
      </c>
      <c r="L144" s="49"/>
      <c r="M144" s="269"/>
      <c r="N144" s="19"/>
      <c r="O144" s="19"/>
      <c r="P144" s="19"/>
      <c r="Q144" s="19"/>
      <c r="R144" s="19"/>
      <c r="S144" s="19"/>
      <c r="T144" s="19"/>
      <c r="U144" s="19"/>
      <c r="V144" s="19"/>
      <c r="W144" s="19"/>
      <c r="X144" s="19"/>
      <c r="Y144" s="19"/>
      <c r="Z144" s="19"/>
      <c r="AA144" s="19"/>
    </row>
    <row r="145" customFormat="false" ht="12" hidden="false" customHeight="true" outlineLevel="0" collapsed="false">
      <c r="A145" s="19"/>
      <c r="B145" s="19"/>
      <c r="C145" s="268"/>
      <c r="D145" s="49"/>
      <c r="E145" s="49"/>
      <c r="F145" s="49"/>
      <c r="G145" s="49"/>
      <c r="H145" s="49"/>
      <c r="I145" s="49"/>
      <c r="J145" s="49"/>
      <c r="K145" s="49"/>
      <c r="L145" s="49"/>
      <c r="M145" s="269"/>
      <c r="N145" s="19"/>
      <c r="O145" s="19"/>
      <c r="P145" s="19"/>
      <c r="Q145" s="19"/>
      <c r="R145" s="19"/>
      <c r="S145" s="19"/>
      <c r="T145" s="19"/>
      <c r="U145" s="19"/>
      <c r="V145" s="19"/>
      <c r="W145" s="19"/>
      <c r="X145" s="19"/>
      <c r="Y145" s="19"/>
      <c r="Z145" s="19"/>
      <c r="AA145" s="19"/>
    </row>
    <row r="146" customFormat="false" ht="12" hidden="false" customHeight="true" outlineLevel="0" collapsed="false">
      <c r="A146" s="19"/>
      <c r="B146" s="19"/>
      <c r="C146" s="268"/>
      <c r="D146" s="49"/>
      <c r="E146" s="49"/>
      <c r="F146" s="49"/>
      <c r="G146" s="49"/>
      <c r="H146" s="49"/>
      <c r="I146" s="49"/>
      <c r="J146" s="49"/>
      <c r="K146" s="49"/>
      <c r="L146" s="325"/>
      <c r="M146" s="269"/>
      <c r="N146" s="19"/>
      <c r="O146" s="19"/>
      <c r="P146" s="19"/>
      <c r="Q146" s="19"/>
      <c r="R146" s="19"/>
      <c r="S146" s="19"/>
      <c r="T146" s="19"/>
      <c r="U146" s="19"/>
      <c r="V146" s="19"/>
      <c r="W146" s="19"/>
      <c r="X146" s="19"/>
      <c r="Y146" s="19"/>
      <c r="Z146" s="19"/>
      <c r="AA146" s="19"/>
    </row>
    <row r="147" customFormat="false" ht="12" hidden="false" customHeight="true" outlineLevel="0" collapsed="false">
      <c r="A147" s="19"/>
      <c r="B147" s="19"/>
      <c r="C147" s="268"/>
      <c r="D147" s="49" t="s">
        <v>428</v>
      </c>
      <c r="E147" s="49"/>
      <c r="F147" s="49"/>
      <c r="G147" s="49"/>
      <c r="H147" s="49"/>
      <c r="I147" s="49" t="s">
        <v>429</v>
      </c>
      <c r="J147" s="326" t="n">
        <f aca="false">J128*J126+J130*(1-J126)+J132+(J144/(J134/(10^(J142/10))))</f>
        <v>502.538145690134</v>
      </c>
      <c r="K147" s="49" t="s">
        <v>412</v>
      </c>
      <c r="L147" s="49"/>
      <c r="M147" s="269"/>
      <c r="N147" s="19"/>
      <c r="O147" s="19"/>
      <c r="P147" s="19"/>
      <c r="Q147" s="19"/>
      <c r="R147" s="19"/>
      <c r="S147" s="19"/>
      <c r="T147" s="19"/>
      <c r="U147" s="19"/>
      <c r="V147" s="19"/>
      <c r="W147" s="19"/>
      <c r="X147" s="19"/>
      <c r="Y147" s="19"/>
      <c r="Z147" s="19"/>
      <c r="AA147" s="19"/>
    </row>
    <row r="148" customFormat="false" ht="12" hidden="false" customHeight="true" outlineLevel="0" collapsed="false">
      <c r="A148" s="19"/>
      <c r="B148" s="19"/>
      <c r="C148" s="268"/>
      <c r="D148" s="49"/>
      <c r="E148" s="49"/>
      <c r="F148" s="49"/>
      <c r="G148" s="49"/>
      <c r="H148" s="49"/>
      <c r="I148" s="49"/>
      <c r="J148" s="49"/>
      <c r="K148" s="49"/>
      <c r="L148" s="49"/>
      <c r="M148" s="269"/>
      <c r="N148" s="19"/>
      <c r="O148" s="19"/>
      <c r="P148" s="19"/>
      <c r="Q148" s="19"/>
      <c r="R148" s="19"/>
      <c r="S148" s="19"/>
      <c r="T148" s="19"/>
      <c r="U148" s="19"/>
      <c r="V148" s="19"/>
      <c r="W148" s="19"/>
      <c r="X148" s="19"/>
      <c r="Y148" s="19"/>
      <c r="Z148" s="19"/>
      <c r="AA148" s="19"/>
    </row>
    <row r="149" customFormat="false" ht="12" hidden="false" customHeight="true" outlineLevel="0" collapsed="false">
      <c r="A149" s="19"/>
      <c r="B149" s="19"/>
      <c r="C149" s="268"/>
      <c r="D149" s="49"/>
      <c r="E149" s="49"/>
      <c r="F149" s="49"/>
      <c r="G149" s="49"/>
      <c r="H149" s="49"/>
      <c r="I149" s="49"/>
      <c r="J149" s="49"/>
      <c r="K149" s="49"/>
      <c r="L149" s="49"/>
      <c r="M149" s="269"/>
      <c r="N149" s="19"/>
      <c r="O149" s="19"/>
      <c r="P149" s="19"/>
      <c r="Q149" s="19"/>
      <c r="R149" s="19"/>
      <c r="S149" s="19"/>
      <c r="T149" s="19"/>
      <c r="U149" s="19"/>
      <c r="V149" s="19"/>
      <c r="W149" s="19"/>
      <c r="X149" s="19"/>
      <c r="Y149" s="19"/>
      <c r="Z149" s="19"/>
      <c r="AA149" s="19"/>
    </row>
    <row r="150" customFormat="false" ht="12" hidden="false" customHeight="true" outlineLevel="0" collapsed="false">
      <c r="A150" s="19"/>
      <c r="B150" s="19"/>
      <c r="C150" s="279"/>
      <c r="D150" s="280"/>
      <c r="E150" s="280"/>
      <c r="F150" s="280"/>
      <c r="G150" s="280"/>
      <c r="H150" s="280"/>
      <c r="I150" s="280"/>
      <c r="J150" s="280"/>
      <c r="K150" s="280"/>
      <c r="L150" s="280"/>
      <c r="M150" s="281"/>
      <c r="N150" s="19"/>
      <c r="O150" s="19"/>
      <c r="P150" s="19"/>
      <c r="Q150" s="19"/>
      <c r="R150" s="19"/>
      <c r="S150" s="19"/>
      <c r="T150" s="19"/>
      <c r="U150" s="19"/>
      <c r="V150" s="19"/>
      <c r="W150" s="19"/>
      <c r="X150" s="19"/>
      <c r="Y150" s="19"/>
      <c r="Z150" s="19"/>
      <c r="AA150" s="19"/>
    </row>
    <row r="151" customFormat="false" ht="12" hidden="false" customHeight="true" outlineLevel="0" collapsed="false">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customFormat="false" ht="12" hidden="false" customHeight="true" outlineLevel="0" collapsed="false">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customFormat="false" ht="12" hidden="false" customHeight="true" outlineLevel="0" collapsed="false">
      <c r="A153" s="19"/>
      <c r="B153" s="19"/>
      <c r="C153" s="19"/>
      <c r="D153" s="19"/>
      <c r="E153" s="19"/>
      <c r="F153" s="19"/>
      <c r="G153" s="19"/>
      <c r="H153" s="19"/>
      <c r="I153" s="19"/>
      <c r="J153" s="19"/>
      <c r="K153" s="19"/>
      <c r="L153" s="19" t="s">
        <v>0</v>
      </c>
      <c r="M153" s="19"/>
      <c r="N153" s="19"/>
      <c r="O153" s="19"/>
      <c r="P153" s="19"/>
      <c r="Q153" s="19"/>
      <c r="R153" s="19"/>
      <c r="S153" s="19"/>
      <c r="T153" s="19"/>
      <c r="U153" s="19"/>
      <c r="V153" s="19"/>
      <c r="W153" s="19"/>
      <c r="X153" s="19"/>
      <c r="Y153" s="19"/>
      <c r="Z153" s="19"/>
      <c r="AA153" s="19"/>
    </row>
    <row r="154" customFormat="false" ht="12" hidden="false" customHeight="true" outlineLevel="0" collapsed="false">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customFormat="false" ht="12" hidden="false" customHeight="true" outlineLevel="0" collapsed="false">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customFormat="false" ht="12" hidden="false" customHeight="true" outlineLevel="0" collapsed="false">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customFormat="false" ht="12" hidden="false" customHeight="true" outlineLevel="0" collapsed="false">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customFormat="false" ht="12" hidden="false" customHeight="true" outlineLevel="0" collapsed="false">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customFormat="false" ht="12" hidden="false" customHeight="true" outlineLevel="0" collapsed="false">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customFormat="false" ht="12" hidden="false" customHeight="true" outlineLevel="0" collapsed="false">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customFormat="false" ht="12" hidden="false" customHeight="true" outlineLevel="0" collapsed="false">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customFormat="false" ht="12" hidden="false" customHeight="true" outlineLevel="0" collapsed="false">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customFormat="false" ht="12" hidden="false" customHeight="true" outlineLevel="0" collapsed="false">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customFormat="false" ht="12" hidden="false" customHeight="true" outlineLevel="0" collapsed="false">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customFormat="false" ht="12" hidden="false" customHeight="true" outlineLevel="0" collapsed="false">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customFormat="false" ht="12" hidden="false" customHeight="true" outlineLevel="0" collapsed="false">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customFormat="false" ht="12" hidden="false" customHeight="true" outlineLevel="0" collapsed="false">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customFormat="false" ht="12" hidden="false" customHeight="true" outlineLevel="0" collapsed="false">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customFormat="false" ht="12" hidden="false" customHeight="true" outlineLevel="0" collapsed="false">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customFormat="false" ht="12" hidden="false" customHeight="true" outlineLevel="0" collapsed="false">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customFormat="false" ht="12" hidden="false" customHeight="true" outlineLevel="0" collapsed="false">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customFormat="false" ht="12" hidden="false" customHeight="true" outlineLevel="0" collapsed="false">
      <c r="C172" s="327"/>
      <c r="D172" s="327"/>
      <c r="E172" s="327"/>
      <c r="F172" s="327"/>
      <c r="G172" s="327"/>
      <c r="H172" s="327"/>
      <c r="I172" s="327"/>
      <c r="J172" s="327"/>
      <c r="K172" s="327"/>
      <c r="L172" s="327"/>
      <c r="M172" s="327"/>
    </row>
    <row r="173" customFormat="false" ht="12" hidden="false" customHeight="true" outlineLevel="0" collapsed="false">
      <c r="C173" s="327"/>
      <c r="D173" s="327"/>
      <c r="E173" s="327"/>
      <c r="F173" s="327"/>
      <c r="G173" s="327"/>
      <c r="H173" s="327"/>
      <c r="I173" s="327"/>
      <c r="J173" s="327"/>
      <c r="K173" s="327"/>
      <c r="L173" s="327"/>
      <c r="M173" s="327"/>
    </row>
    <row r="174" customFormat="false" ht="12" hidden="false" customHeight="true" outlineLevel="0" collapsed="false">
      <c r="C174" s="327"/>
      <c r="D174" s="327"/>
      <c r="E174" s="327"/>
      <c r="F174" s="327"/>
      <c r="G174" s="327"/>
      <c r="H174" s="327"/>
      <c r="I174" s="327"/>
      <c r="J174" s="327"/>
      <c r="K174" s="327"/>
      <c r="L174" s="327"/>
      <c r="M174" s="327"/>
    </row>
    <row r="175" customFormat="false" ht="12" hidden="false" customHeight="true" outlineLevel="0" collapsed="false">
      <c r="C175" s="327"/>
      <c r="D175" s="327"/>
      <c r="E175" s="327"/>
      <c r="F175" s="327"/>
      <c r="G175" s="327"/>
      <c r="H175" s="327"/>
      <c r="I175" s="327"/>
      <c r="J175" s="327"/>
      <c r="K175" s="327"/>
      <c r="L175" s="327"/>
      <c r="M175" s="327"/>
    </row>
    <row r="176" customFormat="false" ht="12" hidden="false" customHeight="true" outlineLevel="0" collapsed="false">
      <c r="C176" s="327"/>
      <c r="D176" s="327"/>
      <c r="E176" s="327"/>
      <c r="F176" s="327"/>
      <c r="G176" s="327"/>
      <c r="H176" s="327"/>
      <c r="I176" s="327"/>
      <c r="J176" s="327"/>
      <c r="K176" s="327"/>
      <c r="L176" s="327"/>
      <c r="M176" s="327"/>
    </row>
    <row r="177" customFormat="false" ht="12" hidden="false" customHeight="true" outlineLevel="0" collapsed="false">
      <c r="C177" s="327"/>
      <c r="D177" s="327"/>
      <c r="E177" s="327"/>
      <c r="F177" s="327"/>
      <c r="G177" s="327"/>
      <c r="H177" s="327"/>
      <c r="I177" s="327"/>
      <c r="J177" s="327"/>
      <c r="K177" s="327"/>
      <c r="L177" s="327"/>
      <c r="M177" s="327"/>
    </row>
    <row r="178" customFormat="false" ht="12" hidden="false" customHeight="true" outlineLevel="0" collapsed="false">
      <c r="C178" s="327"/>
      <c r="D178" s="327"/>
      <c r="E178" s="327"/>
      <c r="F178" s="327"/>
      <c r="G178" s="327"/>
      <c r="H178" s="327"/>
      <c r="I178" s="327"/>
      <c r="J178" s="327"/>
      <c r="K178" s="327"/>
      <c r="L178" s="327"/>
      <c r="M178" s="327"/>
    </row>
    <row r="179" customFormat="false" ht="12" hidden="false" customHeight="true" outlineLevel="0" collapsed="false">
      <c r="C179" s="327"/>
      <c r="D179" s="327"/>
      <c r="E179" s="327"/>
      <c r="F179" s="327"/>
      <c r="G179" s="327"/>
      <c r="H179" s="327"/>
      <c r="I179" s="327"/>
      <c r="J179" s="327"/>
      <c r="K179" s="327"/>
      <c r="L179" s="327"/>
      <c r="M179" s="327"/>
    </row>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00"/>
    <pageSetUpPr fitToPage="false"/>
  </sheetPr>
  <dimension ref="A1:Z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61" activeCellId="0" sqref="A61"/>
    </sheetView>
  </sheetViews>
  <sheetFormatPr defaultColWidth="12.6328125" defaultRowHeight="15" customHeight="true" zeroHeight="false" outlineLevelRow="0" outlineLevelCol="0"/>
  <cols>
    <col collapsed="false" customWidth="true" hidden="false" outlineLevel="0" max="4" min="1" style="1" width="8.88"/>
    <col collapsed="false" customWidth="true" hidden="false" outlineLevel="0" max="5" min="5" style="1" width="10.13"/>
    <col collapsed="false" customWidth="true" hidden="false" outlineLevel="0" max="6" min="6" style="1" width="9.88"/>
    <col collapsed="false" customWidth="true" hidden="false" outlineLevel="0" max="7" min="7" style="1" width="10.88"/>
    <col collapsed="false" customWidth="true" hidden="false" outlineLevel="0" max="9" min="8" style="1" width="8.88"/>
    <col collapsed="false" customWidth="true" hidden="false" outlineLevel="0" max="10" min="10" style="1" width="11.25"/>
    <col collapsed="false" customWidth="true" hidden="false" outlineLevel="0" max="11" min="11" style="1" width="10.38"/>
    <col collapsed="false" customWidth="true" hidden="false" outlineLevel="0" max="12" min="12" style="1" width="12.38"/>
    <col collapsed="false" customWidth="true" hidden="false" outlineLevel="0" max="13" min="13" style="1" width="8.88"/>
    <col collapsed="false" customWidth="true" hidden="false" outlineLevel="0" max="14" min="14" style="1" width="11.25"/>
    <col collapsed="false" customWidth="true" hidden="false" outlineLevel="0" max="15" min="15" style="1" width="8.88"/>
    <col collapsed="false" customWidth="true" hidden="false" outlineLevel="0" max="16" min="16" style="1" width="10.88"/>
    <col collapsed="false" customWidth="true" hidden="false" outlineLevel="0" max="17" min="17" style="1" width="9.38"/>
    <col collapsed="false" customWidth="true" hidden="false" outlineLevel="0" max="18" min="18" style="1" width="8.88"/>
    <col collapsed="false" customWidth="true" hidden="false" outlineLevel="0" max="19" min="19" style="1" width="9.38"/>
    <col collapsed="false" customWidth="true" hidden="false" outlineLevel="0" max="20" min="20" style="1" width="8.88"/>
    <col collapsed="false" customWidth="true" hidden="false" outlineLevel="0" max="21" min="21" style="1" width="9.38"/>
    <col collapsed="false" customWidth="true" hidden="false" outlineLevel="0" max="22" min="22" style="1" width="10"/>
    <col collapsed="false" customWidth="true" hidden="false" outlineLevel="0" max="26" min="23" style="1" width="8.88"/>
  </cols>
  <sheetData>
    <row r="1" customFormat="false" ht="18" hidden="false" customHeight="true" outlineLevel="0" collapsed="false">
      <c r="A1" s="39" t="s">
        <v>462</v>
      </c>
      <c r="B1" s="39"/>
      <c r="C1" s="39"/>
      <c r="D1" s="39"/>
      <c r="E1" s="10"/>
      <c r="F1" s="10"/>
      <c r="G1" s="328" t="str">
        <f aca="false">'Title Page'!F3</f>
        <v>Coconut Cubesat</v>
      </c>
      <c r="H1" s="10"/>
      <c r="I1" s="10"/>
      <c r="J1" s="10"/>
      <c r="K1" s="10"/>
      <c r="L1" s="41" t="str">
        <f aca="false">'Title Page'!F23</f>
        <v>2025 June 06</v>
      </c>
      <c r="M1" s="10"/>
      <c r="N1" s="10"/>
      <c r="O1" s="10"/>
      <c r="P1" s="10"/>
      <c r="Q1" s="10"/>
      <c r="R1" s="10"/>
      <c r="S1" s="10"/>
      <c r="T1" s="10"/>
      <c r="U1" s="10"/>
      <c r="V1" s="10"/>
      <c r="W1" s="10"/>
      <c r="X1" s="10"/>
      <c r="Y1" s="10"/>
      <c r="Z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row>
    <row r="3" customFormat="false" ht="15" hidden="false" customHeight="true" outlineLevel="0" collapsed="false">
      <c r="A3" s="329" t="s">
        <v>463</v>
      </c>
      <c r="B3" s="46"/>
      <c r="C3" s="45"/>
      <c r="D3" s="19"/>
      <c r="E3" s="37"/>
      <c r="F3" s="19"/>
      <c r="G3" s="19"/>
      <c r="H3" s="19"/>
      <c r="I3" s="19"/>
      <c r="J3" s="37" t="s">
        <v>0</v>
      </c>
      <c r="K3" s="19"/>
      <c r="L3" s="19"/>
      <c r="M3" s="19"/>
      <c r="N3" s="19"/>
      <c r="O3" s="19"/>
      <c r="P3" s="19"/>
      <c r="Q3" s="19"/>
      <c r="R3" s="19"/>
      <c r="S3" s="19"/>
      <c r="T3" s="19"/>
      <c r="U3" s="19"/>
      <c r="V3" s="19"/>
      <c r="W3" s="19"/>
      <c r="X3" s="19"/>
      <c r="Y3" s="19"/>
      <c r="Z3" s="19"/>
    </row>
    <row r="4" customFormat="false" ht="15" hidden="false" customHeight="true" outlineLevel="0" collapsed="false">
      <c r="A4" s="330"/>
      <c r="B4" s="19"/>
      <c r="C4" s="19"/>
      <c r="D4" s="19"/>
      <c r="E4" s="37"/>
      <c r="F4" s="19"/>
      <c r="G4" s="19"/>
      <c r="H4" s="19"/>
      <c r="I4" s="19"/>
      <c r="J4" s="37"/>
      <c r="K4" s="19"/>
      <c r="L4" s="19"/>
      <c r="M4" s="19"/>
      <c r="N4" s="19"/>
      <c r="O4" s="19"/>
      <c r="P4" s="19"/>
      <c r="Q4" s="19"/>
      <c r="R4" s="19"/>
      <c r="S4" s="19"/>
      <c r="T4" s="19"/>
      <c r="U4" s="19"/>
      <c r="V4" s="19"/>
      <c r="W4" s="19"/>
      <c r="X4" s="19"/>
      <c r="Y4" s="19"/>
      <c r="Z4" s="19"/>
    </row>
    <row r="5" customFormat="false" ht="15" hidden="false" customHeight="true" outlineLevel="0" collapsed="false">
      <c r="A5" s="330"/>
      <c r="B5" s="23" t="s">
        <v>385</v>
      </c>
      <c r="C5" s="19"/>
      <c r="D5" s="19"/>
      <c r="E5" s="37"/>
      <c r="F5" s="19"/>
      <c r="G5" s="19"/>
      <c r="H5" s="19"/>
      <c r="I5" s="19"/>
      <c r="J5" s="37"/>
      <c r="K5" s="19"/>
      <c r="L5" s="19"/>
      <c r="M5" s="19"/>
      <c r="N5" s="19"/>
      <c r="O5" s="19"/>
      <c r="P5" s="19"/>
      <c r="Q5" s="19"/>
      <c r="R5" s="19"/>
      <c r="S5" s="19"/>
      <c r="T5" s="19"/>
      <c r="U5" s="19"/>
      <c r="V5" s="19"/>
      <c r="W5" s="19"/>
      <c r="X5" s="19"/>
      <c r="Y5" s="19"/>
      <c r="Z5" s="19"/>
    </row>
    <row r="6" customFormat="false" ht="15.75" hidden="false" customHeight="true" outlineLevel="0" collapsed="false">
      <c r="A6" s="330"/>
      <c r="B6" s="19"/>
      <c r="C6" s="19"/>
      <c r="D6" s="19"/>
      <c r="E6" s="19"/>
      <c r="F6" s="19"/>
      <c r="G6" s="19"/>
      <c r="H6" s="19"/>
      <c r="I6" s="19"/>
      <c r="J6" s="19"/>
      <c r="K6" s="19"/>
      <c r="L6" s="19"/>
      <c r="M6" s="19"/>
      <c r="N6" s="19"/>
      <c r="O6" s="19"/>
      <c r="P6" s="19"/>
      <c r="Q6" s="19"/>
      <c r="R6" s="19"/>
      <c r="S6" s="19"/>
      <c r="T6" s="19"/>
      <c r="U6" s="19"/>
      <c r="V6" s="19"/>
      <c r="W6" s="19"/>
      <c r="X6" s="19"/>
      <c r="Y6" s="19"/>
      <c r="Z6" s="19"/>
    </row>
    <row r="7" customFormat="false" ht="15.75" hidden="false" customHeight="true" outlineLevel="0" collapsed="false">
      <c r="A7" s="330" t="s">
        <v>0</v>
      </c>
      <c r="B7" s="331" t="s">
        <v>464</v>
      </c>
      <c r="C7" s="332"/>
      <c r="D7" s="266"/>
      <c r="E7" s="266"/>
      <c r="F7" s="266"/>
      <c r="G7" s="266" t="s">
        <v>0</v>
      </c>
      <c r="H7" s="266"/>
      <c r="I7" s="266"/>
      <c r="J7" s="266" t="s">
        <v>0</v>
      </c>
      <c r="K7" s="266"/>
      <c r="L7" s="267"/>
      <c r="M7" s="19"/>
      <c r="N7" s="19"/>
      <c r="O7" s="19"/>
      <c r="P7" s="19"/>
      <c r="Q7" s="19"/>
      <c r="R7" s="19"/>
      <c r="S7" s="19"/>
      <c r="T7" s="19"/>
      <c r="U7" s="19"/>
      <c r="V7" s="19"/>
      <c r="W7" s="19"/>
      <c r="X7" s="19"/>
      <c r="Y7" s="19"/>
      <c r="Z7" s="19"/>
    </row>
    <row r="8" customFormat="false" ht="12" hidden="false" customHeight="true" outlineLevel="0" collapsed="false">
      <c r="A8" s="19"/>
      <c r="B8" s="333" t="s">
        <v>0</v>
      </c>
      <c r="C8" s="308"/>
      <c r="D8" s="270" t="s">
        <v>465</v>
      </c>
      <c r="E8" s="334" t="s">
        <v>309</v>
      </c>
      <c r="F8" s="335" t="n">
        <f aca="false">Frequency!M10</f>
        <v>437.5</v>
      </c>
      <c r="G8" s="49" t="s">
        <v>314</v>
      </c>
      <c r="H8" s="49"/>
      <c r="I8" s="49"/>
      <c r="J8" s="49" t="s">
        <v>466</v>
      </c>
      <c r="K8" s="336" t="n">
        <f aca="false">299.8/$F$8</f>
        <v>0.685257142857143</v>
      </c>
      <c r="L8" s="269" t="s">
        <v>315</v>
      </c>
      <c r="M8" s="19"/>
      <c r="N8" s="19"/>
      <c r="O8" s="19"/>
      <c r="P8" s="19"/>
      <c r="Q8" s="19"/>
      <c r="R8" s="19"/>
      <c r="S8" s="19"/>
      <c r="T8" s="19"/>
      <c r="U8" s="19"/>
      <c r="V8" s="19"/>
      <c r="W8" s="19"/>
      <c r="X8" s="19"/>
      <c r="Y8" s="19"/>
      <c r="Z8" s="19"/>
    </row>
    <row r="9" customFormat="false" ht="12" hidden="false" customHeight="true" outlineLevel="0" collapsed="false">
      <c r="A9" s="19"/>
      <c r="B9" s="268"/>
      <c r="C9" s="49"/>
      <c r="D9" s="49"/>
      <c r="E9" s="49"/>
      <c r="F9" s="49"/>
      <c r="G9" s="49"/>
      <c r="H9" s="49"/>
      <c r="I9" s="49"/>
      <c r="J9" s="49"/>
      <c r="K9" s="49"/>
      <c r="L9" s="269"/>
      <c r="M9" s="19"/>
      <c r="N9" s="19"/>
      <c r="O9" s="19"/>
      <c r="P9" s="19"/>
      <c r="Q9" s="19"/>
      <c r="R9" s="19"/>
      <c r="S9" s="19"/>
      <c r="T9" s="19"/>
      <c r="U9" s="19"/>
      <c r="V9" s="19"/>
      <c r="W9" s="19"/>
      <c r="X9" s="19"/>
      <c r="Y9" s="19"/>
      <c r="Z9" s="19"/>
    </row>
    <row r="10" customFormat="false" ht="12.75" hidden="false" customHeight="true" outlineLevel="0" collapsed="false">
      <c r="A10" s="98"/>
      <c r="B10" s="268"/>
      <c r="C10" s="49"/>
      <c r="D10" s="49"/>
      <c r="E10" s="49"/>
      <c r="F10" s="337" t="s">
        <v>467</v>
      </c>
      <c r="G10" s="49"/>
      <c r="H10" s="49"/>
      <c r="I10" s="49"/>
      <c r="J10" s="49"/>
      <c r="K10" s="49"/>
      <c r="L10" s="269"/>
      <c r="M10" s="19"/>
      <c r="N10" s="19"/>
      <c r="O10" s="19"/>
      <c r="P10" s="19"/>
      <c r="Q10" s="215" t="s">
        <v>0</v>
      </c>
      <c r="R10" s="19"/>
      <c r="S10" s="19"/>
      <c r="T10" s="19"/>
      <c r="U10" s="19"/>
      <c r="V10" s="19"/>
      <c r="W10" s="19"/>
      <c r="X10" s="19"/>
      <c r="Y10" s="19"/>
      <c r="Z10" s="19"/>
    </row>
    <row r="11" customFormat="false" ht="12.75" hidden="false" customHeight="true" outlineLevel="0" collapsed="false">
      <c r="A11" s="98"/>
      <c r="B11" s="333" t="s">
        <v>0</v>
      </c>
      <c r="C11" s="49"/>
      <c r="D11" s="49"/>
      <c r="E11" s="338" t="n">
        <v>1</v>
      </c>
      <c r="F11" s="339" t="str">
        <f aca="false" t="array" ref="F11:F11">INDEX(B13:B16,E11,1)</f>
        <v>Yagi</v>
      </c>
      <c r="G11" s="340"/>
      <c r="H11" s="49"/>
      <c r="I11" s="49"/>
      <c r="J11" s="49" t="s">
        <v>468</v>
      </c>
      <c r="K11" s="50" t="s">
        <v>469</v>
      </c>
      <c r="L11" s="269"/>
      <c r="M11" s="19"/>
      <c r="N11" s="19"/>
      <c r="O11" s="19"/>
      <c r="P11" s="19"/>
      <c r="Q11" s="19"/>
      <c r="R11" s="19"/>
      <c r="S11" s="19"/>
      <c r="T11" s="19"/>
      <c r="U11" s="19"/>
      <c r="V11" s="19"/>
      <c r="W11" s="19"/>
      <c r="X11" s="19"/>
      <c r="Y11" s="19"/>
      <c r="Z11" s="19"/>
    </row>
    <row r="12" customFormat="false" ht="12.75" hidden="false" customHeight="true" outlineLevel="0" collapsed="false">
      <c r="A12" s="341" t="s">
        <v>470</v>
      </c>
      <c r="B12" s="342"/>
      <c r="C12" s="343"/>
      <c r="D12" s="343"/>
      <c r="E12" s="343"/>
      <c r="F12" s="343"/>
      <c r="G12" s="343"/>
      <c r="H12" s="343"/>
      <c r="I12" s="343"/>
      <c r="J12" s="343"/>
      <c r="K12" s="343"/>
      <c r="L12" s="344"/>
      <c r="M12" s="19"/>
      <c r="N12" s="19"/>
      <c r="O12" s="19"/>
      <c r="P12" s="19"/>
      <c r="Q12" s="19"/>
      <c r="R12" s="19"/>
      <c r="S12" s="19"/>
      <c r="T12" s="19"/>
      <c r="U12" s="19"/>
      <c r="V12" s="19"/>
      <c r="W12" s="19"/>
      <c r="X12" s="19"/>
      <c r="Y12" s="19"/>
      <c r="Z12" s="19"/>
    </row>
    <row r="13" customFormat="false" ht="36" hidden="false" customHeight="true" outlineLevel="0" collapsed="false">
      <c r="A13" s="345" t="n">
        <v>1</v>
      </c>
      <c r="B13" s="346" t="s">
        <v>471</v>
      </c>
      <c r="C13" s="346"/>
      <c r="D13" s="347" t="s">
        <v>472</v>
      </c>
      <c r="E13" s="348" t="n">
        <v>4</v>
      </c>
      <c r="F13" s="346"/>
      <c r="G13" s="347" t="s">
        <v>473</v>
      </c>
      <c r="H13" s="349" t="n">
        <f aca="false" t="array" ref="H13:H13">IF(E13&lt;$B$72,"too short!",INDEX($D$72:$D$110,MATCH(E13,$B$72:$B$110,1),1))</f>
        <v>14</v>
      </c>
      <c r="I13" s="346" t="s">
        <v>474</v>
      </c>
      <c r="J13" s="350" t="s">
        <v>475</v>
      </c>
      <c r="K13" s="346"/>
      <c r="L13" s="346"/>
      <c r="M13" s="351" t="s">
        <v>476</v>
      </c>
      <c r="N13" s="352" t="n">
        <f aca="false" t="array" ref="N13:N13">IF(E13&lt;$B$72,"too short!",INDEX($F$72:$F$110,MATCH(E13,$B$72:$B$110,1),1))</f>
        <v>17.45</v>
      </c>
      <c r="O13" s="353" t="s">
        <v>477</v>
      </c>
      <c r="P13" s="353" t="s">
        <v>478</v>
      </c>
      <c r="Q13" s="354" t="n">
        <f aca="false">SQRT(40000/(10^(N13/10)))</f>
        <v>26.8243987081074</v>
      </c>
      <c r="R13" s="353" t="s">
        <v>215</v>
      </c>
      <c r="S13" s="353" t="s">
        <v>479</v>
      </c>
      <c r="T13" s="353"/>
      <c r="U13" s="355" t="n">
        <f aca="false">K8*E13</f>
        <v>2.74102857142857</v>
      </c>
      <c r="V13" s="356" t="s">
        <v>315</v>
      </c>
      <c r="W13" s="19"/>
      <c r="X13" s="19"/>
      <c r="Y13" s="19"/>
      <c r="Z13" s="19"/>
    </row>
    <row r="14" customFormat="false" ht="36" hidden="false" customHeight="true" outlineLevel="0" collapsed="false">
      <c r="A14" s="357" t="n">
        <v>2</v>
      </c>
      <c r="B14" s="358" t="s">
        <v>480</v>
      </c>
      <c r="C14" s="358"/>
      <c r="D14" s="358" t="s">
        <v>481</v>
      </c>
      <c r="E14" s="359" t="n">
        <v>10</v>
      </c>
      <c r="F14" s="358"/>
      <c r="G14" s="360" t="s">
        <v>482</v>
      </c>
      <c r="H14" s="359" t="n">
        <v>0.25</v>
      </c>
      <c r="I14" s="358"/>
      <c r="J14" s="360" t="s">
        <v>483</v>
      </c>
      <c r="K14" s="361" t="n">
        <v>1</v>
      </c>
      <c r="L14" s="358"/>
      <c r="M14" s="358" t="s">
        <v>484</v>
      </c>
      <c r="N14" s="362" t="n">
        <f aca="false">10*LOG10(15*K14^2*E14*H14)</f>
        <v>15.74031268</v>
      </c>
      <c r="O14" s="358" t="s">
        <v>477</v>
      </c>
      <c r="P14" s="358" t="s">
        <v>478</v>
      </c>
      <c r="Q14" s="363" t="n">
        <f aca="false">52.2/(K14*((E14*H14)^0.5))</f>
        <v>33.01417877</v>
      </c>
      <c r="R14" s="358" t="s">
        <v>215</v>
      </c>
      <c r="S14" s="360"/>
      <c r="T14" s="360" t="s">
        <v>485</v>
      </c>
      <c r="U14" s="364" t="n">
        <f aca="false">H14*E14*K8</f>
        <v>1.71314285714286</v>
      </c>
      <c r="V14" s="365" t="s">
        <v>315</v>
      </c>
      <c r="W14" s="19"/>
      <c r="X14" s="19"/>
      <c r="Y14" s="19"/>
      <c r="Z14" s="19"/>
    </row>
    <row r="15" customFormat="false" ht="36" hidden="false" customHeight="true" outlineLevel="0" collapsed="false">
      <c r="A15" s="366" t="n">
        <v>3</v>
      </c>
      <c r="B15" s="367" t="s">
        <v>486</v>
      </c>
      <c r="C15" s="367"/>
      <c r="D15" s="367"/>
      <c r="E15" s="367"/>
      <c r="F15" s="367"/>
      <c r="G15" s="368" t="s">
        <v>487</v>
      </c>
      <c r="H15" s="369" t="n">
        <v>5.4</v>
      </c>
      <c r="I15" s="367"/>
      <c r="J15" s="368" t="s">
        <v>488</v>
      </c>
      <c r="K15" s="370" t="n">
        <v>0.55</v>
      </c>
      <c r="L15" s="367"/>
      <c r="M15" s="367" t="s">
        <v>484</v>
      </c>
      <c r="N15" s="362" t="n">
        <f aca="false">20.4+20*LOG10(H15)+20*LOG10(F8/1000)+10*LOG10(K15)</f>
        <v>25.2710632385685</v>
      </c>
      <c r="O15" s="367" t="s">
        <v>477</v>
      </c>
      <c r="P15" s="367" t="s">
        <v>478</v>
      </c>
      <c r="Q15" s="363" t="n">
        <f aca="false">21/((F8/1000)*H15)</f>
        <v>8.88888888888889</v>
      </c>
      <c r="R15" s="367" t="s">
        <v>215</v>
      </c>
      <c r="S15" s="367"/>
      <c r="T15" s="367"/>
      <c r="U15" s="367"/>
      <c r="V15" s="371"/>
      <c r="W15" s="19"/>
      <c r="X15" s="19"/>
      <c r="Y15" s="19"/>
      <c r="Z15" s="19"/>
    </row>
    <row r="16" customFormat="false" ht="36" hidden="false" customHeight="true" outlineLevel="0" collapsed="false">
      <c r="A16" s="372" t="n">
        <v>4</v>
      </c>
      <c r="B16" s="343" t="s">
        <v>489</v>
      </c>
      <c r="C16" s="343"/>
      <c r="D16" s="373" t="s">
        <v>490</v>
      </c>
      <c r="E16" s="373"/>
      <c r="F16" s="373" t="s">
        <v>471</v>
      </c>
      <c r="G16" s="374" t="s">
        <v>491</v>
      </c>
      <c r="H16" s="375"/>
      <c r="I16" s="343"/>
      <c r="J16" s="376"/>
      <c r="K16" s="377"/>
      <c r="L16" s="343"/>
      <c r="M16" s="343" t="s">
        <v>484</v>
      </c>
      <c r="N16" s="378" t="n">
        <v>18.5</v>
      </c>
      <c r="O16" s="343" t="s">
        <v>477</v>
      </c>
      <c r="P16" s="343" t="s">
        <v>478</v>
      </c>
      <c r="Q16" s="379" t="n">
        <v>24</v>
      </c>
      <c r="R16" s="343" t="s">
        <v>215</v>
      </c>
      <c r="S16" s="343" t="s">
        <v>479</v>
      </c>
      <c r="T16" s="343"/>
      <c r="U16" s="380" t="s">
        <v>75</v>
      </c>
      <c r="V16" s="381" t="s">
        <v>315</v>
      </c>
      <c r="W16" s="19"/>
      <c r="X16" s="19"/>
      <c r="Y16" s="19"/>
      <c r="Z16" s="19"/>
    </row>
    <row r="17" customFormat="false" ht="12" hidden="false" customHeight="true" outlineLevel="0" collapsed="false">
      <c r="A17" s="98"/>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ustomFormat="false" ht="12" hidden="false" customHeight="true" outlineLevel="0" collapsed="false">
      <c r="A18" s="98"/>
      <c r="B18" s="19"/>
      <c r="C18" s="19"/>
      <c r="D18" s="19"/>
      <c r="E18" s="19"/>
      <c r="F18" s="19" t="s">
        <v>0</v>
      </c>
      <c r="G18" s="19"/>
      <c r="H18" s="19"/>
      <c r="I18" s="19"/>
      <c r="J18" s="19"/>
      <c r="K18" s="19"/>
      <c r="L18" s="19"/>
      <c r="M18" s="19" t="s">
        <v>0</v>
      </c>
      <c r="N18" s="19"/>
      <c r="O18" s="19"/>
      <c r="P18" s="19"/>
      <c r="Q18" s="19"/>
      <c r="R18" s="19"/>
      <c r="S18" s="19"/>
      <c r="T18" s="19"/>
      <c r="U18" s="19"/>
      <c r="V18" s="19"/>
      <c r="W18" s="19"/>
      <c r="X18" s="19"/>
      <c r="Y18" s="19"/>
      <c r="Z18" s="19"/>
    </row>
    <row r="19" customFormat="false" ht="12" hidden="false" customHeight="true" outlineLevel="0" collapsed="false">
      <c r="A19" s="98" t="s">
        <v>0</v>
      </c>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ustomFormat="false" ht="12.75" hidden="false" customHeight="true" outlineLevel="0" collapsed="false">
      <c r="A20" s="98"/>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ustomFormat="false" ht="12.75" hidden="false" customHeight="true" outlineLevel="0" collapsed="false">
      <c r="A21" s="98"/>
      <c r="B21" s="331" t="s">
        <v>492</v>
      </c>
      <c r="C21" s="332"/>
      <c r="D21" s="266"/>
      <c r="E21" s="266"/>
      <c r="F21" s="266"/>
      <c r="G21" s="266"/>
      <c r="H21" s="266"/>
      <c r="I21" s="266"/>
      <c r="J21" s="266"/>
      <c r="K21" s="266"/>
      <c r="L21" s="267"/>
      <c r="M21" s="19"/>
      <c r="N21" s="19"/>
      <c r="O21" s="19"/>
      <c r="P21" s="19"/>
      <c r="Q21" s="19"/>
      <c r="R21" s="19"/>
      <c r="S21" s="19"/>
      <c r="T21" s="19"/>
      <c r="U21" s="19"/>
      <c r="V21" s="19"/>
      <c r="W21" s="19"/>
      <c r="X21" s="19"/>
      <c r="Y21" s="19"/>
      <c r="Z21" s="19"/>
    </row>
    <row r="22" customFormat="false" ht="12" hidden="false" customHeight="true" outlineLevel="0" collapsed="false">
      <c r="A22" s="98"/>
      <c r="B22" s="268"/>
      <c r="C22" s="49"/>
      <c r="D22" s="270" t="s">
        <v>465</v>
      </c>
      <c r="E22" s="49" t="s">
        <v>309</v>
      </c>
      <c r="F22" s="335" t="n">
        <f aca="false">F8</f>
        <v>437.5</v>
      </c>
      <c r="G22" s="49" t="s">
        <v>314</v>
      </c>
      <c r="H22" s="49"/>
      <c r="I22" s="49"/>
      <c r="J22" s="49" t="s">
        <v>466</v>
      </c>
      <c r="K22" s="336" t="n">
        <f aca="false">299.8/F22</f>
        <v>0.685257142857143</v>
      </c>
      <c r="L22" s="269" t="s">
        <v>315</v>
      </c>
      <c r="M22" s="19" t="s">
        <v>0</v>
      </c>
      <c r="N22" s="19"/>
      <c r="O22" s="19"/>
      <c r="P22" s="19"/>
      <c r="Q22" s="19"/>
      <c r="R22" s="19"/>
      <c r="S22" s="19"/>
      <c r="T22" s="19"/>
      <c r="U22" s="19"/>
      <c r="V22" s="19"/>
      <c r="W22" s="19"/>
      <c r="X22" s="19"/>
      <c r="Y22" s="19"/>
      <c r="Z22" s="19"/>
    </row>
    <row r="23" customFormat="false" ht="12.75" hidden="false" customHeight="true" outlineLevel="0" collapsed="false">
      <c r="A23" s="98"/>
      <c r="B23" s="268"/>
      <c r="C23" s="49"/>
      <c r="D23" s="49" t="s">
        <v>0</v>
      </c>
      <c r="E23" s="49" t="s">
        <v>0</v>
      </c>
      <c r="F23" s="337" t="s">
        <v>493</v>
      </c>
      <c r="G23" s="49"/>
      <c r="H23" s="49"/>
      <c r="I23" s="49"/>
      <c r="J23" s="49"/>
      <c r="K23" s="49"/>
      <c r="L23" s="269"/>
      <c r="M23" s="19"/>
      <c r="N23" s="19"/>
      <c r="O23" s="19"/>
      <c r="P23" s="19"/>
      <c r="Q23" s="19"/>
      <c r="R23" s="19"/>
      <c r="S23" s="19"/>
      <c r="T23" s="19"/>
      <c r="U23" s="19"/>
      <c r="V23" s="19"/>
      <c r="W23" s="19"/>
      <c r="X23" s="19"/>
      <c r="Y23" s="19"/>
      <c r="Z23" s="19"/>
    </row>
    <row r="24" customFormat="false" ht="12.75" hidden="false" customHeight="true" outlineLevel="0" collapsed="false">
      <c r="A24" s="98"/>
      <c r="B24" s="333" t="s">
        <v>0</v>
      </c>
      <c r="C24" s="49"/>
      <c r="D24" s="49"/>
      <c r="E24" s="338" t="n">
        <v>7</v>
      </c>
      <c r="F24" s="382" t="s">
        <v>494</v>
      </c>
      <c r="G24" s="340"/>
      <c r="H24" s="49"/>
      <c r="I24" s="49"/>
      <c r="J24" s="49" t="s">
        <v>468</v>
      </c>
      <c r="K24" s="50" t="s">
        <v>469</v>
      </c>
      <c r="L24" s="269"/>
      <c r="M24" s="19"/>
      <c r="N24" s="19"/>
      <c r="O24" s="19"/>
      <c r="P24" s="19"/>
      <c r="Q24" s="19"/>
      <c r="R24" s="19"/>
      <c r="S24" s="19"/>
      <c r="T24" s="19"/>
      <c r="U24" s="19"/>
      <c r="V24" s="19"/>
      <c r="W24" s="19"/>
      <c r="X24" s="19"/>
      <c r="Y24" s="19"/>
      <c r="Z24" s="19"/>
    </row>
    <row r="25" customFormat="false" ht="12.75" hidden="false" customHeight="true" outlineLevel="0" collapsed="false">
      <c r="A25" s="160" t="s">
        <v>470</v>
      </c>
      <c r="B25" s="268"/>
      <c r="C25" s="49"/>
      <c r="D25" s="49"/>
      <c r="E25" s="49"/>
      <c r="F25" s="49" t="s">
        <v>0</v>
      </c>
      <c r="G25" s="49"/>
      <c r="H25" s="49"/>
      <c r="I25" s="49"/>
      <c r="J25" s="49"/>
      <c r="K25" s="49"/>
      <c r="L25" s="269"/>
      <c r="M25" s="19"/>
      <c r="N25" s="19"/>
      <c r="O25" s="19"/>
      <c r="P25" s="19"/>
      <c r="Q25" s="19"/>
      <c r="R25" s="19"/>
      <c r="S25" s="19"/>
      <c r="T25" s="19"/>
      <c r="U25" s="19"/>
      <c r="V25" s="19"/>
      <c r="W25" s="19"/>
      <c r="X25" s="19"/>
      <c r="Y25" s="19"/>
      <c r="Z25" s="19"/>
    </row>
    <row r="26" customFormat="false" ht="36" hidden="false" customHeight="true" outlineLevel="0" collapsed="false">
      <c r="A26" s="383" t="n">
        <v>1</v>
      </c>
      <c r="B26" s="384" t="s">
        <v>495</v>
      </c>
      <c r="C26" s="384"/>
      <c r="D26" s="384"/>
      <c r="E26" s="384"/>
      <c r="F26" s="384"/>
      <c r="G26" s="384" t="s">
        <v>484</v>
      </c>
      <c r="H26" s="385" t="n">
        <v>2.15</v>
      </c>
      <c r="I26" s="384" t="s">
        <v>496</v>
      </c>
      <c r="J26" s="384"/>
      <c r="K26" s="384" t="s">
        <v>478</v>
      </c>
      <c r="L26" s="385" t="n">
        <v>156.2</v>
      </c>
      <c r="M26" s="384" t="s">
        <v>215</v>
      </c>
      <c r="N26" s="384" t="s">
        <v>497</v>
      </c>
      <c r="O26" s="384"/>
      <c r="P26" s="384"/>
      <c r="Q26" s="384"/>
      <c r="R26" s="384"/>
      <c r="S26" s="384"/>
      <c r="T26" s="384"/>
      <c r="U26" s="384"/>
      <c r="V26" s="386"/>
      <c r="W26" s="19"/>
      <c r="X26" s="19"/>
      <c r="Y26" s="19"/>
      <c r="Z26" s="19"/>
    </row>
    <row r="27" customFormat="false" ht="36" hidden="false" customHeight="true" outlineLevel="0" collapsed="false">
      <c r="A27" s="387" t="n">
        <v>2</v>
      </c>
      <c r="B27" s="49" t="s">
        <v>498</v>
      </c>
      <c r="C27" s="49"/>
      <c r="D27" s="49"/>
      <c r="E27" s="49"/>
      <c r="F27" s="49"/>
      <c r="G27" s="49" t="s">
        <v>484</v>
      </c>
      <c r="H27" s="388" t="n">
        <v>2.15</v>
      </c>
      <c r="I27" s="49" t="s">
        <v>496</v>
      </c>
      <c r="J27" s="49"/>
      <c r="K27" s="49" t="s">
        <v>478</v>
      </c>
      <c r="L27" s="388" t="n">
        <v>156.2</v>
      </c>
      <c r="M27" s="49" t="s">
        <v>215</v>
      </c>
      <c r="N27" s="49" t="s">
        <v>499</v>
      </c>
      <c r="O27" s="49"/>
      <c r="P27" s="49"/>
      <c r="Q27" s="49"/>
      <c r="R27" s="49"/>
      <c r="S27" s="49"/>
      <c r="T27" s="49"/>
      <c r="U27" s="49"/>
      <c r="V27" s="389"/>
      <c r="W27" s="19"/>
      <c r="X27" s="19"/>
      <c r="Y27" s="19"/>
      <c r="Z27" s="19"/>
    </row>
    <row r="28" customFormat="false" ht="35.25" hidden="false" customHeight="true" outlineLevel="0" collapsed="false">
      <c r="A28" s="390" t="n">
        <v>3</v>
      </c>
      <c r="B28" s="391" t="s">
        <v>500</v>
      </c>
      <c r="C28" s="391"/>
      <c r="D28" s="391"/>
      <c r="E28" s="391"/>
      <c r="F28" s="391"/>
      <c r="G28" s="391" t="s">
        <v>484</v>
      </c>
      <c r="H28" s="392" t="n">
        <f aca="false">IF(K24=K11,2,0.5)</f>
        <v>2</v>
      </c>
      <c r="I28" s="391" t="s">
        <v>477</v>
      </c>
      <c r="J28" s="391" t="s">
        <v>501</v>
      </c>
      <c r="K28" s="391" t="s">
        <v>478</v>
      </c>
      <c r="L28" s="388" t="n">
        <v>180</v>
      </c>
      <c r="M28" s="391" t="s">
        <v>215</v>
      </c>
      <c r="N28" s="391" t="s">
        <v>502</v>
      </c>
      <c r="O28" s="391"/>
      <c r="P28" s="391"/>
      <c r="Q28" s="391"/>
      <c r="R28" s="391"/>
      <c r="S28" s="391"/>
      <c r="T28" s="391"/>
      <c r="U28" s="391"/>
      <c r="V28" s="393"/>
      <c r="W28" s="19"/>
      <c r="X28" s="19"/>
      <c r="Y28" s="19"/>
      <c r="Z28" s="19"/>
    </row>
    <row r="29" customFormat="false" ht="36" hidden="false" customHeight="true" outlineLevel="0" collapsed="false">
      <c r="A29" s="387" t="n">
        <v>4</v>
      </c>
      <c r="B29" s="49" t="s">
        <v>503</v>
      </c>
      <c r="C29" s="49"/>
      <c r="D29" s="271" t="s">
        <v>504</v>
      </c>
      <c r="E29" s="49" t="s">
        <v>505</v>
      </c>
      <c r="F29" s="49"/>
      <c r="G29" s="49" t="s">
        <v>484</v>
      </c>
      <c r="H29" s="392" t="n">
        <v>4</v>
      </c>
      <c r="I29" s="49" t="s">
        <v>477</v>
      </c>
      <c r="J29" s="49"/>
      <c r="K29" s="49" t="s">
        <v>478</v>
      </c>
      <c r="L29" s="388" t="n">
        <v>150</v>
      </c>
      <c r="M29" s="49" t="s">
        <v>215</v>
      </c>
      <c r="N29" s="49" t="s">
        <v>506</v>
      </c>
      <c r="O29" s="49"/>
      <c r="P29" s="49"/>
      <c r="Q29" s="49"/>
      <c r="R29" s="49"/>
      <c r="S29" s="49"/>
      <c r="T29" s="49"/>
      <c r="U29" s="49"/>
      <c r="V29" s="389"/>
      <c r="W29" s="19"/>
      <c r="X29" s="19"/>
      <c r="Y29" s="19"/>
      <c r="Z29" s="19"/>
    </row>
    <row r="30" customFormat="false" ht="36" hidden="false" customHeight="true" outlineLevel="0" collapsed="false">
      <c r="A30" s="390" t="n">
        <v>5</v>
      </c>
      <c r="B30" s="391" t="s">
        <v>507</v>
      </c>
      <c r="C30" s="391"/>
      <c r="D30" s="394" t="s">
        <v>0</v>
      </c>
      <c r="E30" s="391"/>
      <c r="F30" s="391"/>
      <c r="G30" s="391" t="s">
        <v>484</v>
      </c>
      <c r="H30" s="395" t="n">
        <v>6</v>
      </c>
      <c r="I30" s="391" t="s">
        <v>508</v>
      </c>
      <c r="J30" s="391"/>
      <c r="K30" s="391" t="s">
        <v>478</v>
      </c>
      <c r="L30" s="388" t="n">
        <v>90</v>
      </c>
      <c r="M30" s="391" t="s">
        <v>215</v>
      </c>
      <c r="N30" s="391" t="s">
        <v>509</v>
      </c>
      <c r="O30" s="391"/>
      <c r="P30" s="391"/>
      <c r="Q30" s="391"/>
      <c r="R30" s="391"/>
      <c r="S30" s="391"/>
      <c r="T30" s="391"/>
      <c r="U30" s="391"/>
      <c r="V30" s="393"/>
      <c r="W30" s="19"/>
      <c r="X30" s="19"/>
      <c r="Y30" s="19"/>
      <c r="Z30" s="19"/>
    </row>
    <row r="31" customFormat="false" ht="36" hidden="false" customHeight="true" outlineLevel="0" collapsed="false">
      <c r="A31" s="387" t="n">
        <v>6</v>
      </c>
      <c r="B31" s="49" t="s">
        <v>486</v>
      </c>
      <c r="C31" s="49"/>
      <c r="D31" s="275"/>
      <c r="E31" s="49"/>
      <c r="F31" s="49"/>
      <c r="G31" s="49" t="s">
        <v>484</v>
      </c>
      <c r="H31" s="395" t="n">
        <f aca="false">20.4+20*LOG10(T31)+20*LOG10(F8/1000)+10*LOG10(V31)</f>
        <v>25.2710632385685</v>
      </c>
      <c r="I31" s="49" t="s">
        <v>508</v>
      </c>
      <c r="J31" s="49"/>
      <c r="K31" s="49" t="s">
        <v>478</v>
      </c>
      <c r="L31" s="395" t="n">
        <f aca="false">21/((F8/1000)*T31)</f>
        <v>8.88888888888889</v>
      </c>
      <c r="M31" s="49" t="s">
        <v>215</v>
      </c>
      <c r="N31" s="49" t="s">
        <v>510</v>
      </c>
      <c r="O31" s="49"/>
      <c r="P31" s="49"/>
      <c r="Q31" s="49"/>
      <c r="R31" s="49"/>
      <c r="S31" s="396" t="s">
        <v>511</v>
      </c>
      <c r="T31" s="397" t="n">
        <v>5.4</v>
      </c>
      <c r="U31" s="398" t="s">
        <v>512</v>
      </c>
      <c r="V31" s="399" t="n">
        <v>0.55</v>
      </c>
      <c r="W31" s="19"/>
      <c r="X31" s="19"/>
      <c r="Y31" s="19"/>
      <c r="Z31" s="19"/>
    </row>
    <row r="32" customFormat="false" ht="36" hidden="false" customHeight="true" outlineLevel="0" collapsed="false">
      <c r="A32" s="400" t="n">
        <v>7</v>
      </c>
      <c r="B32" s="401" t="s">
        <v>513</v>
      </c>
      <c r="C32" s="402"/>
      <c r="D32" s="403"/>
      <c r="E32" s="402"/>
      <c r="F32" s="402"/>
      <c r="G32" s="402" t="s">
        <v>484</v>
      </c>
      <c r="H32" s="379" t="n">
        <v>0</v>
      </c>
      <c r="I32" s="402" t="s">
        <v>514</v>
      </c>
      <c r="J32" s="402"/>
      <c r="K32" s="402" t="s">
        <v>478</v>
      </c>
      <c r="L32" s="373" t="n">
        <v>180</v>
      </c>
      <c r="M32" s="391" t="s">
        <v>215</v>
      </c>
      <c r="N32" s="401" t="s">
        <v>515</v>
      </c>
      <c r="O32" s="402"/>
      <c r="P32" s="402"/>
      <c r="Q32" s="402"/>
      <c r="R32" s="402"/>
      <c r="S32" s="402"/>
      <c r="T32" s="402"/>
      <c r="U32" s="402"/>
      <c r="V32" s="404"/>
      <c r="W32" s="19"/>
      <c r="X32" s="19"/>
      <c r="Y32" s="19"/>
      <c r="Z32" s="19"/>
    </row>
    <row r="33" customFormat="false" ht="12.75" hidden="false" customHeight="true" outlineLevel="0" collapsed="false">
      <c r="A33" s="405"/>
      <c r="B33" s="406"/>
      <c r="C33" s="406"/>
      <c r="D33" s="406"/>
      <c r="E33" s="406"/>
      <c r="F33" s="406"/>
      <c r="G33" s="406"/>
      <c r="H33" s="406"/>
      <c r="I33" s="406"/>
      <c r="J33" s="406"/>
      <c r="K33" s="406"/>
      <c r="L33" s="406"/>
      <c r="M33" s="406"/>
      <c r="N33" s="406"/>
      <c r="O33" s="406"/>
      <c r="P33" s="406"/>
      <c r="Q33" s="406"/>
      <c r="R33" s="406"/>
      <c r="S33" s="406"/>
      <c r="T33" s="406"/>
      <c r="U33" s="406"/>
      <c r="V33" s="406"/>
      <c r="W33" s="19"/>
      <c r="X33" s="19"/>
      <c r="Y33" s="19"/>
      <c r="Z33" s="19"/>
    </row>
    <row r="34" customFormat="false" ht="15.75" hidden="false" customHeight="true" outlineLevel="0" collapsed="false">
      <c r="A34" s="407"/>
      <c r="B34" s="407"/>
      <c r="C34" s="408" t="s">
        <v>516</v>
      </c>
      <c r="D34" s="407"/>
      <c r="E34" s="407"/>
      <c r="F34" s="407"/>
      <c r="G34" s="407"/>
      <c r="H34" s="407"/>
      <c r="I34" s="407"/>
      <c r="J34" s="408" t="s">
        <v>517</v>
      </c>
      <c r="K34" s="407"/>
      <c r="L34" s="407"/>
      <c r="M34" s="10"/>
      <c r="N34" s="10"/>
      <c r="O34" s="10"/>
      <c r="P34" s="10"/>
      <c r="Q34" s="10"/>
      <c r="R34" s="10"/>
      <c r="S34" s="10"/>
      <c r="T34" s="10"/>
      <c r="U34" s="10"/>
      <c r="V34" s="170"/>
      <c r="W34" s="19"/>
      <c r="X34" s="19"/>
      <c r="Y34" s="19"/>
      <c r="Z34" s="19"/>
    </row>
    <row r="35" customFormat="false" ht="12" hidden="false" customHeight="true" outlineLevel="0" collapsed="false">
      <c r="A35" s="19"/>
      <c r="B35" s="19"/>
      <c r="C35" s="19"/>
      <c r="D35" s="19"/>
      <c r="E35" s="19"/>
      <c r="F35" s="19"/>
      <c r="G35" s="19"/>
      <c r="H35" s="19"/>
      <c r="I35" s="19"/>
      <c r="J35" s="19"/>
      <c r="K35" s="19" t="s">
        <v>0</v>
      </c>
      <c r="L35" s="19"/>
      <c r="M35" s="19"/>
      <c r="N35" s="19"/>
      <c r="O35" s="19"/>
      <c r="P35" s="19"/>
      <c r="Q35" s="19"/>
      <c r="R35" s="19"/>
      <c r="S35" s="19"/>
      <c r="T35" s="19"/>
      <c r="U35" s="19"/>
      <c r="V35" s="19"/>
      <c r="W35" s="19"/>
      <c r="X35" s="19"/>
      <c r="Y35" s="19"/>
      <c r="Z35" s="19"/>
    </row>
    <row r="36" customFormat="false" ht="15" hidden="false" customHeight="true" outlineLevel="0" collapsed="false">
      <c r="A36" s="329" t="s">
        <v>518</v>
      </c>
      <c r="B36" s="46"/>
      <c r="C36" s="46"/>
      <c r="D36" s="45"/>
      <c r="E36" s="19"/>
      <c r="F36" s="19"/>
      <c r="G36" s="19"/>
      <c r="H36" s="19" t="s">
        <v>0</v>
      </c>
      <c r="I36" s="19"/>
      <c r="J36" s="19"/>
      <c r="K36" s="19"/>
      <c r="L36" s="19"/>
      <c r="M36" s="19"/>
      <c r="N36" s="19"/>
      <c r="O36" s="19"/>
      <c r="P36" s="19"/>
      <c r="Q36" s="19"/>
      <c r="R36" s="19"/>
      <c r="S36" s="19"/>
      <c r="T36" s="19"/>
      <c r="U36" s="19"/>
      <c r="V36" s="19"/>
      <c r="W36" s="19"/>
      <c r="X36" s="19"/>
      <c r="Y36" s="19"/>
      <c r="Z36" s="19"/>
    </row>
    <row r="37" customFormat="false" ht="12.75" hidden="false" customHeight="true" outlineLevel="0" collapsed="false">
      <c r="A37" s="19"/>
      <c r="B37" s="19"/>
      <c r="C37" s="19"/>
      <c r="D37" s="19"/>
      <c r="E37" s="19"/>
      <c r="F37" s="19" t="s">
        <v>0</v>
      </c>
      <c r="G37" s="19"/>
      <c r="H37" s="19"/>
      <c r="I37" s="19"/>
      <c r="J37" s="19"/>
      <c r="K37" s="19"/>
      <c r="L37" s="19"/>
      <c r="M37" s="19"/>
      <c r="N37" s="19"/>
      <c r="O37" s="19"/>
      <c r="P37" s="19"/>
      <c r="Q37" s="19"/>
      <c r="R37" s="19"/>
      <c r="S37" s="19"/>
      <c r="T37" s="19"/>
      <c r="U37" s="19"/>
      <c r="V37" s="19"/>
      <c r="W37" s="19"/>
      <c r="X37" s="19"/>
      <c r="Y37" s="19"/>
      <c r="Z37" s="19"/>
    </row>
    <row r="38" customFormat="false" ht="12.75" hidden="false" customHeight="true" outlineLevel="0" collapsed="false">
      <c r="A38" s="98"/>
      <c r="B38" s="331" t="s">
        <v>519</v>
      </c>
      <c r="C38" s="332"/>
      <c r="D38" s="266"/>
      <c r="E38" s="266"/>
      <c r="F38" s="266"/>
      <c r="G38" s="266"/>
      <c r="H38" s="266"/>
      <c r="I38" s="266"/>
      <c r="J38" s="266"/>
      <c r="K38" s="266"/>
      <c r="L38" s="267"/>
      <c r="M38" s="19"/>
      <c r="N38" s="19" t="s">
        <v>0</v>
      </c>
      <c r="O38" s="19"/>
      <c r="P38" s="19"/>
      <c r="Q38" s="19"/>
      <c r="R38" s="19"/>
      <c r="S38" s="19"/>
      <c r="T38" s="19"/>
      <c r="U38" s="19"/>
      <c r="V38" s="19"/>
      <c r="W38" s="19"/>
      <c r="X38" s="19"/>
      <c r="Y38" s="19"/>
      <c r="Z38" s="19"/>
    </row>
    <row r="39" customFormat="false" ht="12" hidden="false" customHeight="true" outlineLevel="0" collapsed="false">
      <c r="A39" s="98"/>
      <c r="B39" s="268"/>
      <c r="C39" s="49"/>
      <c r="D39" s="49" t="s">
        <v>520</v>
      </c>
      <c r="E39" s="49" t="s">
        <v>309</v>
      </c>
      <c r="F39" s="335" t="n">
        <f aca="false">Frequency!M16</f>
        <v>437.45</v>
      </c>
      <c r="G39" s="49" t="s">
        <v>314</v>
      </c>
      <c r="H39" s="49"/>
      <c r="I39" s="49"/>
      <c r="J39" s="49" t="s">
        <v>466</v>
      </c>
      <c r="K39" s="336" t="n">
        <f aca="false">299.8/F39</f>
        <v>0.685335466910504</v>
      </c>
      <c r="L39" s="269" t="s">
        <v>315</v>
      </c>
      <c r="M39" s="19"/>
      <c r="N39" s="19"/>
      <c r="O39" s="19"/>
      <c r="P39" s="19"/>
      <c r="Q39" s="19"/>
      <c r="R39" s="19"/>
      <c r="S39" s="19"/>
      <c r="T39" s="19"/>
      <c r="U39" s="19"/>
      <c r="V39" s="19"/>
      <c r="W39" s="19"/>
      <c r="X39" s="19"/>
      <c r="Y39" s="19"/>
      <c r="Z39" s="19"/>
    </row>
    <row r="40" customFormat="false" ht="12.75" hidden="false" customHeight="true" outlineLevel="0" collapsed="false">
      <c r="A40" s="98"/>
      <c r="B40" s="268"/>
      <c r="C40" s="49"/>
      <c r="D40" s="49"/>
      <c r="E40" s="49"/>
      <c r="F40" s="337" t="s">
        <v>521</v>
      </c>
      <c r="G40" s="49"/>
      <c r="H40" s="49"/>
      <c r="I40" s="49"/>
      <c r="J40" s="49"/>
      <c r="K40" s="49"/>
      <c r="L40" s="269"/>
      <c r="M40" s="19"/>
      <c r="N40" s="19"/>
      <c r="O40" s="19"/>
      <c r="P40" s="19"/>
      <c r="Q40" s="19"/>
      <c r="R40" s="19"/>
      <c r="S40" s="19"/>
      <c r="T40" s="19"/>
      <c r="U40" s="19"/>
      <c r="V40" s="19"/>
      <c r="W40" s="19"/>
      <c r="X40" s="19"/>
      <c r="Y40" s="19"/>
      <c r="Z40" s="19"/>
    </row>
    <row r="41" customFormat="false" ht="12.75" hidden="false" customHeight="true" outlineLevel="0" collapsed="false">
      <c r="A41" s="98"/>
      <c r="B41" s="333" t="s">
        <v>0</v>
      </c>
      <c r="C41" s="49"/>
      <c r="D41" s="49"/>
      <c r="E41" s="338" t="n">
        <v>7</v>
      </c>
      <c r="F41" s="382" t="str">
        <f aca="false" t="array" ref="F41:F41">INDEX(B43:B49,E41,1)</f>
        <v>Deployable Turnstyle</v>
      </c>
      <c r="G41" s="340"/>
      <c r="H41" s="49"/>
      <c r="I41" s="49"/>
      <c r="J41" s="49" t="s">
        <v>468</v>
      </c>
      <c r="K41" s="50" t="s">
        <v>469</v>
      </c>
      <c r="L41" s="269"/>
      <c r="M41" s="19"/>
      <c r="N41" s="19"/>
      <c r="O41" s="19"/>
      <c r="P41" s="19"/>
      <c r="Q41" s="19"/>
      <c r="R41" s="19"/>
      <c r="S41" s="19"/>
      <c r="T41" s="19"/>
      <c r="U41" s="19"/>
      <c r="V41" s="19"/>
      <c r="W41" s="19"/>
      <c r="X41" s="19"/>
      <c r="Y41" s="19"/>
      <c r="Z41" s="19"/>
    </row>
    <row r="42" customFormat="false" ht="12.75" hidden="false" customHeight="true" outlineLevel="0" collapsed="false">
      <c r="A42" s="160" t="s">
        <v>470</v>
      </c>
      <c r="B42" s="268"/>
      <c r="C42" s="49"/>
      <c r="D42" s="49"/>
      <c r="E42" s="49"/>
      <c r="F42" s="49" t="s">
        <v>0</v>
      </c>
      <c r="G42" s="49"/>
      <c r="H42" s="49"/>
      <c r="I42" s="49"/>
      <c r="J42" s="49"/>
      <c r="K42" s="49"/>
      <c r="L42" s="269"/>
      <c r="M42" s="19"/>
      <c r="N42" s="19"/>
      <c r="O42" s="19"/>
      <c r="P42" s="19"/>
      <c r="Q42" s="19"/>
      <c r="R42" s="19"/>
      <c r="S42" s="19"/>
      <c r="T42" s="19"/>
      <c r="U42" s="19"/>
      <c r="V42" s="19"/>
      <c r="W42" s="19"/>
      <c r="X42" s="19"/>
      <c r="Y42" s="19"/>
      <c r="Z42" s="19"/>
    </row>
    <row r="43" customFormat="false" ht="36" hidden="false" customHeight="true" outlineLevel="0" collapsed="false">
      <c r="A43" s="383" t="n">
        <v>1</v>
      </c>
      <c r="B43" s="384" t="s">
        <v>495</v>
      </c>
      <c r="C43" s="384"/>
      <c r="D43" s="384"/>
      <c r="E43" s="384"/>
      <c r="F43" s="384"/>
      <c r="G43" s="384" t="s">
        <v>484</v>
      </c>
      <c r="H43" s="385" t="n">
        <v>2.15</v>
      </c>
      <c r="I43" s="384" t="s">
        <v>496</v>
      </c>
      <c r="J43" s="384"/>
      <c r="K43" s="384" t="s">
        <v>478</v>
      </c>
      <c r="L43" s="385" t="n">
        <v>156.2</v>
      </c>
      <c r="M43" s="384" t="s">
        <v>215</v>
      </c>
      <c r="N43" s="384" t="s">
        <v>522</v>
      </c>
      <c r="O43" s="384"/>
      <c r="P43" s="384"/>
      <c r="Q43" s="384"/>
      <c r="R43" s="384"/>
      <c r="S43" s="384"/>
      <c r="T43" s="384"/>
      <c r="U43" s="384"/>
      <c r="V43" s="386"/>
      <c r="W43" s="19"/>
      <c r="X43" s="19"/>
      <c r="Y43" s="19"/>
      <c r="Z43" s="19"/>
    </row>
    <row r="44" customFormat="false" ht="36" hidden="false" customHeight="true" outlineLevel="0" collapsed="false">
      <c r="A44" s="387" t="n">
        <v>2</v>
      </c>
      <c r="B44" s="49" t="s">
        <v>498</v>
      </c>
      <c r="C44" s="49"/>
      <c r="D44" s="49"/>
      <c r="E44" s="49"/>
      <c r="F44" s="49"/>
      <c r="G44" s="49" t="s">
        <v>484</v>
      </c>
      <c r="H44" s="388" t="n">
        <v>2.15</v>
      </c>
      <c r="I44" s="49" t="s">
        <v>496</v>
      </c>
      <c r="J44" s="49"/>
      <c r="K44" s="49" t="s">
        <v>478</v>
      </c>
      <c r="L44" s="388" t="n">
        <v>156.2</v>
      </c>
      <c r="M44" s="49" t="s">
        <v>215</v>
      </c>
      <c r="N44" s="49" t="s">
        <v>499</v>
      </c>
      <c r="O44" s="49"/>
      <c r="P44" s="49"/>
      <c r="Q44" s="49"/>
      <c r="R44" s="49"/>
      <c r="S44" s="49"/>
      <c r="T44" s="49"/>
      <c r="U44" s="49"/>
      <c r="V44" s="389"/>
      <c r="W44" s="19"/>
      <c r="X44" s="19"/>
      <c r="Y44" s="19"/>
      <c r="Z44" s="19"/>
    </row>
    <row r="45" customFormat="false" ht="36" hidden="false" customHeight="true" outlineLevel="0" collapsed="false">
      <c r="A45" s="390" t="n">
        <v>3</v>
      </c>
      <c r="B45" s="391" t="s">
        <v>500</v>
      </c>
      <c r="C45" s="391"/>
      <c r="D45" s="391"/>
      <c r="E45" s="391"/>
      <c r="F45" s="391"/>
      <c r="G45" s="391" t="s">
        <v>484</v>
      </c>
      <c r="H45" s="392" t="n">
        <f aca="false">IF(K58=K41,2,0.5)</f>
        <v>2</v>
      </c>
      <c r="I45" s="391" t="s">
        <v>477</v>
      </c>
      <c r="J45" s="391" t="s">
        <v>501</v>
      </c>
      <c r="K45" s="391" t="s">
        <v>478</v>
      </c>
      <c r="L45" s="388" t="n">
        <v>180</v>
      </c>
      <c r="M45" s="391" t="s">
        <v>215</v>
      </c>
      <c r="N45" s="391" t="s">
        <v>502</v>
      </c>
      <c r="O45" s="391"/>
      <c r="P45" s="391"/>
      <c r="Q45" s="391"/>
      <c r="R45" s="391"/>
      <c r="S45" s="391"/>
      <c r="T45" s="391"/>
      <c r="U45" s="391"/>
      <c r="V45" s="393"/>
      <c r="W45" s="19"/>
      <c r="X45" s="19"/>
      <c r="Y45" s="19"/>
      <c r="Z45" s="19"/>
    </row>
    <row r="46" customFormat="false" ht="36" hidden="false" customHeight="true" outlineLevel="0" collapsed="false">
      <c r="A46" s="387" t="n">
        <v>4</v>
      </c>
      <c r="B46" s="49" t="s">
        <v>503</v>
      </c>
      <c r="C46" s="49"/>
      <c r="D46" s="271" t="s">
        <v>504</v>
      </c>
      <c r="E46" s="49" t="s">
        <v>505</v>
      </c>
      <c r="F46" s="49"/>
      <c r="G46" s="49" t="s">
        <v>484</v>
      </c>
      <c r="H46" s="392" t="n">
        <v>4</v>
      </c>
      <c r="I46" s="49" t="s">
        <v>477</v>
      </c>
      <c r="J46" s="49"/>
      <c r="K46" s="49" t="s">
        <v>478</v>
      </c>
      <c r="L46" s="388" t="n">
        <v>150</v>
      </c>
      <c r="M46" s="49" t="s">
        <v>215</v>
      </c>
      <c r="N46" s="49" t="s">
        <v>523</v>
      </c>
      <c r="O46" s="49"/>
      <c r="P46" s="49"/>
      <c r="Q46" s="49"/>
      <c r="R46" s="49"/>
      <c r="S46" s="49"/>
      <c r="T46" s="49"/>
      <c r="U46" s="49"/>
      <c r="V46" s="389"/>
      <c r="W46" s="19"/>
      <c r="X46" s="19"/>
      <c r="Y46" s="19"/>
      <c r="Z46" s="19"/>
    </row>
    <row r="47" customFormat="false" ht="36" hidden="false" customHeight="true" outlineLevel="0" collapsed="false">
      <c r="A47" s="390" t="n">
        <v>5</v>
      </c>
      <c r="B47" s="391" t="s">
        <v>524</v>
      </c>
      <c r="C47" s="391"/>
      <c r="D47" s="394" t="s">
        <v>525</v>
      </c>
      <c r="E47" s="391"/>
      <c r="F47" s="391"/>
      <c r="G47" s="391" t="s">
        <v>484</v>
      </c>
      <c r="H47" s="409" t="n">
        <v>6</v>
      </c>
      <c r="I47" s="391" t="s">
        <v>508</v>
      </c>
      <c r="J47" s="391"/>
      <c r="K47" s="391" t="s">
        <v>478</v>
      </c>
      <c r="L47" s="410" t="n">
        <v>90</v>
      </c>
      <c r="M47" s="391" t="s">
        <v>215</v>
      </c>
      <c r="N47" s="391" t="s">
        <v>523</v>
      </c>
      <c r="O47" s="391"/>
      <c r="P47" s="391"/>
      <c r="Q47" s="391"/>
      <c r="R47" s="391"/>
      <c r="S47" s="391"/>
      <c r="T47" s="391"/>
      <c r="U47" s="391"/>
      <c r="V47" s="393"/>
      <c r="W47" s="19"/>
      <c r="X47" s="19"/>
      <c r="Y47" s="19"/>
      <c r="Z47" s="19"/>
    </row>
    <row r="48" customFormat="false" ht="36" hidden="false" customHeight="true" outlineLevel="0" collapsed="false">
      <c r="A48" s="387" t="n">
        <v>6</v>
      </c>
      <c r="B48" s="49" t="s">
        <v>486</v>
      </c>
      <c r="C48" s="49"/>
      <c r="D48" s="275"/>
      <c r="E48" s="49"/>
      <c r="F48" s="49"/>
      <c r="G48" s="49" t="s">
        <v>484</v>
      </c>
      <c r="H48" s="395" t="n">
        <f aca="false">20.4+20*LOG10(T48)+20*LOG10(F39/1000)+10*LOG10(V48)</f>
        <v>16.6427952255587</v>
      </c>
      <c r="I48" s="49" t="s">
        <v>508</v>
      </c>
      <c r="J48" s="49"/>
      <c r="K48" s="49" t="s">
        <v>478</v>
      </c>
      <c r="L48" s="395" t="n">
        <f aca="false">21/((F39/1000)*T48)</f>
        <v>24.0027431706481</v>
      </c>
      <c r="M48" s="49" t="s">
        <v>215</v>
      </c>
      <c r="N48" s="49" t="s">
        <v>510</v>
      </c>
      <c r="O48" s="49"/>
      <c r="P48" s="49"/>
      <c r="Q48" s="49"/>
      <c r="R48" s="49"/>
      <c r="S48" s="411" t="s">
        <v>511</v>
      </c>
      <c r="T48" s="397" t="n">
        <v>2</v>
      </c>
      <c r="U48" s="398" t="s">
        <v>512</v>
      </c>
      <c r="V48" s="399" t="n">
        <v>0.55</v>
      </c>
      <c r="W48" s="19"/>
      <c r="X48" s="19"/>
      <c r="Y48" s="19"/>
      <c r="Z48" s="19"/>
    </row>
    <row r="49" customFormat="false" ht="36" hidden="false" customHeight="true" outlineLevel="0" collapsed="false">
      <c r="A49" s="400" t="n">
        <v>7</v>
      </c>
      <c r="B49" s="401" t="s">
        <v>513</v>
      </c>
      <c r="C49" s="402"/>
      <c r="D49" s="403"/>
      <c r="E49" s="402"/>
      <c r="F49" s="402"/>
      <c r="G49" s="402" t="s">
        <v>484</v>
      </c>
      <c r="H49" s="379" t="n">
        <v>0</v>
      </c>
      <c r="I49" s="402" t="s">
        <v>514</v>
      </c>
      <c r="J49" s="402"/>
      <c r="K49" s="402" t="s">
        <v>478</v>
      </c>
      <c r="L49" s="373" t="n">
        <v>180</v>
      </c>
      <c r="M49" s="402" t="s">
        <v>215</v>
      </c>
      <c r="N49" s="401" t="s">
        <v>515</v>
      </c>
      <c r="O49" s="402"/>
      <c r="P49" s="402"/>
      <c r="Q49" s="402"/>
      <c r="R49" s="402"/>
      <c r="S49" s="402"/>
      <c r="T49" s="402"/>
      <c r="U49" s="402"/>
      <c r="V49" s="404"/>
      <c r="W49" s="19"/>
      <c r="X49" s="19"/>
      <c r="Y49" s="19"/>
      <c r="Z49" s="19"/>
    </row>
    <row r="50" customFormat="false" ht="12" hidden="false" customHeight="true" outlineLevel="0" collapsed="false">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ustomFormat="false" ht="12" hidden="false" customHeight="true" outlineLevel="0" collapsed="false">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ustomFormat="false" ht="12" hidden="false" customHeight="true" outlineLevel="0" collapsed="false">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ustomFormat="false" ht="12.75" hidden="false" customHeight="true" outlineLevel="0" collapsed="false">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ustomFormat="false" ht="12.75" hidden="false" customHeight="true" outlineLevel="0" collapsed="false">
      <c r="A54" s="19"/>
      <c r="B54" s="331" t="s">
        <v>464</v>
      </c>
      <c r="C54" s="412"/>
      <c r="D54" s="266"/>
      <c r="E54" s="266"/>
      <c r="F54" s="266"/>
      <c r="G54" s="266"/>
      <c r="H54" s="266"/>
      <c r="I54" s="266"/>
      <c r="J54" s="266"/>
      <c r="K54" s="266"/>
      <c r="L54" s="267"/>
      <c r="M54" s="19"/>
      <c r="N54" s="19"/>
      <c r="O54" s="19"/>
      <c r="P54" s="19"/>
      <c r="Q54" s="19"/>
      <c r="R54" s="19"/>
      <c r="S54" s="19"/>
      <c r="T54" s="19"/>
      <c r="U54" s="19"/>
      <c r="V54" s="19"/>
      <c r="W54" s="19"/>
      <c r="X54" s="19"/>
      <c r="Y54" s="19"/>
      <c r="Z54" s="19"/>
    </row>
    <row r="55" customFormat="false" ht="12" hidden="false" customHeight="true" outlineLevel="0" collapsed="false">
      <c r="A55" s="413"/>
      <c r="B55" s="308" t="s">
        <v>0</v>
      </c>
      <c r="C55" s="308"/>
      <c r="D55" s="49" t="s">
        <v>520</v>
      </c>
      <c r="E55" s="334" t="s">
        <v>309</v>
      </c>
      <c r="F55" s="335" t="n">
        <f aca="false">F39</f>
        <v>437.45</v>
      </c>
      <c r="G55" s="49" t="s">
        <v>314</v>
      </c>
      <c r="H55" s="49"/>
      <c r="I55" s="49"/>
      <c r="J55" s="49" t="s">
        <v>466</v>
      </c>
      <c r="K55" s="336" t="n">
        <f aca="false">299.8/F55</f>
        <v>0.685335466910504</v>
      </c>
      <c r="L55" s="269" t="s">
        <v>315</v>
      </c>
      <c r="M55" s="19"/>
      <c r="N55" s="19"/>
      <c r="O55" s="19"/>
      <c r="P55" s="19"/>
      <c r="Q55" s="19"/>
      <c r="R55" s="19"/>
      <c r="S55" s="19"/>
      <c r="T55" s="19"/>
      <c r="U55" s="19"/>
      <c r="V55" s="19"/>
      <c r="W55" s="19"/>
      <c r="X55" s="19"/>
      <c r="Y55" s="19"/>
      <c r="Z55" s="19"/>
    </row>
    <row r="56" customFormat="false" ht="12" hidden="false" customHeight="true" outlineLevel="0" collapsed="false">
      <c r="A56" s="19"/>
      <c r="B56" s="268"/>
      <c r="C56" s="49"/>
      <c r="D56" s="49"/>
      <c r="E56" s="49"/>
      <c r="F56" s="49"/>
      <c r="G56" s="49"/>
      <c r="H56" s="49"/>
      <c r="I56" s="49"/>
      <c r="J56" s="49"/>
      <c r="K56" s="49"/>
      <c r="L56" s="269"/>
      <c r="M56" s="19"/>
      <c r="N56" s="19"/>
      <c r="O56" s="19"/>
      <c r="P56" s="19"/>
      <c r="Q56" s="19"/>
      <c r="R56" s="19"/>
      <c r="S56" s="19"/>
      <c r="T56" s="19"/>
      <c r="U56" s="19"/>
      <c r="V56" s="19"/>
      <c r="W56" s="19"/>
      <c r="X56" s="19"/>
      <c r="Y56" s="19"/>
      <c r="Z56" s="19"/>
    </row>
    <row r="57" customFormat="false" ht="12.75" hidden="false" customHeight="true" outlineLevel="0" collapsed="false">
      <c r="A57" s="98"/>
      <c r="B57" s="268"/>
      <c r="C57" s="49"/>
      <c r="D57" s="49"/>
      <c r="E57" s="49"/>
      <c r="F57" s="337" t="s">
        <v>467</v>
      </c>
      <c r="G57" s="49"/>
      <c r="H57" s="49"/>
      <c r="I57" s="49"/>
      <c r="J57" s="49"/>
      <c r="K57" s="49"/>
      <c r="L57" s="269"/>
      <c r="M57" s="19"/>
      <c r="N57" s="19"/>
      <c r="O57" s="19"/>
      <c r="P57" s="19"/>
      <c r="Q57" s="19"/>
      <c r="R57" s="19"/>
      <c r="S57" s="19"/>
      <c r="T57" s="19"/>
      <c r="U57" s="19"/>
      <c r="V57" s="19"/>
      <c r="W57" s="19"/>
      <c r="X57" s="19"/>
      <c r="Y57" s="19"/>
      <c r="Z57" s="19"/>
    </row>
    <row r="58" customFormat="false" ht="12.75" hidden="false" customHeight="true" outlineLevel="0" collapsed="false">
      <c r="A58" s="98"/>
      <c r="B58" s="333" t="s">
        <v>0</v>
      </c>
      <c r="C58" s="49"/>
      <c r="D58" s="49"/>
      <c r="E58" s="338" t="n">
        <v>1</v>
      </c>
      <c r="F58" s="339" t="str">
        <f aca="false" t="array" ref="F58:F58">INDEX(B60:B63,E58,1)</f>
        <v>Yagi</v>
      </c>
      <c r="G58" s="340"/>
      <c r="H58" s="49"/>
      <c r="I58" s="49"/>
      <c r="J58" s="49" t="s">
        <v>468</v>
      </c>
      <c r="K58" s="50" t="s">
        <v>469</v>
      </c>
      <c r="L58" s="269"/>
      <c r="M58" s="19"/>
      <c r="N58" s="19"/>
      <c r="O58" s="19"/>
      <c r="P58" s="19"/>
      <c r="Q58" s="19"/>
      <c r="R58" s="19"/>
      <c r="S58" s="19"/>
      <c r="T58" s="19"/>
      <c r="U58" s="19"/>
      <c r="V58" s="19"/>
      <c r="W58" s="19"/>
      <c r="X58" s="19"/>
      <c r="Y58" s="19"/>
      <c r="Z58" s="19"/>
    </row>
    <row r="59" customFormat="false" ht="12.75" hidden="false" customHeight="true" outlineLevel="0" collapsed="false">
      <c r="A59" s="341" t="s">
        <v>470</v>
      </c>
      <c r="B59" s="279"/>
      <c r="C59" s="280"/>
      <c r="D59" s="280"/>
      <c r="E59" s="280"/>
      <c r="F59" s="280"/>
      <c r="G59" s="280"/>
      <c r="H59" s="280"/>
      <c r="I59" s="280"/>
      <c r="J59" s="280"/>
      <c r="K59" s="280"/>
      <c r="L59" s="281"/>
      <c r="M59" s="19"/>
      <c r="N59" s="19"/>
      <c r="O59" s="19"/>
      <c r="P59" s="19"/>
      <c r="Q59" s="19"/>
      <c r="R59" s="19"/>
      <c r="S59" s="19"/>
      <c r="T59" s="19"/>
      <c r="U59" s="19"/>
      <c r="V59" s="19"/>
      <c r="W59" s="19"/>
      <c r="X59" s="19"/>
      <c r="Y59" s="19"/>
      <c r="Z59" s="19"/>
    </row>
    <row r="60" customFormat="false" ht="36" hidden="false" customHeight="true" outlineLevel="0" collapsed="false">
      <c r="A60" s="345" t="n">
        <v>1</v>
      </c>
      <c r="B60" s="346" t="s">
        <v>471</v>
      </c>
      <c r="C60" s="346"/>
      <c r="D60" s="347" t="s">
        <v>472</v>
      </c>
      <c r="E60" s="348" t="n">
        <v>4</v>
      </c>
      <c r="F60" s="346"/>
      <c r="G60" s="347" t="s">
        <v>473</v>
      </c>
      <c r="H60" s="349" t="n">
        <f aca="false" t="array" ref="H60:H60">IF(E60&lt;$B$72,"too short!",INDEX($D$72:$D$110,MATCH(E60,$B$72:$B$110,1),1))</f>
        <v>14</v>
      </c>
      <c r="I60" s="346" t="s">
        <v>474</v>
      </c>
      <c r="J60" s="350" t="s">
        <v>475</v>
      </c>
      <c r="K60" s="346"/>
      <c r="L60" s="346"/>
      <c r="M60" s="351" t="s">
        <v>476</v>
      </c>
      <c r="N60" s="352" t="n">
        <f aca="false" t="array" ref="N60:N60">IF(E60&lt;$B$72,"too short!",INDEX($F$72:$F$110,MATCH(E60,$B$72:$B$110,1),1))</f>
        <v>17.45</v>
      </c>
      <c r="O60" s="353" t="s">
        <v>477</v>
      </c>
      <c r="P60" s="353" t="s">
        <v>478</v>
      </c>
      <c r="Q60" s="354" t="n">
        <f aca="false">SQRT(40000/(10^(N60/10)))</f>
        <v>26.8243987081074</v>
      </c>
      <c r="R60" s="353" t="s">
        <v>215</v>
      </c>
      <c r="S60" s="353" t="s">
        <v>526</v>
      </c>
      <c r="T60" s="353"/>
      <c r="U60" s="355" t="n">
        <f aca="false">K55*E60</f>
        <v>2.74134186764202</v>
      </c>
      <c r="V60" s="356" t="s">
        <v>315</v>
      </c>
      <c r="W60" s="19"/>
      <c r="X60" s="19"/>
      <c r="Y60" s="19"/>
      <c r="Z60" s="19"/>
    </row>
    <row r="61" customFormat="false" ht="35.25" hidden="false" customHeight="true" outlineLevel="0" collapsed="false">
      <c r="A61" s="357" t="n">
        <v>2</v>
      </c>
      <c r="B61" s="358" t="s">
        <v>480</v>
      </c>
      <c r="C61" s="358"/>
      <c r="D61" s="358" t="s">
        <v>481</v>
      </c>
      <c r="E61" s="359" t="n">
        <v>10</v>
      </c>
      <c r="F61" s="358"/>
      <c r="G61" s="360" t="s">
        <v>482</v>
      </c>
      <c r="H61" s="359" t="n">
        <v>0.25</v>
      </c>
      <c r="I61" s="358"/>
      <c r="J61" s="360" t="s">
        <v>483</v>
      </c>
      <c r="K61" s="361" t="n">
        <v>1</v>
      </c>
      <c r="L61" s="358"/>
      <c r="M61" s="358" t="s">
        <v>484</v>
      </c>
      <c r="N61" s="362" t="n">
        <f aca="false">10*LOG10(15*K61^2*E61*H61)</f>
        <v>15.74031268</v>
      </c>
      <c r="O61" s="358" t="s">
        <v>477</v>
      </c>
      <c r="P61" s="358" t="s">
        <v>478</v>
      </c>
      <c r="Q61" s="363" t="n">
        <f aca="false">115/(K61*((E61*H61)^0.5))</f>
        <v>72.73238618</v>
      </c>
      <c r="R61" s="358" t="s">
        <v>215</v>
      </c>
      <c r="S61" s="414" t="s">
        <v>526</v>
      </c>
      <c r="T61" s="414"/>
      <c r="U61" s="364" t="n">
        <f aca="false">H61*E61*K55</f>
        <v>1.71333866727626</v>
      </c>
      <c r="V61" s="365" t="s">
        <v>315</v>
      </c>
      <c r="W61" s="19"/>
      <c r="X61" s="19"/>
      <c r="Y61" s="19"/>
      <c r="Z61" s="19"/>
    </row>
    <row r="62" customFormat="false" ht="36" hidden="false" customHeight="true" outlineLevel="0" collapsed="false">
      <c r="A62" s="366" t="n">
        <v>3</v>
      </c>
      <c r="B62" s="367" t="s">
        <v>486</v>
      </c>
      <c r="C62" s="367"/>
      <c r="D62" s="367"/>
      <c r="E62" s="367"/>
      <c r="F62" s="367"/>
      <c r="G62" s="368" t="s">
        <v>487</v>
      </c>
      <c r="H62" s="369" t="n">
        <v>2</v>
      </c>
      <c r="I62" s="367"/>
      <c r="J62" s="368" t="s">
        <v>488</v>
      </c>
      <c r="K62" s="370" t="n">
        <v>0.6</v>
      </c>
      <c r="L62" s="367"/>
      <c r="M62" s="367" t="s">
        <v>484</v>
      </c>
      <c r="N62" s="362" t="n">
        <f aca="false">20.4+20*LOG10(H62)+20*LOG10(F55/1000)+10*LOG10(K62)</f>
        <v>17.0206808344527</v>
      </c>
      <c r="O62" s="367" t="s">
        <v>477</v>
      </c>
      <c r="P62" s="367" t="s">
        <v>478</v>
      </c>
      <c r="Q62" s="363" t="n">
        <f aca="false">21/((F55/1000)*H62)</f>
        <v>24.0027431706481</v>
      </c>
      <c r="R62" s="367" t="s">
        <v>215</v>
      </c>
      <c r="S62" s="367"/>
      <c r="T62" s="367"/>
      <c r="U62" s="367"/>
      <c r="V62" s="371"/>
      <c r="W62" s="19"/>
      <c r="X62" s="19"/>
      <c r="Y62" s="19"/>
      <c r="Z62" s="19"/>
    </row>
    <row r="63" customFormat="false" ht="36" hidden="false" customHeight="true" outlineLevel="0" collapsed="false">
      <c r="A63" s="372" t="n">
        <v>4</v>
      </c>
      <c r="B63" s="343" t="s">
        <v>489</v>
      </c>
      <c r="C63" s="343"/>
      <c r="D63" s="415" t="s">
        <v>490</v>
      </c>
      <c r="E63" s="415"/>
      <c r="F63" s="415" t="s">
        <v>471</v>
      </c>
      <c r="G63" s="416" t="s">
        <v>491</v>
      </c>
      <c r="H63" s="375"/>
      <c r="I63" s="343"/>
      <c r="J63" s="376"/>
      <c r="K63" s="377"/>
      <c r="L63" s="343"/>
      <c r="M63" s="343" t="s">
        <v>484</v>
      </c>
      <c r="N63" s="417" t="n">
        <v>18.5</v>
      </c>
      <c r="O63" s="343" t="s">
        <v>477</v>
      </c>
      <c r="P63" s="343" t="s">
        <v>478</v>
      </c>
      <c r="Q63" s="418" t="n">
        <v>24</v>
      </c>
      <c r="R63" s="343" t="s">
        <v>215</v>
      </c>
      <c r="S63" s="419" t="s">
        <v>527</v>
      </c>
      <c r="T63" s="343"/>
      <c r="U63" s="380" t="s">
        <v>75</v>
      </c>
      <c r="V63" s="381" t="s">
        <v>315</v>
      </c>
      <c r="W63" s="19"/>
      <c r="X63" s="19"/>
      <c r="Y63" s="19"/>
      <c r="Z63" s="19"/>
    </row>
    <row r="64" customFormat="false" ht="12" hidden="false" customHeight="true" outlineLevel="0" collapsed="false">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ustomFormat="false" ht="12" hidden="false" customHeight="true" outlineLevel="0" collapsed="false">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ustomFormat="false" ht="12.75" hidden="false" customHeight="true" outlineLevel="0" collapsed="false">
      <c r="A66" s="19"/>
      <c r="B66" s="19"/>
      <c r="C66" s="19"/>
      <c r="D66" s="19" t="s">
        <v>528</v>
      </c>
      <c r="E66" s="19"/>
      <c r="F66" s="19"/>
      <c r="G66" s="19"/>
      <c r="H66" s="19"/>
      <c r="I66" s="19"/>
      <c r="J66" s="19"/>
      <c r="K66" s="19"/>
      <c r="L66" s="19"/>
      <c r="M66" s="19"/>
      <c r="N66" s="19"/>
      <c r="O66" s="19"/>
      <c r="P66" s="19"/>
      <c r="Q66" s="19"/>
      <c r="R66" s="19"/>
      <c r="S66" s="19"/>
      <c r="T66" s="19"/>
      <c r="U66" s="19"/>
      <c r="V66" s="19"/>
      <c r="W66" s="19"/>
      <c r="X66" s="19"/>
      <c r="Y66" s="19"/>
      <c r="Z66" s="19"/>
    </row>
    <row r="67" customFormat="false" ht="15.75" hidden="false" customHeight="true" outlineLevel="0" collapsed="false">
      <c r="A67" s="19"/>
      <c r="B67" s="420" t="s">
        <v>529</v>
      </c>
      <c r="C67" s="421"/>
      <c r="D67" s="421"/>
      <c r="E67" s="421"/>
      <c r="F67" s="332"/>
      <c r="G67" s="19"/>
      <c r="H67" s="19"/>
      <c r="I67" s="19"/>
      <c r="J67" s="19"/>
      <c r="K67" s="19"/>
      <c r="L67" s="19"/>
      <c r="M67" s="19"/>
      <c r="N67" s="19"/>
      <c r="O67" s="19"/>
      <c r="P67" s="19"/>
      <c r="Q67" s="19"/>
      <c r="R67" s="19"/>
      <c r="S67" s="19"/>
      <c r="T67" s="19"/>
      <c r="U67" s="19"/>
      <c r="V67" s="19"/>
      <c r="W67" s="19"/>
      <c r="X67" s="19"/>
      <c r="Y67" s="19"/>
      <c r="Z67" s="19"/>
    </row>
    <row r="68" customFormat="false" ht="12" hidden="false" customHeight="true" outlineLevel="0" collapsed="false">
      <c r="A68" s="19"/>
      <c r="B68" s="422"/>
      <c r="C68" s="391"/>
      <c r="D68" s="391"/>
      <c r="E68" s="391"/>
      <c r="F68" s="423"/>
      <c r="G68" s="19"/>
      <c r="H68" s="19"/>
      <c r="I68" s="19"/>
      <c r="J68" s="19"/>
      <c r="K68" s="19"/>
      <c r="L68" s="19"/>
      <c r="M68" s="19"/>
      <c r="N68" s="19"/>
      <c r="O68" s="19"/>
      <c r="P68" s="19"/>
      <c r="Q68" s="19"/>
      <c r="R68" s="19"/>
      <c r="S68" s="19"/>
      <c r="T68" s="19"/>
      <c r="U68" s="19"/>
      <c r="V68" s="19"/>
      <c r="W68" s="19"/>
      <c r="X68" s="19"/>
      <c r="Y68" s="19"/>
      <c r="Z68" s="19"/>
    </row>
    <row r="69" customFormat="false" ht="12" hidden="false" customHeight="true" outlineLevel="0" collapsed="false">
      <c r="A69" s="19"/>
      <c r="B69" s="424" t="s">
        <v>530</v>
      </c>
      <c r="C69" s="391"/>
      <c r="D69" s="391" t="s">
        <v>531</v>
      </c>
      <c r="E69" s="391"/>
      <c r="F69" s="423" t="s">
        <v>532</v>
      </c>
      <c r="G69" s="19"/>
      <c r="H69" s="19"/>
      <c r="I69" s="19"/>
      <c r="J69" s="19"/>
      <c r="K69" s="19"/>
      <c r="L69" s="19"/>
      <c r="M69" s="19"/>
      <c r="N69" s="19"/>
      <c r="O69" s="19"/>
      <c r="P69" s="19"/>
      <c r="Q69" s="19"/>
      <c r="R69" s="19"/>
      <c r="S69" s="19"/>
      <c r="T69" s="19"/>
      <c r="U69" s="19"/>
      <c r="V69" s="19"/>
      <c r="W69" s="19"/>
      <c r="X69" s="19"/>
      <c r="Y69" s="19"/>
      <c r="Z69" s="19"/>
    </row>
    <row r="70" customFormat="false" ht="12" hidden="false" customHeight="true" outlineLevel="0" collapsed="false">
      <c r="A70" s="19"/>
      <c r="B70" s="424" t="s">
        <v>533</v>
      </c>
      <c r="C70" s="391"/>
      <c r="D70" s="391" t="s">
        <v>534</v>
      </c>
      <c r="E70" s="391"/>
      <c r="F70" s="423" t="s">
        <v>535</v>
      </c>
      <c r="G70" s="19"/>
      <c r="H70" s="19"/>
      <c r="I70" s="19"/>
      <c r="J70" s="19"/>
      <c r="K70" s="19"/>
      <c r="L70" s="19"/>
      <c r="M70" s="19"/>
      <c r="N70" s="19"/>
      <c r="O70" s="19"/>
      <c r="P70" s="19"/>
      <c r="Q70" s="19"/>
      <c r="R70" s="19"/>
      <c r="S70" s="19"/>
      <c r="T70" s="19"/>
      <c r="U70" s="19"/>
      <c r="V70" s="19"/>
      <c r="W70" s="19"/>
      <c r="X70" s="19"/>
      <c r="Y70" s="19"/>
      <c r="Z70" s="19"/>
    </row>
    <row r="71" customFormat="false" ht="12" hidden="false" customHeight="true" outlineLevel="0" collapsed="false">
      <c r="A71" s="19"/>
      <c r="B71" s="422"/>
      <c r="C71" s="391"/>
      <c r="D71" s="391"/>
      <c r="E71" s="391"/>
      <c r="F71" s="423"/>
      <c r="G71" s="19"/>
      <c r="H71" s="19"/>
      <c r="I71" s="19"/>
      <c r="J71" s="19"/>
      <c r="K71" s="19"/>
      <c r="L71" s="19"/>
      <c r="M71" s="19"/>
      <c r="N71" s="19"/>
      <c r="O71" s="19"/>
      <c r="P71" s="19"/>
      <c r="Q71" s="19"/>
      <c r="R71" s="19"/>
      <c r="S71" s="19"/>
      <c r="T71" s="19"/>
      <c r="U71" s="19"/>
      <c r="V71" s="19"/>
      <c r="W71" s="19"/>
      <c r="X71" s="19"/>
      <c r="Y71" s="19"/>
      <c r="Z71" s="19"/>
    </row>
    <row r="72" customFormat="false" ht="12" hidden="false" customHeight="true" outlineLevel="0" collapsed="false">
      <c r="A72" s="19"/>
      <c r="B72" s="425" t="n">
        <v>0.35</v>
      </c>
      <c r="C72" s="426"/>
      <c r="D72" s="426" t="n">
        <v>3</v>
      </c>
      <c r="E72" s="426"/>
      <c r="F72" s="427" t="n">
        <v>9.65</v>
      </c>
      <c r="G72" s="19"/>
      <c r="H72" s="19"/>
      <c r="I72" s="19"/>
      <c r="J72" s="19"/>
      <c r="K72" s="19"/>
      <c r="L72" s="19"/>
      <c r="M72" s="19"/>
      <c r="N72" s="19"/>
      <c r="O72" s="19"/>
      <c r="P72" s="19"/>
      <c r="Q72" s="19"/>
      <c r="R72" s="19"/>
      <c r="S72" s="19"/>
      <c r="T72" s="19"/>
      <c r="U72" s="19"/>
      <c r="V72" s="19"/>
      <c r="W72" s="19"/>
      <c r="X72" s="19"/>
      <c r="Y72" s="19"/>
      <c r="Z72" s="19"/>
    </row>
    <row r="73" customFormat="false" ht="12" hidden="false" customHeight="true" outlineLevel="0" collapsed="false">
      <c r="A73" s="19"/>
      <c r="B73" s="425" t="s">
        <v>0</v>
      </c>
      <c r="C73" s="426"/>
      <c r="D73" s="426"/>
      <c r="E73" s="426"/>
      <c r="F73" s="427"/>
      <c r="G73" s="19"/>
      <c r="H73" s="19"/>
      <c r="I73" s="19"/>
      <c r="J73" s="19"/>
      <c r="K73" s="19"/>
      <c r="L73" s="19"/>
      <c r="M73" s="19"/>
      <c r="N73" s="19"/>
      <c r="O73" s="19"/>
      <c r="P73" s="19"/>
      <c r="Q73" s="19"/>
      <c r="R73" s="19"/>
      <c r="S73" s="19"/>
      <c r="T73" s="19"/>
      <c r="U73" s="19"/>
      <c r="V73" s="19"/>
      <c r="W73" s="19"/>
      <c r="X73" s="19"/>
      <c r="Y73" s="19"/>
      <c r="Z73" s="19"/>
    </row>
    <row r="74" customFormat="false" ht="12" hidden="false" customHeight="true" outlineLevel="0" collapsed="false">
      <c r="A74" s="19"/>
      <c r="B74" s="425" t="n">
        <v>0.55</v>
      </c>
      <c r="C74" s="426"/>
      <c r="D74" s="426" t="n">
        <v>4</v>
      </c>
      <c r="E74" s="426"/>
      <c r="F74" s="427" t="n">
        <v>10.86</v>
      </c>
      <c r="G74" s="19"/>
      <c r="H74" s="19"/>
      <c r="I74" s="19"/>
      <c r="J74" s="19"/>
      <c r="K74" s="19"/>
      <c r="L74" s="19"/>
      <c r="M74" s="19"/>
      <c r="N74" s="19"/>
      <c r="O74" s="19"/>
      <c r="P74" s="19"/>
      <c r="Q74" s="19"/>
      <c r="R74" s="19"/>
      <c r="S74" s="19"/>
      <c r="T74" s="19"/>
      <c r="U74" s="19"/>
      <c r="V74" s="19"/>
      <c r="W74" s="19"/>
      <c r="X74" s="19"/>
      <c r="Y74" s="19"/>
      <c r="Z74" s="19"/>
    </row>
    <row r="75" customFormat="false" ht="12" hidden="false" customHeight="true" outlineLevel="0" collapsed="false">
      <c r="A75" s="19"/>
      <c r="B75" s="425"/>
      <c r="C75" s="426"/>
      <c r="D75" s="426"/>
      <c r="E75" s="426"/>
      <c r="F75" s="427"/>
      <c r="G75" s="19"/>
      <c r="H75" s="19"/>
      <c r="I75" s="19"/>
      <c r="J75" s="19"/>
      <c r="K75" s="19"/>
      <c r="L75" s="19"/>
      <c r="M75" s="19"/>
      <c r="N75" s="19"/>
      <c r="O75" s="19"/>
      <c r="P75" s="19"/>
      <c r="Q75" s="19"/>
      <c r="R75" s="19"/>
      <c r="S75" s="19"/>
      <c r="T75" s="19"/>
      <c r="U75" s="19"/>
      <c r="V75" s="19"/>
      <c r="W75" s="19"/>
      <c r="X75" s="19"/>
      <c r="Y75" s="19"/>
      <c r="Z75" s="19"/>
    </row>
    <row r="76" customFormat="false" ht="12" hidden="false" customHeight="true" outlineLevel="0" collapsed="false">
      <c r="A76" s="19"/>
      <c r="B76" s="425" t="n">
        <v>0.8</v>
      </c>
      <c r="C76" s="426"/>
      <c r="D76" s="426" t="n">
        <v>5</v>
      </c>
      <c r="E76" s="426"/>
      <c r="F76" s="427" t="n">
        <v>11.85</v>
      </c>
      <c r="G76" s="19"/>
      <c r="H76" s="19"/>
      <c r="I76" s="19"/>
      <c r="J76" s="19"/>
      <c r="K76" s="19"/>
      <c r="L76" s="19"/>
      <c r="M76" s="19"/>
      <c r="N76" s="19"/>
      <c r="O76" s="19"/>
      <c r="P76" s="19"/>
      <c r="Q76" s="19"/>
      <c r="R76" s="19"/>
      <c r="S76" s="19"/>
      <c r="T76" s="19"/>
      <c r="U76" s="19"/>
      <c r="V76" s="19"/>
      <c r="W76" s="19"/>
      <c r="X76" s="19"/>
      <c r="Y76" s="19"/>
      <c r="Z76" s="19"/>
    </row>
    <row r="77" customFormat="false" ht="12" hidden="false" customHeight="true" outlineLevel="0" collapsed="false">
      <c r="A77" s="19"/>
      <c r="B77" s="425"/>
      <c r="C77" s="426"/>
      <c r="D77" s="426"/>
      <c r="E77" s="426"/>
      <c r="F77" s="427"/>
      <c r="G77" s="19"/>
      <c r="H77" s="19"/>
      <c r="I77" s="19"/>
      <c r="J77" s="19"/>
      <c r="K77" s="19"/>
      <c r="L77" s="19"/>
      <c r="M77" s="19"/>
      <c r="N77" s="19"/>
      <c r="O77" s="19"/>
      <c r="P77" s="19"/>
      <c r="Q77" s="19"/>
      <c r="R77" s="19"/>
      <c r="S77" s="19"/>
      <c r="T77" s="19"/>
      <c r="U77" s="19"/>
      <c r="V77" s="19"/>
      <c r="W77" s="19"/>
      <c r="X77" s="19"/>
      <c r="Y77" s="19"/>
      <c r="Z77" s="19"/>
    </row>
    <row r="78" customFormat="false" ht="12" hidden="false" customHeight="true" outlineLevel="0" collapsed="false">
      <c r="A78" s="19"/>
      <c r="B78" s="425" t="n">
        <v>1.15</v>
      </c>
      <c r="C78" s="426"/>
      <c r="D78" s="426" t="n">
        <v>6</v>
      </c>
      <c r="E78" s="426"/>
      <c r="F78" s="427" t="n">
        <v>12.45</v>
      </c>
      <c r="G78" s="19"/>
      <c r="H78" s="19"/>
      <c r="I78" s="19"/>
      <c r="J78" s="19"/>
      <c r="K78" s="19"/>
      <c r="L78" s="19"/>
      <c r="M78" s="19"/>
      <c r="N78" s="19"/>
      <c r="O78" s="19"/>
      <c r="P78" s="19"/>
      <c r="Q78" s="19"/>
      <c r="R78" s="19"/>
      <c r="S78" s="19"/>
      <c r="T78" s="19"/>
      <c r="U78" s="19"/>
      <c r="V78" s="19"/>
      <c r="W78" s="19"/>
      <c r="X78" s="19"/>
      <c r="Y78" s="19"/>
      <c r="Z78" s="19"/>
    </row>
    <row r="79" customFormat="false" ht="12" hidden="false" customHeight="true" outlineLevel="0" collapsed="false">
      <c r="A79" s="19"/>
      <c r="B79" s="425"/>
      <c r="C79" s="426"/>
      <c r="D79" s="426"/>
      <c r="E79" s="426"/>
      <c r="F79" s="427"/>
      <c r="G79" s="19"/>
      <c r="H79" s="19"/>
      <c r="I79" s="19"/>
      <c r="J79" s="19"/>
      <c r="K79" s="19"/>
      <c r="L79" s="19"/>
      <c r="M79" s="19"/>
      <c r="N79" s="19"/>
      <c r="O79" s="19"/>
      <c r="P79" s="19"/>
      <c r="Q79" s="19"/>
      <c r="R79" s="19"/>
      <c r="S79" s="19"/>
      <c r="T79" s="19"/>
      <c r="U79" s="19"/>
      <c r="V79" s="19"/>
      <c r="W79" s="19"/>
      <c r="X79" s="19"/>
      <c r="Y79" s="19"/>
      <c r="Z79" s="19"/>
    </row>
    <row r="80" customFormat="false" ht="12" hidden="false" customHeight="true" outlineLevel="0" collapsed="false">
      <c r="A80" s="19"/>
      <c r="B80" s="425" t="n">
        <v>1.45</v>
      </c>
      <c r="C80" s="426"/>
      <c r="D80" s="426" t="n">
        <v>7</v>
      </c>
      <c r="E80" s="426"/>
      <c r="F80" s="427" t="n">
        <v>13.35</v>
      </c>
      <c r="G80" s="19"/>
      <c r="H80" s="19"/>
      <c r="I80" s="19"/>
      <c r="J80" s="19"/>
      <c r="K80" s="19"/>
      <c r="L80" s="19"/>
      <c r="M80" s="19"/>
      <c r="N80" s="19"/>
      <c r="O80" s="19"/>
      <c r="P80" s="19"/>
      <c r="Q80" s="19"/>
      <c r="R80" s="19"/>
      <c r="S80" s="19"/>
      <c r="T80" s="19"/>
      <c r="U80" s="19"/>
      <c r="V80" s="19"/>
      <c r="W80" s="19"/>
      <c r="X80" s="19"/>
      <c r="Y80" s="19"/>
      <c r="Z80" s="19"/>
    </row>
    <row r="81" customFormat="false" ht="12" hidden="false" customHeight="true" outlineLevel="0" collapsed="false">
      <c r="A81" s="19"/>
      <c r="B81" s="425"/>
      <c r="C81" s="426"/>
      <c r="D81" s="426"/>
      <c r="E81" s="426"/>
      <c r="F81" s="427"/>
      <c r="G81" s="19"/>
      <c r="H81" s="19"/>
      <c r="I81" s="19"/>
      <c r="J81" s="19"/>
      <c r="K81" s="19"/>
      <c r="L81" s="19"/>
      <c r="M81" s="19"/>
      <c r="N81" s="19"/>
      <c r="O81" s="19"/>
      <c r="P81" s="19"/>
      <c r="Q81" s="19"/>
      <c r="R81" s="19"/>
      <c r="S81" s="19"/>
      <c r="T81" s="19"/>
      <c r="U81" s="19"/>
      <c r="V81" s="19"/>
      <c r="W81" s="19"/>
      <c r="X81" s="19"/>
      <c r="Y81" s="19"/>
      <c r="Z81" s="19"/>
    </row>
    <row r="82" customFormat="false" ht="12" hidden="false" customHeight="true" outlineLevel="0" collapsed="false">
      <c r="A82" s="19"/>
      <c r="B82" s="425" t="n">
        <v>1.8</v>
      </c>
      <c r="C82" s="426"/>
      <c r="D82" s="426" t="n">
        <v>8</v>
      </c>
      <c r="E82" s="426"/>
      <c r="F82" s="427" t="n">
        <v>14.05</v>
      </c>
      <c r="G82" s="19"/>
      <c r="H82" s="19"/>
      <c r="I82" s="19"/>
      <c r="J82" s="19"/>
      <c r="K82" s="19"/>
      <c r="L82" s="19"/>
      <c r="M82" s="19"/>
      <c r="N82" s="19"/>
      <c r="O82" s="19"/>
      <c r="P82" s="19"/>
      <c r="Q82" s="19"/>
      <c r="R82" s="19"/>
      <c r="S82" s="19"/>
      <c r="T82" s="19"/>
      <c r="U82" s="19"/>
      <c r="V82" s="19"/>
      <c r="W82" s="19"/>
      <c r="X82" s="19"/>
      <c r="Y82" s="19"/>
      <c r="Z82" s="19"/>
    </row>
    <row r="83" customFormat="false" ht="12" hidden="false" customHeight="true" outlineLevel="0" collapsed="false">
      <c r="A83" s="19"/>
      <c r="B83" s="425"/>
      <c r="C83" s="426"/>
      <c r="D83" s="426"/>
      <c r="E83" s="426"/>
      <c r="F83" s="427"/>
      <c r="G83" s="19"/>
      <c r="H83" s="19"/>
      <c r="I83" s="19"/>
      <c r="J83" s="19"/>
      <c r="K83" s="19"/>
      <c r="L83" s="19"/>
      <c r="M83" s="19"/>
      <c r="N83" s="19"/>
      <c r="O83" s="19"/>
      <c r="P83" s="19"/>
      <c r="Q83" s="19"/>
      <c r="R83" s="19"/>
      <c r="S83" s="19"/>
      <c r="T83" s="19"/>
      <c r="U83" s="19"/>
      <c r="V83" s="19"/>
      <c r="W83" s="19"/>
      <c r="X83" s="19"/>
      <c r="Y83" s="19"/>
      <c r="Z83" s="19"/>
    </row>
    <row r="84" customFormat="false" ht="12" hidden="false" customHeight="true" outlineLevel="0" collapsed="false">
      <c r="A84" s="19"/>
      <c r="B84" s="425" t="n">
        <v>2.1</v>
      </c>
      <c r="C84" s="426"/>
      <c r="D84" s="426" t="n">
        <v>9</v>
      </c>
      <c r="E84" s="426"/>
      <c r="F84" s="427" t="n">
        <v>14.4</v>
      </c>
      <c r="G84" s="19"/>
      <c r="H84" s="19"/>
      <c r="I84" s="19"/>
      <c r="J84" s="19"/>
      <c r="K84" s="19"/>
      <c r="L84" s="19"/>
      <c r="M84" s="19"/>
      <c r="N84" s="19"/>
      <c r="O84" s="19"/>
      <c r="P84" s="19"/>
      <c r="Q84" s="19"/>
      <c r="R84" s="19"/>
      <c r="S84" s="19"/>
      <c r="T84" s="19"/>
      <c r="U84" s="19"/>
      <c r="V84" s="19"/>
      <c r="W84" s="19"/>
      <c r="X84" s="19"/>
      <c r="Y84" s="19"/>
      <c r="Z84" s="19"/>
    </row>
    <row r="85" customFormat="false" ht="12" hidden="false" customHeight="true" outlineLevel="0" collapsed="false">
      <c r="A85" s="19"/>
      <c r="B85" s="425"/>
      <c r="C85" s="426"/>
      <c r="D85" s="426"/>
      <c r="E85" s="426"/>
      <c r="F85" s="427"/>
      <c r="G85" s="19"/>
      <c r="H85" s="19"/>
      <c r="I85" s="19"/>
      <c r="J85" s="19"/>
      <c r="K85" s="19"/>
      <c r="L85" s="19"/>
      <c r="M85" s="19"/>
      <c r="N85" s="19"/>
      <c r="O85" s="19"/>
      <c r="P85" s="19"/>
      <c r="Q85" s="19"/>
      <c r="R85" s="19"/>
      <c r="S85" s="19"/>
      <c r="T85" s="19"/>
      <c r="U85" s="19"/>
      <c r="V85" s="19"/>
      <c r="W85" s="19"/>
      <c r="X85" s="19"/>
      <c r="Y85" s="19"/>
      <c r="Z85" s="19"/>
    </row>
    <row r="86" customFormat="false" ht="12" hidden="false" customHeight="true" outlineLevel="0" collapsed="false">
      <c r="A86" s="19"/>
      <c r="B86" s="425" t="n">
        <v>2.45</v>
      </c>
      <c r="C86" s="426"/>
      <c r="D86" s="426" t="n">
        <v>10</v>
      </c>
      <c r="E86" s="426"/>
      <c r="F86" s="427" t="n">
        <v>15.25</v>
      </c>
      <c r="G86" s="19"/>
      <c r="H86" s="19"/>
      <c r="I86" s="19"/>
      <c r="J86" s="19"/>
      <c r="K86" s="19"/>
      <c r="L86" s="19"/>
      <c r="M86" s="19"/>
      <c r="N86" s="19"/>
      <c r="O86" s="19"/>
      <c r="P86" s="19"/>
      <c r="Q86" s="19"/>
      <c r="R86" s="19"/>
      <c r="S86" s="19"/>
      <c r="T86" s="19"/>
      <c r="U86" s="19"/>
      <c r="V86" s="19"/>
      <c r="W86" s="19"/>
      <c r="X86" s="19"/>
      <c r="Y86" s="19"/>
      <c r="Z86" s="19"/>
    </row>
    <row r="87" customFormat="false" ht="12" hidden="false" customHeight="true" outlineLevel="0" collapsed="false">
      <c r="A87" s="19"/>
      <c r="B87" s="425"/>
      <c r="C87" s="426"/>
      <c r="D87" s="426"/>
      <c r="E87" s="426"/>
      <c r="F87" s="427"/>
      <c r="G87" s="19"/>
      <c r="H87" s="19"/>
      <c r="I87" s="19"/>
      <c r="J87" s="19"/>
      <c r="K87" s="19"/>
      <c r="L87" s="19"/>
      <c r="M87" s="19"/>
      <c r="N87" s="19"/>
      <c r="O87" s="19"/>
      <c r="P87" s="19"/>
      <c r="Q87" s="19"/>
      <c r="R87" s="19"/>
      <c r="S87" s="19"/>
      <c r="T87" s="19"/>
      <c r="U87" s="19"/>
      <c r="V87" s="19"/>
      <c r="W87" s="19"/>
      <c r="X87" s="19"/>
      <c r="Y87" s="19"/>
      <c r="Z87" s="19"/>
    </row>
    <row r="88" customFormat="false" ht="12" hidden="false" customHeight="true" outlineLevel="0" collapsed="false">
      <c r="A88" s="19"/>
      <c r="B88" s="425" t="n">
        <v>2.8</v>
      </c>
      <c r="C88" s="426"/>
      <c r="D88" s="426" t="n">
        <v>11</v>
      </c>
      <c r="E88" s="426"/>
      <c r="F88" s="427" t="n">
        <v>15.95</v>
      </c>
      <c r="G88" s="19"/>
      <c r="H88" s="19"/>
      <c r="I88" s="19"/>
      <c r="J88" s="19"/>
      <c r="K88" s="19"/>
      <c r="L88" s="19"/>
      <c r="M88" s="19"/>
      <c r="N88" s="19"/>
      <c r="O88" s="19"/>
      <c r="P88" s="19"/>
      <c r="Q88" s="19"/>
      <c r="R88" s="19"/>
      <c r="S88" s="19"/>
      <c r="T88" s="19"/>
      <c r="U88" s="19"/>
      <c r="V88" s="19"/>
      <c r="W88" s="19"/>
      <c r="X88" s="19"/>
      <c r="Y88" s="19"/>
      <c r="Z88" s="19"/>
    </row>
    <row r="89" customFormat="false" ht="12" hidden="false" customHeight="true" outlineLevel="0" collapsed="false">
      <c r="A89" s="19"/>
      <c r="B89" s="425"/>
      <c r="C89" s="426"/>
      <c r="D89" s="426"/>
      <c r="E89" s="426"/>
      <c r="F89" s="427"/>
      <c r="G89" s="19"/>
      <c r="H89" s="19"/>
      <c r="I89" s="19"/>
      <c r="J89" s="19"/>
      <c r="K89" s="19"/>
      <c r="L89" s="19"/>
      <c r="M89" s="19"/>
      <c r="N89" s="19"/>
      <c r="O89" s="19"/>
      <c r="P89" s="19"/>
      <c r="Q89" s="19"/>
      <c r="R89" s="19"/>
      <c r="S89" s="19"/>
      <c r="T89" s="19"/>
      <c r="U89" s="19"/>
      <c r="V89" s="19"/>
      <c r="W89" s="19"/>
      <c r="X89" s="19"/>
      <c r="Y89" s="19"/>
      <c r="Z89" s="19"/>
    </row>
    <row r="90" customFormat="false" ht="12" hidden="false" customHeight="true" outlineLevel="0" collapsed="false">
      <c r="A90" s="19"/>
      <c r="B90" s="425" t="n">
        <v>3.15</v>
      </c>
      <c r="C90" s="426"/>
      <c r="D90" s="426" t="n">
        <v>12</v>
      </c>
      <c r="E90" s="426"/>
      <c r="F90" s="427" t="n">
        <v>16.3</v>
      </c>
      <c r="G90" s="19"/>
      <c r="H90" s="19"/>
      <c r="I90" s="19"/>
      <c r="J90" s="19"/>
      <c r="K90" s="19"/>
      <c r="L90" s="19"/>
      <c r="M90" s="19"/>
      <c r="N90" s="19"/>
      <c r="O90" s="19"/>
      <c r="P90" s="19"/>
      <c r="Q90" s="19"/>
      <c r="R90" s="19"/>
      <c r="S90" s="19"/>
      <c r="T90" s="19"/>
      <c r="U90" s="19"/>
      <c r="V90" s="19"/>
      <c r="W90" s="19"/>
      <c r="X90" s="19"/>
      <c r="Y90" s="19"/>
      <c r="Z90" s="19"/>
    </row>
    <row r="91" customFormat="false" ht="12" hidden="false" customHeight="true" outlineLevel="0" collapsed="false">
      <c r="A91" s="19"/>
      <c r="B91" s="425"/>
      <c r="C91" s="426"/>
      <c r="D91" s="426"/>
      <c r="E91" s="426"/>
      <c r="F91" s="427"/>
      <c r="G91" s="19"/>
      <c r="H91" s="19"/>
      <c r="I91" s="19"/>
      <c r="J91" s="19"/>
      <c r="K91" s="19"/>
      <c r="L91" s="19"/>
      <c r="M91" s="19"/>
      <c r="N91" s="19"/>
      <c r="O91" s="19"/>
      <c r="P91" s="19"/>
      <c r="Q91" s="19"/>
      <c r="R91" s="19"/>
      <c r="S91" s="19"/>
      <c r="T91" s="19"/>
      <c r="U91" s="19"/>
      <c r="V91" s="19"/>
      <c r="W91" s="19"/>
      <c r="X91" s="19"/>
      <c r="Y91" s="19"/>
      <c r="Z91" s="19"/>
    </row>
    <row r="92" customFormat="false" ht="12" hidden="false" customHeight="true" outlineLevel="0" collapsed="false">
      <c r="A92" s="19"/>
      <c r="B92" s="425" t="n">
        <v>3.55</v>
      </c>
      <c r="C92" s="426"/>
      <c r="D92" s="426" t="n">
        <v>13</v>
      </c>
      <c r="E92" s="426"/>
      <c r="F92" s="427" t="n">
        <v>16.95</v>
      </c>
      <c r="G92" s="19"/>
      <c r="H92" s="19"/>
      <c r="I92" s="19"/>
      <c r="J92" s="19"/>
      <c r="K92" s="19"/>
      <c r="L92" s="19"/>
      <c r="M92" s="19"/>
      <c r="N92" s="19"/>
      <c r="O92" s="19"/>
      <c r="P92" s="19"/>
      <c r="Q92" s="19"/>
      <c r="R92" s="19"/>
      <c r="S92" s="19"/>
      <c r="T92" s="19"/>
      <c r="U92" s="19"/>
      <c r="V92" s="19"/>
      <c r="W92" s="19"/>
      <c r="X92" s="19"/>
      <c r="Y92" s="19"/>
      <c r="Z92" s="19"/>
    </row>
    <row r="93" customFormat="false" ht="12" hidden="false" customHeight="true" outlineLevel="0" collapsed="false">
      <c r="A93" s="19"/>
      <c r="B93" s="425"/>
      <c r="C93" s="426"/>
      <c r="D93" s="426"/>
      <c r="E93" s="426"/>
      <c r="F93" s="427"/>
      <c r="G93" s="19"/>
      <c r="H93" s="19"/>
      <c r="I93" s="19"/>
      <c r="J93" s="19"/>
      <c r="K93" s="19"/>
      <c r="L93" s="19"/>
      <c r="M93" s="19"/>
      <c r="N93" s="19"/>
      <c r="O93" s="19"/>
      <c r="P93" s="19"/>
      <c r="Q93" s="19"/>
      <c r="R93" s="19"/>
      <c r="S93" s="19"/>
      <c r="T93" s="19"/>
      <c r="U93" s="19"/>
      <c r="V93" s="19"/>
      <c r="W93" s="19"/>
      <c r="X93" s="19"/>
      <c r="Y93" s="19"/>
      <c r="Z93" s="19"/>
    </row>
    <row r="94" customFormat="false" ht="12" hidden="false" customHeight="true" outlineLevel="0" collapsed="false">
      <c r="A94" s="19"/>
      <c r="B94" s="425" t="n">
        <v>4</v>
      </c>
      <c r="C94" s="426"/>
      <c r="D94" s="426" t="n">
        <v>14</v>
      </c>
      <c r="E94" s="426"/>
      <c r="F94" s="427" t="n">
        <v>17.45</v>
      </c>
      <c r="G94" s="19"/>
      <c r="H94" s="19"/>
      <c r="I94" s="19"/>
      <c r="J94" s="19"/>
      <c r="K94" s="19"/>
      <c r="L94" s="19"/>
      <c r="M94" s="19"/>
      <c r="N94" s="19"/>
      <c r="O94" s="19"/>
      <c r="P94" s="19"/>
      <c r="Q94" s="19"/>
      <c r="R94" s="19"/>
      <c r="S94" s="19"/>
      <c r="T94" s="19"/>
      <c r="U94" s="19"/>
      <c r="V94" s="19"/>
      <c r="W94" s="19"/>
      <c r="X94" s="19"/>
      <c r="Y94" s="19"/>
      <c r="Z94" s="19"/>
    </row>
    <row r="95" customFormat="false" ht="12" hidden="false" customHeight="true" outlineLevel="0" collapsed="false">
      <c r="A95" s="19"/>
      <c r="B95" s="425"/>
      <c r="C95" s="426"/>
      <c r="D95" s="426"/>
      <c r="E95" s="426"/>
      <c r="F95" s="427"/>
      <c r="G95" s="19"/>
      <c r="H95" s="19"/>
      <c r="I95" s="19"/>
      <c r="J95" s="19"/>
      <c r="K95" s="19"/>
      <c r="L95" s="19"/>
      <c r="M95" s="19"/>
      <c r="N95" s="19"/>
      <c r="O95" s="19"/>
      <c r="P95" s="19"/>
      <c r="Q95" s="19"/>
      <c r="R95" s="19"/>
      <c r="S95" s="19"/>
      <c r="T95" s="19"/>
      <c r="U95" s="19"/>
      <c r="V95" s="19"/>
      <c r="W95" s="19"/>
      <c r="X95" s="19"/>
      <c r="Y95" s="19"/>
      <c r="Z95" s="19"/>
    </row>
    <row r="96" customFormat="false" ht="12" hidden="false" customHeight="true" outlineLevel="0" collapsed="false">
      <c r="A96" s="19"/>
      <c r="B96" s="425" t="n">
        <v>4.4</v>
      </c>
      <c r="C96" s="426"/>
      <c r="D96" s="426" t="n">
        <v>15</v>
      </c>
      <c r="E96" s="426"/>
      <c r="F96" s="427" t="n">
        <v>18.15</v>
      </c>
      <c r="G96" s="19"/>
      <c r="H96" s="19"/>
      <c r="I96" s="19"/>
      <c r="J96" s="19"/>
      <c r="K96" s="19"/>
      <c r="L96" s="19"/>
      <c r="M96" s="19"/>
      <c r="N96" s="19"/>
      <c r="O96" s="19"/>
      <c r="P96" s="19"/>
      <c r="Q96" s="19"/>
      <c r="R96" s="19"/>
      <c r="S96" s="19"/>
      <c r="T96" s="19"/>
      <c r="U96" s="19"/>
      <c r="V96" s="19"/>
      <c r="W96" s="19"/>
      <c r="X96" s="19"/>
      <c r="Y96" s="19"/>
      <c r="Z96" s="19"/>
    </row>
    <row r="97" customFormat="false" ht="12" hidden="false" customHeight="true" outlineLevel="0" collapsed="false">
      <c r="A97" s="19"/>
      <c r="B97" s="425"/>
      <c r="C97" s="426"/>
      <c r="D97" s="426"/>
      <c r="E97" s="426"/>
      <c r="F97" s="427"/>
      <c r="G97" s="19"/>
      <c r="H97" s="19"/>
      <c r="I97" s="19"/>
      <c r="J97" s="19"/>
      <c r="K97" s="19"/>
      <c r="L97" s="19"/>
      <c r="M97" s="19"/>
      <c r="N97" s="19"/>
      <c r="O97" s="19"/>
      <c r="P97" s="19"/>
      <c r="Q97" s="19"/>
      <c r="R97" s="19"/>
      <c r="S97" s="19"/>
      <c r="T97" s="19"/>
      <c r="U97" s="19"/>
      <c r="V97" s="19"/>
      <c r="W97" s="19"/>
      <c r="X97" s="19"/>
      <c r="Y97" s="19"/>
      <c r="Z97" s="19"/>
    </row>
    <row r="98" customFormat="false" ht="12" hidden="false" customHeight="true" outlineLevel="0" collapsed="false">
      <c r="A98" s="19"/>
      <c r="B98" s="425" t="n">
        <v>4.75</v>
      </c>
      <c r="C98" s="426"/>
      <c r="D98" s="426" t="n">
        <v>16</v>
      </c>
      <c r="E98" s="426"/>
      <c r="F98" s="427" t="n">
        <v>18.65</v>
      </c>
      <c r="G98" s="19"/>
      <c r="H98" s="19"/>
      <c r="I98" s="19"/>
      <c r="J98" s="19"/>
      <c r="K98" s="19"/>
      <c r="L98" s="19"/>
      <c r="M98" s="19"/>
      <c r="N98" s="19"/>
      <c r="O98" s="19"/>
      <c r="P98" s="19"/>
      <c r="Q98" s="19"/>
      <c r="R98" s="19"/>
      <c r="S98" s="19"/>
      <c r="T98" s="19"/>
      <c r="U98" s="19"/>
      <c r="V98" s="19"/>
      <c r="W98" s="19"/>
      <c r="X98" s="19"/>
      <c r="Y98" s="19"/>
      <c r="Z98" s="19"/>
    </row>
    <row r="99" customFormat="false" ht="12" hidden="false" customHeight="true" outlineLevel="0" collapsed="false">
      <c r="A99" s="19"/>
      <c r="B99" s="425"/>
      <c r="C99" s="426"/>
      <c r="D99" s="426"/>
      <c r="E99" s="426"/>
      <c r="F99" s="427"/>
      <c r="G99" s="19"/>
      <c r="H99" s="19"/>
      <c r="I99" s="19"/>
      <c r="J99" s="19"/>
      <c r="K99" s="19"/>
      <c r="L99" s="19"/>
      <c r="M99" s="19"/>
      <c r="N99" s="19"/>
      <c r="O99" s="19"/>
      <c r="P99" s="19"/>
      <c r="Q99" s="19"/>
      <c r="R99" s="19"/>
      <c r="S99" s="19"/>
      <c r="T99" s="19"/>
      <c r="U99" s="19"/>
      <c r="V99" s="19"/>
      <c r="W99" s="19"/>
      <c r="X99" s="19"/>
      <c r="Y99" s="19"/>
      <c r="Z99" s="19"/>
    </row>
    <row r="100" customFormat="false" ht="12" hidden="false" customHeight="true" outlineLevel="0" collapsed="false">
      <c r="A100" s="19"/>
      <c r="B100" s="425" t="n">
        <v>5.2</v>
      </c>
      <c r="C100" s="391"/>
      <c r="D100" s="426" t="n">
        <v>17</v>
      </c>
      <c r="E100" s="391"/>
      <c r="F100" s="427" t="n">
        <v>19.35</v>
      </c>
      <c r="G100" s="19"/>
      <c r="H100" s="19"/>
      <c r="I100" s="19"/>
      <c r="J100" s="19"/>
      <c r="K100" s="19"/>
      <c r="L100" s="19"/>
      <c r="M100" s="19"/>
      <c r="N100" s="19"/>
      <c r="O100" s="19"/>
      <c r="P100" s="19"/>
      <c r="Q100" s="19"/>
      <c r="R100" s="19"/>
      <c r="S100" s="19"/>
      <c r="T100" s="19"/>
      <c r="U100" s="19"/>
      <c r="V100" s="19"/>
      <c r="W100" s="19"/>
      <c r="X100" s="19"/>
      <c r="Y100" s="19"/>
      <c r="Z100" s="19"/>
    </row>
    <row r="101" customFormat="false" ht="12" hidden="false" customHeight="true" outlineLevel="0" collapsed="false">
      <c r="A101" s="19"/>
      <c r="B101" s="425"/>
      <c r="C101" s="391"/>
      <c r="D101" s="426"/>
      <c r="E101" s="391"/>
      <c r="F101" s="427"/>
      <c r="G101" s="19"/>
      <c r="H101" s="19"/>
      <c r="I101" s="19"/>
      <c r="J101" s="19"/>
      <c r="K101" s="19"/>
      <c r="L101" s="19"/>
      <c r="M101" s="19"/>
      <c r="N101" s="19"/>
      <c r="O101" s="19"/>
      <c r="P101" s="19"/>
      <c r="Q101" s="19"/>
      <c r="R101" s="19"/>
      <c r="S101" s="19"/>
      <c r="T101" s="19"/>
      <c r="U101" s="19"/>
      <c r="V101" s="19"/>
      <c r="W101" s="19"/>
      <c r="X101" s="19"/>
      <c r="Y101" s="19"/>
      <c r="Z101" s="19"/>
    </row>
    <row r="102" customFormat="false" ht="12" hidden="false" customHeight="true" outlineLevel="0" collapsed="false">
      <c r="A102" s="19"/>
      <c r="B102" s="425" t="n">
        <v>5.55</v>
      </c>
      <c r="C102" s="391"/>
      <c r="D102" s="426" t="n">
        <v>18</v>
      </c>
      <c r="E102" s="391"/>
      <c r="F102" s="427" t="n">
        <v>19.85</v>
      </c>
      <c r="G102" s="19"/>
      <c r="H102" s="19"/>
      <c r="I102" s="19"/>
      <c r="J102" s="19"/>
      <c r="K102" s="19"/>
      <c r="L102" s="19"/>
      <c r="M102" s="19"/>
      <c r="N102" s="19"/>
      <c r="O102" s="19"/>
      <c r="P102" s="19"/>
      <c r="Q102" s="19"/>
      <c r="R102" s="19"/>
      <c r="S102" s="19"/>
      <c r="T102" s="19"/>
      <c r="U102" s="19"/>
      <c r="V102" s="19"/>
      <c r="W102" s="19"/>
      <c r="X102" s="19"/>
      <c r="Y102" s="19"/>
      <c r="Z102" s="19"/>
    </row>
    <row r="103" customFormat="false" ht="12" hidden="false" customHeight="true" outlineLevel="0" collapsed="false">
      <c r="A103" s="19"/>
      <c r="B103" s="425"/>
      <c r="C103" s="391"/>
      <c r="D103" s="426"/>
      <c r="E103" s="391"/>
      <c r="F103" s="427"/>
      <c r="G103" s="19"/>
      <c r="H103" s="19"/>
      <c r="I103" s="19"/>
      <c r="J103" s="19"/>
      <c r="K103" s="19"/>
      <c r="L103" s="19"/>
      <c r="M103" s="19"/>
      <c r="N103" s="19"/>
      <c r="O103" s="19"/>
      <c r="P103" s="19"/>
      <c r="Q103" s="19"/>
      <c r="R103" s="19"/>
      <c r="S103" s="19"/>
      <c r="T103" s="19"/>
      <c r="U103" s="19"/>
      <c r="V103" s="19"/>
      <c r="W103" s="19"/>
      <c r="X103" s="19"/>
      <c r="Y103" s="19"/>
      <c r="Z103" s="19"/>
    </row>
    <row r="104" customFormat="false" ht="12" hidden="false" customHeight="true" outlineLevel="0" collapsed="false">
      <c r="A104" s="19"/>
      <c r="B104" s="425" t="n">
        <v>6</v>
      </c>
      <c r="C104" s="391"/>
      <c r="D104" s="426" t="n">
        <v>19</v>
      </c>
      <c r="E104" s="391"/>
      <c r="F104" s="427" t="n">
        <v>20.25</v>
      </c>
      <c r="G104" s="19"/>
      <c r="H104" s="19"/>
      <c r="I104" s="19"/>
      <c r="J104" s="19"/>
      <c r="K104" s="19"/>
      <c r="L104" s="19"/>
      <c r="M104" s="19"/>
      <c r="N104" s="19"/>
      <c r="O104" s="19"/>
      <c r="P104" s="19"/>
      <c r="Q104" s="19"/>
      <c r="R104" s="19"/>
      <c r="S104" s="19"/>
      <c r="T104" s="19"/>
      <c r="U104" s="19"/>
      <c r="V104" s="19"/>
      <c r="W104" s="19"/>
      <c r="X104" s="19"/>
      <c r="Y104" s="19"/>
      <c r="Z104" s="19"/>
    </row>
    <row r="105" customFormat="false" ht="12" hidden="false" customHeight="true" outlineLevel="0" collapsed="false">
      <c r="A105" s="19"/>
      <c r="B105" s="425"/>
      <c r="C105" s="391"/>
      <c r="D105" s="426"/>
      <c r="E105" s="391"/>
      <c r="F105" s="427"/>
      <c r="G105" s="19"/>
      <c r="H105" s="19"/>
      <c r="I105" s="19"/>
      <c r="J105" s="19"/>
      <c r="K105" s="19"/>
      <c r="L105" s="19"/>
      <c r="M105" s="19"/>
      <c r="N105" s="19"/>
      <c r="O105" s="19"/>
      <c r="P105" s="19"/>
      <c r="Q105" s="19"/>
      <c r="R105" s="19"/>
      <c r="S105" s="19"/>
      <c r="T105" s="19"/>
      <c r="U105" s="19"/>
      <c r="V105" s="19"/>
      <c r="W105" s="19"/>
      <c r="X105" s="19"/>
      <c r="Y105" s="19"/>
      <c r="Z105" s="19"/>
    </row>
    <row r="106" customFormat="false" ht="12" hidden="false" customHeight="true" outlineLevel="0" collapsed="false">
      <c r="A106" s="19"/>
      <c r="B106" s="425" t="n">
        <v>6.5</v>
      </c>
      <c r="C106" s="391"/>
      <c r="D106" s="426" t="n">
        <v>20</v>
      </c>
      <c r="E106" s="391"/>
      <c r="F106" s="427" t="n">
        <v>20.75</v>
      </c>
      <c r="G106" s="19"/>
      <c r="H106" s="19"/>
      <c r="I106" s="19"/>
      <c r="J106" s="19"/>
      <c r="K106" s="19"/>
      <c r="L106" s="19"/>
      <c r="M106" s="19"/>
      <c r="N106" s="19"/>
      <c r="O106" s="19"/>
      <c r="P106" s="19"/>
      <c r="Q106" s="19"/>
      <c r="R106" s="19"/>
      <c r="S106" s="19"/>
      <c r="T106" s="19"/>
      <c r="U106" s="19"/>
      <c r="V106" s="19"/>
      <c r="W106" s="19"/>
      <c r="X106" s="19"/>
      <c r="Y106" s="19"/>
      <c r="Z106" s="19"/>
    </row>
    <row r="107" customFormat="false" ht="12" hidden="false" customHeight="true" outlineLevel="0" collapsed="false">
      <c r="A107" s="19"/>
      <c r="B107" s="425"/>
      <c r="C107" s="391"/>
      <c r="D107" s="426"/>
      <c r="E107" s="391"/>
      <c r="F107" s="427"/>
      <c r="G107" s="19"/>
      <c r="H107" s="19"/>
      <c r="I107" s="19"/>
      <c r="J107" s="19"/>
      <c r="K107" s="19"/>
      <c r="L107" s="19"/>
      <c r="M107" s="19"/>
      <c r="N107" s="19"/>
      <c r="O107" s="19"/>
      <c r="P107" s="19"/>
      <c r="Q107" s="19"/>
      <c r="R107" s="19"/>
      <c r="S107" s="19"/>
      <c r="T107" s="19"/>
      <c r="U107" s="19"/>
      <c r="V107" s="19"/>
      <c r="W107" s="19"/>
      <c r="X107" s="19"/>
      <c r="Y107" s="19"/>
      <c r="Z107" s="19"/>
    </row>
    <row r="108" customFormat="false" ht="12" hidden="false" customHeight="true" outlineLevel="0" collapsed="false">
      <c r="A108" s="19"/>
      <c r="B108" s="425" t="n">
        <v>7</v>
      </c>
      <c r="C108" s="391"/>
      <c r="D108" s="426" t="n">
        <v>21</v>
      </c>
      <c r="E108" s="391"/>
      <c r="F108" s="427" t="n">
        <v>21.35</v>
      </c>
      <c r="G108" s="19"/>
      <c r="H108" s="19"/>
      <c r="I108" s="19"/>
      <c r="J108" s="19"/>
      <c r="K108" s="19"/>
      <c r="L108" s="19"/>
      <c r="M108" s="19"/>
      <c r="N108" s="19"/>
      <c r="O108" s="19"/>
      <c r="P108" s="19"/>
      <c r="Q108" s="19"/>
      <c r="R108" s="19"/>
      <c r="S108" s="19"/>
      <c r="T108" s="19"/>
      <c r="U108" s="19"/>
      <c r="V108" s="19"/>
      <c r="W108" s="19"/>
      <c r="X108" s="19"/>
      <c r="Y108" s="19"/>
      <c r="Z108" s="19"/>
    </row>
    <row r="109" customFormat="false" ht="12" hidden="false" customHeight="true" outlineLevel="0" collapsed="false">
      <c r="A109" s="19"/>
      <c r="B109" s="425"/>
      <c r="C109" s="391"/>
      <c r="D109" s="426"/>
      <c r="E109" s="391"/>
      <c r="F109" s="427"/>
      <c r="G109" s="19"/>
      <c r="H109" s="19"/>
      <c r="I109" s="19"/>
      <c r="J109" s="19"/>
      <c r="K109" s="19"/>
      <c r="L109" s="19"/>
      <c r="M109" s="19"/>
      <c r="N109" s="19"/>
      <c r="O109" s="19"/>
      <c r="P109" s="19"/>
      <c r="Q109" s="19"/>
      <c r="R109" s="19"/>
      <c r="S109" s="19"/>
      <c r="T109" s="19"/>
      <c r="U109" s="19"/>
      <c r="V109" s="19"/>
      <c r="W109" s="19"/>
      <c r="X109" s="19"/>
      <c r="Y109" s="19"/>
      <c r="Z109" s="19"/>
    </row>
    <row r="110" customFormat="false" ht="12" hidden="false" customHeight="true" outlineLevel="0" collapsed="false">
      <c r="A110" s="19"/>
      <c r="B110" s="425" t="n">
        <v>7.5</v>
      </c>
      <c r="C110" s="391"/>
      <c r="D110" s="426" t="n">
        <v>22</v>
      </c>
      <c r="E110" s="391"/>
      <c r="F110" s="427" t="n">
        <v>21.65</v>
      </c>
      <c r="G110" s="19"/>
      <c r="H110" s="19"/>
      <c r="I110" s="19"/>
      <c r="J110" s="19"/>
      <c r="K110" s="19"/>
      <c r="L110" s="19"/>
      <c r="M110" s="19"/>
      <c r="N110" s="19"/>
      <c r="O110" s="19"/>
      <c r="P110" s="19"/>
      <c r="Q110" s="19"/>
      <c r="R110" s="19"/>
      <c r="S110" s="19"/>
      <c r="T110" s="19"/>
      <c r="U110" s="19"/>
      <c r="V110" s="19"/>
      <c r="W110" s="19"/>
      <c r="X110" s="19"/>
      <c r="Y110" s="19"/>
      <c r="Z110" s="19"/>
    </row>
    <row r="111" customFormat="false" ht="12" hidden="false" customHeight="true" outlineLevel="0" collapsed="false">
      <c r="A111" s="19"/>
      <c r="B111" s="428"/>
      <c r="C111" s="346"/>
      <c r="D111" s="346"/>
      <c r="E111" s="346"/>
      <c r="F111" s="429"/>
      <c r="G111" s="19"/>
      <c r="H111" s="19"/>
      <c r="I111" s="19"/>
      <c r="J111" s="19"/>
      <c r="K111" s="19"/>
      <c r="L111" s="19"/>
      <c r="M111" s="19"/>
      <c r="N111" s="19"/>
      <c r="O111" s="19"/>
      <c r="P111" s="19"/>
      <c r="Q111" s="19"/>
      <c r="R111" s="19"/>
      <c r="S111" s="19"/>
      <c r="T111" s="19"/>
      <c r="U111" s="19"/>
      <c r="V111" s="19"/>
      <c r="W111" s="19"/>
      <c r="X111" s="19"/>
      <c r="Y111" s="19"/>
      <c r="Z111" s="19"/>
    </row>
    <row r="112" customFormat="false" ht="12" hidden="false" customHeight="true" outlineLevel="0" collapsed="false">
      <c r="A112" s="19"/>
      <c r="B112" s="19" t="s">
        <v>536</v>
      </c>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AW1000"/>
  <sheetViews>
    <sheetView showFormulas="false" showGridLines="true" showRowColHeaders="true" showZeros="true" rightToLeft="false" tabSelected="false" showOutlineSymbols="true" defaultGridColor="true" view="normal" topLeftCell="A68" colorId="64" zoomScale="120" zoomScaleNormal="120" zoomScalePageLayoutView="100" workbookViewId="0">
      <selection pane="topLeft" activeCell="E53" activeCellId="0" sqref="E53"/>
    </sheetView>
  </sheetViews>
  <sheetFormatPr defaultColWidth="12.6328125" defaultRowHeight="15" customHeight="true" zeroHeight="false" outlineLevelRow="0" outlineLevelCol="0"/>
  <cols>
    <col collapsed="false" customWidth="true" hidden="false" outlineLevel="0" max="4" min="1" style="1" width="8.88"/>
    <col collapsed="false" customWidth="true" hidden="false" outlineLevel="0" max="5" min="5" style="1" width="9.88"/>
    <col collapsed="false" customWidth="true" hidden="false" outlineLevel="0" max="8" min="6" style="1" width="8.88"/>
    <col collapsed="false" customWidth="true" hidden="false" outlineLevel="0" max="9" min="9" style="1" width="10.75"/>
    <col collapsed="false" customWidth="true" hidden="false" outlineLevel="0" max="10" min="10" style="1" width="10.88"/>
    <col collapsed="false" customWidth="true" hidden="false" outlineLevel="0" max="14" min="11" style="1" width="8.88"/>
    <col collapsed="false" customWidth="true" hidden="false" outlineLevel="0" max="15" min="15" style="1" width="17.88"/>
    <col collapsed="false" customWidth="true" hidden="false" outlineLevel="0" max="17" min="16" style="1" width="8.88"/>
    <col collapsed="false" customWidth="true" hidden="false" outlineLevel="0" max="18" min="18" style="1" width="9.38"/>
    <col collapsed="false" customWidth="true" hidden="false" outlineLevel="0" max="44" min="19" style="1" width="8.88"/>
    <col collapsed="false" customWidth="true" hidden="false" outlineLevel="0" max="49" min="45" style="1" width="14.38"/>
  </cols>
  <sheetData>
    <row r="1" customFormat="false" ht="18" hidden="false" customHeight="true" outlineLevel="0" collapsed="false">
      <c r="A1" s="39" t="s">
        <v>537</v>
      </c>
      <c r="B1" s="10"/>
      <c r="C1" s="10"/>
      <c r="D1" s="10"/>
      <c r="E1" s="10"/>
      <c r="F1" s="10"/>
      <c r="G1" s="40" t="str">
        <f aca="false">'Title Page'!F3</f>
        <v>Coconut Cubesat</v>
      </c>
      <c r="H1" s="10"/>
      <c r="I1" s="10"/>
      <c r="J1" s="10"/>
      <c r="K1" s="41" t="str">
        <f aca="false">'Title Page'!F23</f>
        <v>2025 June 06</v>
      </c>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row>
    <row r="2" customFormat="false" ht="12.75" hidden="false" customHeight="true" outlineLevel="0" collapsed="false">
      <c r="A2" s="430"/>
      <c r="B2" s="42"/>
      <c r="C2" s="42"/>
      <c r="D2" s="42"/>
      <c r="E2" s="42"/>
      <c r="F2" s="42"/>
      <c r="G2" s="42"/>
      <c r="H2" s="42"/>
      <c r="I2" s="431"/>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row>
    <row r="3" customFormat="false" ht="12" hidden="false" customHeight="true" outlineLevel="0" collapsed="false">
      <c r="A3" s="42"/>
      <c r="B3" s="23" t="s">
        <v>60</v>
      </c>
      <c r="C3" s="55" t="s">
        <v>312</v>
      </c>
      <c r="D3" s="42"/>
      <c r="E3" s="42"/>
      <c r="F3" s="42"/>
      <c r="G3" s="55" t="s">
        <v>322</v>
      </c>
      <c r="H3" s="42"/>
      <c r="I3" s="432"/>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row>
    <row r="4" customFormat="false" ht="12" hidden="false" customHeight="true" outlineLevel="0" collapsed="false">
      <c r="A4" s="42"/>
      <c r="B4" s="42"/>
      <c r="C4" s="42"/>
      <c r="D4" s="42"/>
      <c r="E4" s="42"/>
      <c r="F4" s="42"/>
      <c r="G4" s="42"/>
      <c r="H4" s="42"/>
      <c r="I4" s="432"/>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row>
    <row r="5" customFormat="false" ht="12" hidden="false" customHeight="true" outlineLevel="0" collapsed="false">
      <c r="A5" s="42"/>
      <c r="B5" s="42"/>
      <c r="C5" s="42"/>
      <c r="D5" s="42"/>
      <c r="E5" s="42"/>
      <c r="F5" s="42"/>
      <c r="G5" s="42"/>
      <c r="H5" s="42"/>
      <c r="I5" s="432"/>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row>
    <row r="6" customFormat="false" ht="12" hidden="false" customHeight="true" outlineLevel="0" collapsed="false">
      <c r="A6" s="42"/>
      <c r="B6" s="42"/>
      <c r="C6" s="42"/>
      <c r="D6" s="42"/>
      <c r="E6" s="42" t="s">
        <v>538</v>
      </c>
      <c r="F6" s="42"/>
      <c r="G6" s="42"/>
      <c r="H6" s="42"/>
      <c r="I6" s="432"/>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row>
    <row r="7" customFormat="false" ht="12" hidden="false" customHeight="true" outlineLevel="0" collapsed="false">
      <c r="A7" s="42"/>
      <c r="B7" s="42"/>
      <c r="C7" s="42"/>
      <c r="D7" s="42"/>
      <c r="E7" s="55" t="s">
        <v>539</v>
      </c>
      <c r="F7" s="42"/>
      <c r="G7" s="42"/>
      <c r="H7" s="42"/>
      <c r="I7" s="432"/>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row>
    <row r="8" customFormat="false" ht="12" hidden="false" customHeight="true" outlineLevel="0" collapsed="false">
      <c r="A8" s="42"/>
      <c r="B8" s="42"/>
      <c r="C8" s="42"/>
      <c r="D8" s="42"/>
      <c r="E8" s="55" t="s">
        <v>540</v>
      </c>
      <c r="F8" s="42"/>
      <c r="G8" s="42"/>
      <c r="H8" s="42"/>
      <c r="I8" s="432"/>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row>
    <row r="9" customFormat="false" ht="12" hidden="false" customHeight="true" outlineLevel="0" collapsed="false">
      <c r="A9" s="42"/>
      <c r="B9" s="42"/>
      <c r="C9" s="42"/>
      <c r="D9" s="42"/>
      <c r="E9" s="42"/>
      <c r="F9" s="42"/>
      <c r="G9" s="42"/>
      <c r="H9" s="42"/>
      <c r="I9" s="432"/>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row>
    <row r="10" customFormat="false" ht="12" hidden="false" customHeight="true" outlineLevel="0" collapsed="false">
      <c r="A10" s="42"/>
      <c r="B10" s="42"/>
      <c r="C10" s="42"/>
      <c r="D10" s="42"/>
      <c r="E10" s="42"/>
      <c r="F10" s="42"/>
      <c r="G10" s="42"/>
      <c r="H10" s="42"/>
      <c r="I10" s="432"/>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row>
    <row r="11" customFormat="false" ht="12" hidden="false" customHeight="true" outlineLevel="0" collapsed="false">
      <c r="A11" s="42"/>
      <c r="B11" s="42"/>
      <c r="C11" s="42"/>
      <c r="D11" s="42"/>
      <c r="E11" s="42"/>
      <c r="F11" s="42"/>
      <c r="G11" s="42"/>
      <c r="H11" s="42"/>
      <c r="I11" s="432"/>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row>
    <row r="12" customFormat="false" ht="12" hidden="false" customHeight="true" outlineLevel="0" collapsed="false">
      <c r="A12" s="42"/>
      <c r="B12" s="42"/>
      <c r="C12" s="42"/>
      <c r="D12" s="42"/>
      <c r="E12" s="42"/>
      <c r="F12" s="42"/>
      <c r="G12" s="42"/>
      <c r="H12" s="42"/>
      <c r="I12" s="432"/>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row>
    <row r="13" customFormat="false" ht="12" hidden="false" customHeight="true" outlineLevel="0" collapsed="false">
      <c r="A13" s="42"/>
      <c r="B13" s="42"/>
      <c r="C13" s="42"/>
      <c r="D13" s="42"/>
      <c r="E13" s="42"/>
      <c r="F13" s="42"/>
      <c r="G13" s="42"/>
      <c r="H13" s="42"/>
      <c r="I13" s="432"/>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row>
    <row r="14" customFormat="false" ht="12" hidden="false" customHeight="true" outlineLevel="0" collapsed="false">
      <c r="A14" s="42"/>
      <c r="B14" s="42"/>
      <c r="C14" s="42"/>
      <c r="D14" s="42"/>
      <c r="E14" s="42"/>
      <c r="F14" s="42"/>
      <c r="G14" s="42"/>
      <c r="H14" s="42"/>
      <c r="I14" s="432"/>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row>
    <row r="15" customFormat="false" ht="12" hidden="false" customHeight="true" outlineLevel="0" collapsed="false">
      <c r="A15" s="42"/>
      <c r="B15" s="42"/>
      <c r="C15" s="42"/>
      <c r="D15" s="42"/>
      <c r="E15" s="42"/>
      <c r="F15" s="42"/>
      <c r="G15" s="42"/>
      <c r="H15" s="42"/>
      <c r="I15" s="432"/>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row>
    <row r="16" customFormat="false" ht="12" hidden="false" customHeight="true" outlineLevel="0" collapsed="false">
      <c r="A16" s="42"/>
      <c r="B16" s="42"/>
      <c r="C16" s="42"/>
      <c r="D16" s="42"/>
      <c r="E16" s="42"/>
      <c r="F16" s="42"/>
      <c r="G16" s="42"/>
      <c r="H16" s="42"/>
      <c r="I16" s="432"/>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row>
    <row r="17" customFormat="false" ht="12" hidden="false" customHeight="true" outlineLevel="0" collapsed="false">
      <c r="A17" s="42"/>
      <c r="B17" s="42"/>
      <c r="C17" s="42"/>
      <c r="D17" s="42"/>
      <c r="E17" s="42"/>
      <c r="F17" s="42"/>
      <c r="G17" s="42"/>
      <c r="H17" s="42"/>
      <c r="I17" s="432"/>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row>
    <row r="18" customFormat="false" ht="12" hidden="false" customHeight="true" outlineLevel="0" collapsed="false">
      <c r="A18" s="42"/>
      <c r="B18" s="42"/>
      <c r="C18" s="42"/>
      <c r="D18" s="42"/>
      <c r="E18" s="42"/>
      <c r="F18" s="42"/>
      <c r="G18" s="42"/>
      <c r="H18" s="42"/>
      <c r="I18" s="432"/>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row>
    <row r="19" customFormat="false" ht="12" hidden="false" customHeight="true" outlineLevel="0" collapsed="false">
      <c r="A19" s="42"/>
      <c r="B19" s="42"/>
      <c r="C19" s="42"/>
      <c r="D19" s="42"/>
      <c r="E19" s="42"/>
      <c r="F19" s="42"/>
      <c r="G19" s="42"/>
      <c r="H19" s="42"/>
      <c r="I19" s="432"/>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row>
    <row r="20" customFormat="false" ht="12" hidden="false" customHeight="true" outlineLevel="0" collapsed="false">
      <c r="A20" s="42"/>
      <c r="B20" s="42"/>
      <c r="C20" s="42"/>
      <c r="D20" s="42"/>
      <c r="E20" s="42"/>
      <c r="F20" s="42"/>
      <c r="G20" s="42"/>
      <c r="H20" s="42"/>
      <c r="I20" s="432"/>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row>
    <row r="21" customFormat="false" ht="12" hidden="false" customHeight="true" outlineLevel="0" collapsed="false">
      <c r="A21" s="42"/>
      <c r="B21" s="42"/>
      <c r="C21" s="42"/>
      <c r="D21" s="42"/>
      <c r="E21" s="55" t="s">
        <v>541</v>
      </c>
      <c r="F21" s="42"/>
      <c r="G21" s="42"/>
      <c r="H21" s="42"/>
      <c r="I21" s="432"/>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row>
    <row r="22" customFormat="false" ht="12" hidden="false" customHeight="true" outlineLevel="0" collapsed="false">
      <c r="A22" s="42"/>
      <c r="B22" s="42"/>
      <c r="C22" s="42"/>
      <c r="D22" s="42"/>
      <c r="E22" s="42" t="s">
        <v>539</v>
      </c>
      <c r="F22" s="42"/>
      <c r="G22" s="42"/>
      <c r="H22" s="42"/>
      <c r="I22" s="432"/>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row>
    <row r="23" customFormat="false" ht="12" hidden="false" customHeight="true" outlineLevel="0" collapsed="false">
      <c r="A23" s="42"/>
      <c r="B23" s="42"/>
      <c r="C23" s="42"/>
      <c r="D23" s="42"/>
      <c r="E23" s="55" t="s">
        <v>542</v>
      </c>
      <c r="F23" s="42"/>
      <c r="G23" s="42"/>
      <c r="H23" s="42"/>
      <c r="I23" s="432"/>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row>
    <row r="24" customFormat="false" ht="12" hidden="false" customHeight="true" outlineLevel="0" collapsed="false">
      <c r="A24" s="42"/>
      <c r="B24" s="42"/>
      <c r="C24" s="42"/>
      <c r="D24" s="42"/>
      <c r="E24" s="42"/>
      <c r="F24" s="42"/>
      <c r="G24" s="42"/>
      <c r="H24" s="42"/>
      <c r="I24" s="432"/>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row>
    <row r="25" customFormat="false" ht="12" hidden="false" customHeight="true" outlineLevel="0" collapsed="false">
      <c r="A25" s="42"/>
      <c r="B25" s="42"/>
      <c r="C25" s="433" t="s">
        <v>543</v>
      </c>
      <c r="D25" s="42"/>
      <c r="E25" s="42"/>
      <c r="F25" s="42"/>
      <c r="G25" s="433" t="s">
        <v>544</v>
      </c>
      <c r="H25" s="42"/>
      <c r="I25" s="432"/>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row>
    <row r="26" customFormat="false" ht="18" hidden="false" customHeight="true" outlineLevel="0" collapsed="false">
      <c r="A26" s="39" t="s">
        <v>545</v>
      </c>
      <c r="B26" s="10"/>
      <c r="C26" s="10"/>
      <c r="D26" s="10"/>
      <c r="E26" s="10"/>
      <c r="F26" s="10"/>
      <c r="G26" s="10"/>
      <c r="H26" s="10"/>
      <c r="I26" s="89"/>
      <c r="J26" s="10"/>
      <c r="K26" s="10"/>
      <c r="L26" s="10"/>
      <c r="M26" s="10"/>
      <c r="N26" s="10"/>
      <c r="O26" s="10"/>
      <c r="P26" s="10"/>
      <c r="Q26" s="10"/>
      <c r="R26" s="10"/>
      <c r="S26" s="10"/>
      <c r="T26" s="10"/>
      <c r="U26" s="10"/>
      <c r="V26" s="10"/>
      <c r="W26" s="10"/>
      <c r="X26" s="434" t="s">
        <v>546</v>
      </c>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t="s">
        <v>0</v>
      </c>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row>
    <row r="28" customFormat="false" ht="15" hidden="false" customHeight="true" outlineLevel="0" collapsed="false">
      <c r="A28" s="44" t="s">
        <v>463</v>
      </c>
      <c r="B28" s="46"/>
      <c r="C28" s="45"/>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row>
    <row r="29" customFormat="false" ht="15" hidden="false" customHeight="true" outlineLevel="0" collapsed="false">
      <c r="A29" s="23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row>
    <row r="30" customFormat="false" ht="15" hidden="false" customHeight="true" outlineLevel="0" collapsed="false">
      <c r="A30" s="239"/>
      <c r="B30" s="23" t="s">
        <v>60</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row>
    <row r="31" customFormat="false" ht="12.75" hidden="false" customHeight="true" outlineLevel="0" collapsed="false">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row>
    <row r="32" customFormat="false" ht="12.75" hidden="false" customHeight="true" outlineLevel="0" collapsed="false">
      <c r="A32" s="19"/>
      <c r="B32" s="331" t="s">
        <v>464</v>
      </c>
      <c r="C32" s="332"/>
      <c r="D32" s="266"/>
      <c r="E32" s="266"/>
      <c r="F32" s="266"/>
      <c r="G32" s="266" t="s">
        <v>0</v>
      </c>
      <c r="H32" s="266"/>
      <c r="I32" s="266"/>
      <c r="J32" s="266" t="s">
        <v>0</v>
      </c>
      <c r="K32" s="266"/>
      <c r="L32" s="267"/>
      <c r="M32" s="19"/>
      <c r="N32" s="19"/>
      <c r="O32" s="19"/>
      <c r="P32" s="19"/>
      <c r="Q32" s="19"/>
      <c r="R32" s="435" t="s">
        <v>60</v>
      </c>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row>
    <row r="33" customFormat="false" ht="12" hidden="false" customHeight="true" outlineLevel="0" collapsed="false">
      <c r="A33" s="19"/>
      <c r="B33" s="333" t="s">
        <v>0</v>
      </c>
      <c r="C33" s="308"/>
      <c r="D33" s="270" t="s">
        <v>465</v>
      </c>
      <c r="E33" s="334" t="s">
        <v>309</v>
      </c>
      <c r="F33" s="335" t="n">
        <f aca="false">'Antenna Gain'!F8</f>
        <v>437.5</v>
      </c>
      <c r="G33" s="49" t="s">
        <v>314</v>
      </c>
      <c r="H33" s="49"/>
      <c r="I33" s="49"/>
      <c r="J33" s="49" t="s">
        <v>466</v>
      </c>
      <c r="K33" s="336" t="n">
        <f aca="false">'Antenna Gain'!K8</f>
        <v>0.685257142857143</v>
      </c>
      <c r="L33" s="269" t="s">
        <v>315</v>
      </c>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row>
    <row r="34" customFormat="false" ht="12" hidden="false" customHeight="true" outlineLevel="0" collapsed="false">
      <c r="A34" s="19"/>
      <c r="B34" s="268"/>
      <c r="C34" s="49"/>
      <c r="D34" s="49"/>
      <c r="E34" s="49"/>
      <c r="F34" s="49"/>
      <c r="G34" s="49"/>
      <c r="H34" s="49"/>
      <c r="I34" s="49"/>
      <c r="J34" s="49"/>
      <c r="K34" s="49"/>
      <c r="L34" s="26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row>
    <row r="35" customFormat="false" ht="12.75" hidden="false" customHeight="true" outlineLevel="0" collapsed="false">
      <c r="A35" s="19"/>
      <c r="B35" s="268"/>
      <c r="C35" s="49"/>
      <c r="D35" s="49"/>
      <c r="E35" s="49"/>
      <c r="F35" s="337" t="s">
        <v>547</v>
      </c>
      <c r="G35" s="49"/>
      <c r="H35" s="49"/>
      <c r="I35" s="49"/>
      <c r="J35" s="49"/>
      <c r="K35" s="49"/>
      <c r="L35" s="26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row>
    <row r="36" customFormat="false" ht="12.75" hidden="false" customHeight="true" outlineLevel="0" collapsed="false">
      <c r="A36" s="19"/>
      <c r="B36" s="333" t="s">
        <v>0</v>
      </c>
      <c r="C36" s="49"/>
      <c r="D36" s="49"/>
      <c r="E36" s="436" t="n">
        <f aca="false">'Antenna Gain'!E11</f>
        <v>1</v>
      </c>
      <c r="F36" s="437" t="str">
        <f aca="false">'Antenna Gain'!F11</f>
        <v>Yagi</v>
      </c>
      <c r="G36" s="340"/>
      <c r="H36" s="49"/>
      <c r="I36" s="49"/>
      <c r="J36" s="49" t="s">
        <v>468</v>
      </c>
      <c r="K36" s="54" t="str">
        <f aca="false">'Antenna Gain'!K11</f>
        <v>RHCP</v>
      </c>
      <c r="L36" s="26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row>
    <row r="37" customFormat="false" ht="12.75" hidden="false" customHeight="true" outlineLevel="0" collapsed="false">
      <c r="A37" s="19"/>
      <c r="B37" s="342"/>
      <c r="C37" s="343"/>
      <c r="D37" s="343"/>
      <c r="E37" s="343"/>
      <c r="F37" s="343"/>
      <c r="G37" s="343"/>
      <c r="H37" s="343"/>
      <c r="I37" s="343"/>
      <c r="J37" s="343"/>
      <c r="K37" s="343"/>
      <c r="L37" s="344"/>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row>
    <row r="38" customFormat="false" ht="36" hidden="false" customHeight="true" outlineLevel="0" collapsed="false">
      <c r="A38" s="19"/>
      <c r="B38" s="438" t="n">
        <v>1</v>
      </c>
      <c r="C38" s="353" t="s">
        <v>471</v>
      </c>
      <c r="D38" s="439"/>
      <c r="E38" s="353"/>
      <c r="F38" s="440" t="s">
        <v>476</v>
      </c>
      <c r="G38" s="441" t="n">
        <f aca="false">'Antenna Gain'!N13</f>
        <v>17.45</v>
      </c>
      <c r="H38" s="353" t="s">
        <v>477</v>
      </c>
      <c r="I38" s="439" t="s">
        <v>478</v>
      </c>
      <c r="J38" s="442" t="n">
        <f aca="false">'Antenna Gain'!Q13</f>
        <v>26.8243987081074</v>
      </c>
      <c r="K38" s="353" t="s">
        <v>215</v>
      </c>
      <c r="L38" s="356"/>
      <c r="M38" s="19"/>
      <c r="N38" s="19"/>
      <c r="O38" s="19"/>
      <c r="P38" s="19"/>
      <c r="Q38" s="19"/>
      <c r="R38" s="443" t="n">
        <f aca="false" t="array" ref="R38:R38">2*(F43*(79.76/INDEX(J38:J41,E36,1)))</f>
        <v>29.7341240964679</v>
      </c>
      <c r="S38" s="444"/>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row>
    <row r="39" customFormat="false" ht="36" hidden="false" customHeight="true" outlineLevel="0" collapsed="false">
      <c r="A39" s="19"/>
      <c r="B39" s="445" t="n">
        <v>2</v>
      </c>
      <c r="C39" s="358" t="s">
        <v>480</v>
      </c>
      <c r="D39" s="444"/>
      <c r="E39" s="358"/>
      <c r="F39" s="444" t="s">
        <v>484</v>
      </c>
      <c r="G39" s="446" t="n">
        <f aca="false">'Antenna Gain'!N14</f>
        <v>15.74031268</v>
      </c>
      <c r="H39" s="358" t="s">
        <v>477</v>
      </c>
      <c r="I39" s="444" t="s">
        <v>478</v>
      </c>
      <c r="J39" s="447" t="n">
        <f aca="false">'Antenna Gain'!Q14</f>
        <v>33.01417877</v>
      </c>
      <c r="K39" s="358" t="s">
        <v>215</v>
      </c>
      <c r="L39" s="365"/>
      <c r="M39" s="19"/>
      <c r="N39" s="19"/>
      <c r="O39" s="19"/>
      <c r="P39" s="19"/>
      <c r="Q39" s="19"/>
      <c r="R39" s="448"/>
      <c r="S39" s="44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row>
    <row r="40" customFormat="false" ht="36" hidden="false" customHeight="true" outlineLevel="0" collapsed="false">
      <c r="A40" s="19"/>
      <c r="B40" s="450" t="n">
        <v>3</v>
      </c>
      <c r="C40" s="367" t="s">
        <v>486</v>
      </c>
      <c r="D40" s="451"/>
      <c r="E40" s="367"/>
      <c r="F40" s="451" t="s">
        <v>484</v>
      </c>
      <c r="G40" s="452" t="n">
        <f aca="false">'Antenna Gain'!N15</f>
        <v>25.2710632385685</v>
      </c>
      <c r="H40" s="367" t="s">
        <v>477</v>
      </c>
      <c r="I40" s="451" t="s">
        <v>478</v>
      </c>
      <c r="J40" s="453" t="n">
        <f aca="false">'Antenna Gain'!Q15</f>
        <v>8.88888888888889</v>
      </c>
      <c r="K40" s="367" t="s">
        <v>215</v>
      </c>
      <c r="L40" s="371"/>
      <c r="M40" s="19"/>
      <c r="N40" s="19"/>
      <c r="O40" s="19"/>
      <c r="P40" s="19"/>
      <c r="Q40" s="19"/>
      <c r="R40" s="454"/>
      <c r="S40" s="432"/>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row>
    <row r="41" customFormat="false" ht="36" hidden="false" customHeight="true" outlineLevel="0" collapsed="false">
      <c r="A41" s="19"/>
      <c r="B41" s="455" t="n">
        <v>4</v>
      </c>
      <c r="C41" s="49" t="s">
        <v>489</v>
      </c>
      <c r="D41" s="267"/>
      <c r="E41" s="49"/>
      <c r="F41" s="269" t="s">
        <v>484</v>
      </c>
      <c r="G41" s="456" t="n">
        <f aca="false">'Antenna Gain'!N16</f>
        <v>18.5</v>
      </c>
      <c r="H41" s="49" t="s">
        <v>477</v>
      </c>
      <c r="I41" s="269" t="s">
        <v>478</v>
      </c>
      <c r="J41" s="457" t="n">
        <f aca="false">'Antenna Gain'!Q16</f>
        <v>24</v>
      </c>
      <c r="K41" s="49" t="s">
        <v>215</v>
      </c>
      <c r="L41" s="458"/>
      <c r="M41" s="19"/>
      <c r="N41" s="19"/>
      <c r="O41" s="19"/>
      <c r="P41" s="19"/>
      <c r="Q41" s="19"/>
      <c r="R41" s="454"/>
      <c r="S41" s="432"/>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row>
    <row r="42" customFormat="false" ht="12" hidden="false" customHeight="true" outlineLevel="0" collapsed="false">
      <c r="A42" s="19"/>
      <c r="B42" s="459"/>
      <c r="C42" s="290"/>
      <c r="D42" s="290"/>
      <c r="E42" s="290"/>
      <c r="F42" s="290"/>
      <c r="G42" s="290"/>
      <c r="H42" s="290"/>
      <c r="I42" s="290"/>
      <c r="J42" s="290"/>
      <c r="K42" s="290"/>
      <c r="L42" s="313"/>
      <c r="M42" s="19"/>
      <c r="N42" s="19"/>
      <c r="O42" s="19"/>
      <c r="P42" s="19"/>
      <c r="Q42" s="19"/>
      <c r="R42" s="454"/>
      <c r="S42" s="432"/>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row>
    <row r="43" customFormat="false" ht="12" hidden="false" customHeight="true" outlineLevel="0" collapsed="false">
      <c r="A43" s="19"/>
      <c r="B43" s="291" t="s">
        <v>0</v>
      </c>
      <c r="C43" s="460" t="s">
        <v>548</v>
      </c>
      <c r="D43" s="292"/>
      <c r="E43" s="292"/>
      <c r="F43" s="257" t="n">
        <v>5</v>
      </c>
      <c r="G43" s="252" t="s">
        <v>229</v>
      </c>
      <c r="H43" s="460" t="s">
        <v>549</v>
      </c>
      <c r="I43" s="292"/>
      <c r="J43" s="292"/>
      <c r="K43" s="461" t="n">
        <f aca="false">-10*LOG10(3282.81*((SIN(RADIANS(R38))^2/(R38^2))))</f>
        <v>0.393433713654516</v>
      </c>
      <c r="L43" s="340" t="s">
        <v>258</v>
      </c>
      <c r="M43" s="19"/>
      <c r="N43" s="19"/>
      <c r="O43" s="19"/>
      <c r="P43" s="19"/>
      <c r="Q43" s="19"/>
      <c r="R43" s="454"/>
      <c r="S43" s="432"/>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row>
    <row r="44" customFormat="false" ht="12" hidden="false" customHeight="true" outlineLevel="0" collapsed="false">
      <c r="A44" s="19"/>
      <c r="B44" s="304"/>
      <c r="C44" s="305"/>
      <c r="D44" s="305"/>
      <c r="E44" s="305"/>
      <c r="F44" s="305"/>
      <c r="G44" s="305"/>
      <c r="H44" s="305"/>
      <c r="I44" s="305"/>
      <c r="J44" s="305"/>
      <c r="K44" s="305"/>
      <c r="L44" s="306"/>
      <c r="M44" s="19"/>
      <c r="N44" s="19"/>
      <c r="O44" s="19"/>
      <c r="P44" s="19"/>
      <c r="Q44" s="19"/>
      <c r="R44" s="454"/>
      <c r="S44" s="432"/>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row>
    <row r="45" customFormat="false" ht="12" hidden="false" customHeight="true" outlineLevel="0" collapsed="false">
      <c r="A45" s="19"/>
      <c r="B45" s="19"/>
      <c r="C45" s="19"/>
      <c r="D45" s="19"/>
      <c r="E45" s="19"/>
      <c r="F45" s="19"/>
      <c r="G45" s="19"/>
      <c r="H45" s="19" t="s">
        <v>0</v>
      </c>
      <c r="I45" s="19"/>
      <c r="J45" s="19"/>
      <c r="K45" s="19"/>
      <c r="L45" s="19"/>
      <c r="M45" s="19"/>
      <c r="N45" s="19"/>
      <c r="O45" s="19"/>
      <c r="P45" s="19"/>
      <c r="Q45" s="19"/>
      <c r="R45" s="454"/>
      <c r="S45" s="432"/>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row>
    <row r="46" customFormat="false" ht="12" hidden="false" customHeight="true" outlineLevel="0" collapsed="false">
      <c r="A46" s="19"/>
      <c r="B46" s="19"/>
      <c r="C46" s="19"/>
      <c r="D46" s="19"/>
      <c r="E46" s="19"/>
      <c r="F46" s="19"/>
      <c r="G46" s="19"/>
      <c r="H46" s="19"/>
      <c r="I46" s="19"/>
      <c r="J46" s="19"/>
      <c r="K46" s="19"/>
      <c r="L46" s="19"/>
      <c r="M46" s="19"/>
      <c r="N46" s="19"/>
      <c r="O46" s="19" t="s">
        <v>0</v>
      </c>
      <c r="P46" s="19"/>
      <c r="Q46" s="19"/>
      <c r="R46" s="454"/>
      <c r="S46" s="432"/>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row>
    <row r="47" customFormat="false" ht="12" hidden="false" customHeight="true" outlineLevel="0" collapsed="false">
      <c r="A47" s="19"/>
      <c r="B47" s="19"/>
      <c r="C47" s="19"/>
      <c r="D47" s="19"/>
      <c r="E47" s="19"/>
      <c r="F47" s="19"/>
      <c r="G47" s="19"/>
      <c r="H47" s="19"/>
      <c r="I47" s="19"/>
      <c r="J47" s="19"/>
      <c r="K47" s="19"/>
      <c r="L47" s="19"/>
      <c r="M47" s="19"/>
      <c r="N47" s="19"/>
      <c r="O47" s="19"/>
      <c r="P47" s="19"/>
      <c r="Q47" s="19"/>
      <c r="R47" s="454"/>
      <c r="S47" s="432"/>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row>
    <row r="48" customFormat="false" ht="12.75" hidden="false" customHeight="true" outlineLevel="0" collapsed="false">
      <c r="A48" s="19"/>
      <c r="B48" s="19"/>
      <c r="C48" s="19"/>
      <c r="D48" s="19"/>
      <c r="E48" s="19"/>
      <c r="F48" s="19"/>
      <c r="G48" s="19"/>
      <c r="H48" s="19"/>
      <c r="I48" s="19"/>
      <c r="J48" s="19"/>
      <c r="K48" s="19"/>
      <c r="L48" s="19"/>
      <c r="M48" s="19"/>
      <c r="N48" s="19"/>
      <c r="O48" s="19"/>
      <c r="P48" s="19"/>
      <c r="Q48" s="19"/>
      <c r="R48" s="462"/>
      <c r="S48" s="463"/>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row>
    <row r="49" customFormat="false" ht="12.75" hidden="false" customHeight="true" outlineLevel="0" collapsed="false">
      <c r="A49" s="19"/>
      <c r="B49" s="331" t="s">
        <v>492</v>
      </c>
      <c r="C49" s="332"/>
      <c r="D49" s="266"/>
      <c r="E49" s="266"/>
      <c r="F49" s="266"/>
      <c r="G49" s="266"/>
      <c r="H49" s="266"/>
      <c r="I49" s="266"/>
      <c r="J49" s="266"/>
      <c r="K49" s="266"/>
      <c r="L49" s="267"/>
      <c r="M49" s="19"/>
      <c r="N49" s="19"/>
      <c r="O49" s="19"/>
      <c r="P49" s="19"/>
      <c r="Q49" s="19"/>
      <c r="R49" s="265"/>
      <c r="S49" s="267"/>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row>
    <row r="50" customFormat="false" ht="12" hidden="false" customHeight="true" outlineLevel="0" collapsed="false">
      <c r="A50" s="19"/>
      <c r="B50" s="268"/>
      <c r="C50" s="49"/>
      <c r="D50" s="270" t="s">
        <v>465</v>
      </c>
      <c r="E50" s="49" t="s">
        <v>309</v>
      </c>
      <c r="F50" s="335" t="n">
        <f aca="false">'Antenna Gain'!F22</f>
        <v>437.5</v>
      </c>
      <c r="G50" s="49" t="s">
        <v>314</v>
      </c>
      <c r="H50" s="49"/>
      <c r="I50" s="49"/>
      <c r="J50" s="49" t="s">
        <v>466</v>
      </c>
      <c r="K50" s="336" t="n">
        <f aca="false">'Antenna Gain'!K22</f>
        <v>0.685257142857143</v>
      </c>
      <c r="L50" s="269" t="s">
        <v>315</v>
      </c>
      <c r="M50" s="19"/>
      <c r="N50" s="19"/>
      <c r="O50" s="19"/>
      <c r="P50" s="19"/>
      <c r="Q50" s="19"/>
      <c r="R50" s="268" t="s">
        <v>550</v>
      </c>
      <c r="S50" s="464"/>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row>
    <row r="51" customFormat="false" ht="12.75" hidden="false" customHeight="true" outlineLevel="0" collapsed="false">
      <c r="A51" s="19"/>
      <c r="B51" s="268"/>
      <c r="C51" s="49"/>
      <c r="D51" s="49" t="s">
        <v>0</v>
      </c>
      <c r="E51" s="49" t="s">
        <v>0</v>
      </c>
      <c r="F51" s="337" t="s">
        <v>547</v>
      </c>
      <c r="G51" s="49"/>
      <c r="H51" s="49"/>
      <c r="I51" s="49"/>
      <c r="J51" s="49"/>
      <c r="K51" s="49"/>
      <c r="L51" s="269"/>
      <c r="M51" s="19"/>
      <c r="N51" s="19"/>
      <c r="O51" s="19"/>
      <c r="P51" s="19"/>
      <c r="Q51" s="19"/>
      <c r="R51" s="465"/>
      <c r="S51" s="464"/>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row>
    <row r="52" customFormat="false" ht="12.75" hidden="false" customHeight="true" outlineLevel="0" collapsed="false">
      <c r="A52" s="19"/>
      <c r="B52" s="333" t="s">
        <v>0</v>
      </c>
      <c r="C52" s="49"/>
      <c r="D52" s="49"/>
      <c r="E52" s="466" t="n">
        <v>7</v>
      </c>
      <c r="F52" s="382" t="str">
        <f aca="false">'Antenna Gain'!F24</f>
        <v>Circular Turnstyle</v>
      </c>
      <c r="G52" s="340"/>
      <c r="H52" s="49"/>
      <c r="I52" s="49"/>
      <c r="J52" s="49" t="s">
        <v>468</v>
      </c>
      <c r="K52" s="54" t="str">
        <f aca="false">'Antenna Gain'!K24</f>
        <v>RHCP</v>
      </c>
      <c r="L52" s="269"/>
      <c r="M52" s="19"/>
      <c r="N52" s="19"/>
      <c r="O52" s="467" t="s">
        <v>551</v>
      </c>
      <c r="P52" s="19"/>
      <c r="Q52" s="19"/>
      <c r="R52" s="268" t="s">
        <v>552</v>
      </c>
      <c r="S52" s="464"/>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row>
    <row r="53" customFormat="false" ht="12.75" hidden="false" customHeight="true" outlineLevel="0" collapsed="false">
      <c r="A53" s="19"/>
      <c r="B53" s="268"/>
      <c r="C53" s="49"/>
      <c r="D53" s="49"/>
      <c r="E53" s="49"/>
      <c r="F53" s="49" t="s">
        <v>0</v>
      </c>
      <c r="G53" s="49"/>
      <c r="H53" s="49"/>
      <c r="I53" s="49"/>
      <c r="J53" s="49"/>
      <c r="K53" s="49"/>
      <c r="L53" s="269"/>
      <c r="M53" s="19"/>
      <c r="N53" s="19"/>
      <c r="O53" s="468" t="s">
        <v>553</v>
      </c>
      <c r="P53" s="19"/>
      <c r="Q53" s="19"/>
      <c r="R53" s="279" t="s">
        <v>0</v>
      </c>
      <c r="S53" s="281"/>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row>
    <row r="54" customFormat="false" ht="24.75" hidden="false" customHeight="true" outlineLevel="0" collapsed="false">
      <c r="A54" s="19"/>
      <c r="B54" s="383" t="n">
        <v>1</v>
      </c>
      <c r="C54" s="384" t="s">
        <v>495</v>
      </c>
      <c r="D54" s="384"/>
      <c r="E54" s="384"/>
      <c r="F54" s="384"/>
      <c r="G54" s="384" t="s">
        <v>484</v>
      </c>
      <c r="H54" s="384" t="n">
        <f aca="false">'Antenna Gain'!H26</f>
        <v>2.15</v>
      </c>
      <c r="I54" s="384" t="s">
        <v>496</v>
      </c>
      <c r="J54" s="384" t="s">
        <v>478</v>
      </c>
      <c r="K54" s="384" t="n">
        <f aca="false">'Antenna Gain'!L26</f>
        <v>156.2</v>
      </c>
      <c r="L54" s="386" t="s">
        <v>215</v>
      </c>
      <c r="M54" s="227"/>
      <c r="N54" s="228"/>
      <c r="O54" s="469" t="s">
        <v>554</v>
      </c>
      <c r="P54" s="470" t="s">
        <v>555</v>
      </c>
      <c r="Q54" s="471"/>
      <c r="R54" s="472" t="n">
        <f aca="false">IF(G63&lt;100,-10*LOG10(COS(RADIANS(90-G63))),"No Signal")</f>
        <v>3.740517406</v>
      </c>
      <c r="S54" s="244" t="s">
        <v>258</v>
      </c>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row>
    <row r="55" customFormat="false" ht="24.75" hidden="false" customHeight="true" outlineLevel="0" collapsed="false">
      <c r="A55" s="19"/>
      <c r="B55" s="387" t="n">
        <v>2</v>
      </c>
      <c r="C55" s="49" t="s">
        <v>498</v>
      </c>
      <c r="D55" s="49"/>
      <c r="E55" s="49"/>
      <c r="F55" s="49"/>
      <c r="G55" s="49" t="s">
        <v>484</v>
      </c>
      <c r="H55" s="49" t="n">
        <f aca="false">'Antenna Gain'!H27</f>
        <v>2.15</v>
      </c>
      <c r="I55" s="49" t="s">
        <v>496</v>
      </c>
      <c r="J55" s="49" t="s">
        <v>478</v>
      </c>
      <c r="K55" s="49" t="n">
        <f aca="false">'Antenna Gain'!L27</f>
        <v>156.2</v>
      </c>
      <c r="L55" s="389" t="s">
        <v>215</v>
      </c>
      <c r="M55" s="227"/>
      <c r="N55" s="228"/>
      <c r="O55" s="473" t="s">
        <v>556</v>
      </c>
      <c r="P55" s="470" t="s">
        <v>557</v>
      </c>
      <c r="Q55" s="471"/>
      <c r="R55" s="474" t="n">
        <f aca="false">IF(G63&lt;90.001,-10*LOG10(COS(RADIANS($G$63))),-10*LOG(-COS(RADIANS($G$63))))</f>
        <v>0.4272428851</v>
      </c>
      <c r="S55" s="269" t="s">
        <v>258</v>
      </c>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row>
    <row r="56" customFormat="false" ht="25.5" hidden="false" customHeight="true" outlineLevel="0" collapsed="false">
      <c r="A56" s="19"/>
      <c r="B56" s="390" t="n">
        <v>3</v>
      </c>
      <c r="C56" s="391" t="s">
        <v>500</v>
      </c>
      <c r="D56" s="391"/>
      <c r="E56" s="391"/>
      <c r="F56" s="391"/>
      <c r="G56" s="391" t="s">
        <v>484</v>
      </c>
      <c r="H56" s="475" t="n">
        <f aca="false">'Antenna Gain'!H28</f>
        <v>2</v>
      </c>
      <c r="I56" s="391" t="s">
        <v>477</v>
      </c>
      <c r="J56" s="391" t="s">
        <v>478</v>
      </c>
      <c r="K56" s="391" t="n">
        <f aca="false">'Antenna Gain'!L28</f>
        <v>180</v>
      </c>
      <c r="L56" s="393" t="s">
        <v>215</v>
      </c>
      <c r="M56" s="227"/>
      <c r="N56" s="228"/>
      <c r="O56" s="476" t="s">
        <v>558</v>
      </c>
      <c r="P56" s="470" t="s">
        <v>559</v>
      </c>
      <c r="Q56" s="471"/>
      <c r="R56" s="472" t="n">
        <f aca="false">IF(K52=K36,0.00075*(G63)^2,0.00075*(180-G63)^2)</f>
        <v>0.46875</v>
      </c>
      <c r="S56" s="244" t="s">
        <v>258</v>
      </c>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row>
    <row r="57" customFormat="false" ht="24.75" hidden="false" customHeight="true" outlineLevel="0" collapsed="false">
      <c r="A57" s="19"/>
      <c r="B57" s="387" t="n">
        <v>4</v>
      </c>
      <c r="C57" s="49" t="s">
        <v>503</v>
      </c>
      <c r="D57" s="49"/>
      <c r="E57" s="271" t="s">
        <v>504</v>
      </c>
      <c r="F57" s="49" t="s">
        <v>505</v>
      </c>
      <c r="G57" s="49" t="s">
        <v>484</v>
      </c>
      <c r="H57" s="314" t="n">
        <f aca="false">'Antenna Gain'!H29</f>
        <v>4</v>
      </c>
      <c r="I57" s="49" t="s">
        <v>477</v>
      </c>
      <c r="J57" s="49" t="s">
        <v>478</v>
      </c>
      <c r="K57" s="49" t="n">
        <f aca="false">'Antenna Gain'!L29</f>
        <v>150</v>
      </c>
      <c r="L57" s="389" t="s">
        <v>215</v>
      </c>
      <c r="M57" s="227"/>
      <c r="N57" s="228"/>
      <c r="O57" s="473" t="s">
        <v>560</v>
      </c>
      <c r="P57" s="470" t="s">
        <v>561</v>
      </c>
      <c r="Q57" s="471"/>
      <c r="R57" s="474" t="n">
        <f aca="false">-1.5*(-(4-10*LOG10(1.256*(1+COS(RADIANS(G63))))))</f>
        <v>0.3122600802</v>
      </c>
      <c r="S57" s="269" t="s">
        <v>258</v>
      </c>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row>
    <row r="58" customFormat="false" ht="24.75" hidden="false" customHeight="true" outlineLevel="0" collapsed="false">
      <c r="A58" s="19"/>
      <c r="B58" s="390" t="n">
        <v>5</v>
      </c>
      <c r="C58" s="391" t="s">
        <v>507</v>
      </c>
      <c r="D58" s="391"/>
      <c r="E58" s="477" t="s">
        <v>0</v>
      </c>
      <c r="F58" s="391"/>
      <c r="G58" s="391" t="s">
        <v>484</v>
      </c>
      <c r="H58" s="478" t="n">
        <f aca="false">'Antenna Gain'!H30</f>
        <v>6</v>
      </c>
      <c r="I58" s="391" t="s">
        <v>562</v>
      </c>
      <c r="J58" s="391" t="s">
        <v>478</v>
      </c>
      <c r="K58" s="391" t="n">
        <f aca="false">'Antenna Gain'!L30</f>
        <v>90</v>
      </c>
      <c r="L58" s="393" t="s">
        <v>215</v>
      </c>
      <c r="M58" s="479"/>
      <c r="N58" s="480"/>
      <c r="O58" s="476" t="s">
        <v>563</v>
      </c>
      <c r="P58" s="470" t="s">
        <v>564</v>
      </c>
      <c r="Q58" s="471"/>
      <c r="R58" s="298" t="n">
        <f aca="false">-10*LOG10(3282.81*((SIN(RADIANS(G63*1.7724))^2)/((G63*1.7724)^2)))</f>
        <v>0.8837496046</v>
      </c>
      <c r="S58" s="244" t="s">
        <v>258</v>
      </c>
      <c r="T58" s="19"/>
      <c r="U58" s="19"/>
      <c r="V58" s="19"/>
      <c r="W58" s="19"/>
      <c r="X58" s="19" t="s">
        <v>0</v>
      </c>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row>
    <row r="59" customFormat="false" ht="24.75" hidden="false" customHeight="true" outlineLevel="0" collapsed="false">
      <c r="A59" s="19"/>
      <c r="B59" s="387" t="n">
        <v>6</v>
      </c>
      <c r="C59" s="49" t="s">
        <v>486</v>
      </c>
      <c r="D59" s="49"/>
      <c r="E59" s="481" t="s">
        <v>565</v>
      </c>
      <c r="F59" s="49"/>
      <c r="G59" s="49" t="s">
        <v>484</v>
      </c>
      <c r="H59" s="457" t="n">
        <f aca="false">'Antenna Gain'!H31</f>
        <v>25.2710632385685</v>
      </c>
      <c r="I59" s="49" t="s">
        <v>562</v>
      </c>
      <c r="J59" s="49" t="s">
        <v>478</v>
      </c>
      <c r="K59" s="314" t="n">
        <f aca="false">'Antenna Gain'!L31</f>
        <v>8.88888888888889</v>
      </c>
      <c r="L59" s="389" t="s">
        <v>215</v>
      </c>
      <c r="M59" s="227"/>
      <c r="N59" s="227"/>
      <c r="O59" s="482" t="s">
        <v>566</v>
      </c>
      <c r="P59" s="483" t="s">
        <v>567</v>
      </c>
      <c r="Q59" s="471"/>
      <c r="R59" s="314" t="n">
        <f aca="false">-10*LOG10(3282.1*((SIN(RADIANS(U59))^2/(U59^2))))</f>
        <v>17.8790466255749</v>
      </c>
      <c r="S59" s="281" t="s">
        <v>258</v>
      </c>
      <c r="T59" s="19"/>
      <c r="U59" s="278" t="n">
        <f aca="false">2*(G63*(79.76/K59))</f>
        <v>448.65</v>
      </c>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row>
    <row r="60" customFormat="false" ht="24.75" hidden="false" customHeight="true" outlineLevel="0" collapsed="false">
      <c r="A60" s="19"/>
      <c r="B60" s="400" t="n">
        <v>7</v>
      </c>
      <c r="C60" s="402" t="s">
        <v>524</v>
      </c>
      <c r="D60" s="402"/>
      <c r="E60" s="484" t="s">
        <v>568</v>
      </c>
      <c r="F60" s="402"/>
      <c r="G60" s="402" t="s">
        <v>484</v>
      </c>
      <c r="H60" s="485" t="n">
        <f aca="false">'Antenna Gain'!H32</f>
        <v>0</v>
      </c>
      <c r="I60" s="402" t="s">
        <v>514</v>
      </c>
      <c r="J60" s="402" t="s">
        <v>478</v>
      </c>
      <c r="K60" s="402" t="n">
        <f aca="false">'Antenna Gain'!L32</f>
        <v>180</v>
      </c>
      <c r="L60" s="404" t="s">
        <v>215</v>
      </c>
      <c r="M60" s="227"/>
      <c r="N60" s="227"/>
      <c r="O60" s="486" t="s">
        <v>569</v>
      </c>
      <c r="P60" s="483" t="s">
        <v>570</v>
      </c>
      <c r="Q60" s="471"/>
      <c r="R60" s="319" t="n">
        <v>0</v>
      </c>
      <c r="S60" s="252" t="s">
        <v>258</v>
      </c>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row>
    <row r="61" customFormat="false" ht="12" hidden="false" customHeight="true" outlineLevel="0" collapsed="false">
      <c r="A61" s="19"/>
      <c r="B61" s="487"/>
      <c r="C61" s="488"/>
      <c r="D61" s="488"/>
      <c r="E61" s="488"/>
      <c r="F61" s="488"/>
      <c r="G61" s="488"/>
      <c r="H61" s="488"/>
      <c r="I61" s="488"/>
      <c r="J61" s="488"/>
      <c r="K61" s="488"/>
      <c r="L61" s="489"/>
      <c r="M61" s="19"/>
      <c r="N61" s="19"/>
      <c r="O61" s="19"/>
      <c r="P61" s="19"/>
      <c r="Q61" s="19"/>
      <c r="R61" s="454"/>
      <c r="S61" s="432"/>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row>
    <row r="62" customFormat="false" ht="12" hidden="false" customHeight="true" outlineLevel="0" collapsed="false">
      <c r="A62" s="19"/>
      <c r="B62" s="490"/>
      <c r="C62" s="460" t="s">
        <v>571</v>
      </c>
      <c r="D62" s="460"/>
      <c r="E62" s="460"/>
      <c r="F62" s="460"/>
      <c r="G62" s="292"/>
      <c r="H62" s="292"/>
      <c r="I62" s="491" t="s">
        <v>572</v>
      </c>
      <c r="J62" s="491"/>
      <c r="K62" s="292"/>
      <c r="L62" s="492"/>
      <c r="M62" s="19"/>
      <c r="N62" s="19"/>
      <c r="O62" s="19"/>
      <c r="P62" s="19"/>
      <c r="Q62" s="19"/>
      <c r="R62" s="454"/>
      <c r="S62" s="432"/>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row>
    <row r="63" customFormat="false" ht="12" hidden="false" customHeight="true" outlineLevel="0" collapsed="false">
      <c r="A63" s="19"/>
      <c r="B63" s="490"/>
      <c r="C63" s="460" t="s">
        <v>573</v>
      </c>
      <c r="D63" s="460"/>
      <c r="E63" s="460"/>
      <c r="F63" s="460"/>
      <c r="G63" s="493" t="n">
        <v>25</v>
      </c>
      <c r="H63" s="252" t="s">
        <v>215</v>
      </c>
      <c r="I63" s="491" t="s">
        <v>574</v>
      </c>
      <c r="J63" s="491"/>
      <c r="K63" s="461" t="n">
        <f aca="false" t="array" ref="K63:K63">INDEX(R54:R60,E52,1)</f>
        <v>0</v>
      </c>
      <c r="L63" s="494" t="s">
        <v>258</v>
      </c>
      <c r="M63" s="19"/>
      <c r="N63" s="19"/>
      <c r="O63" s="19"/>
      <c r="P63" s="19"/>
      <c r="Q63" s="19"/>
      <c r="R63" s="454"/>
      <c r="S63" s="432"/>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row>
    <row r="64" customFormat="false" ht="12.75" hidden="false" customHeight="true" outlineLevel="0" collapsed="false">
      <c r="A64" s="19"/>
      <c r="B64" s="495"/>
      <c r="C64" s="496"/>
      <c r="D64" s="496"/>
      <c r="E64" s="496"/>
      <c r="F64" s="496"/>
      <c r="G64" s="497"/>
      <c r="H64" s="496"/>
      <c r="I64" s="496"/>
      <c r="J64" s="496"/>
      <c r="K64" s="496"/>
      <c r="L64" s="498"/>
      <c r="M64" s="19" t="s">
        <v>0</v>
      </c>
      <c r="N64" s="19" t="s">
        <v>0</v>
      </c>
      <c r="O64" s="19"/>
      <c r="P64" s="19"/>
      <c r="Q64" s="19"/>
      <c r="R64" s="454"/>
      <c r="S64" s="432"/>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row>
    <row r="65" customFormat="false" ht="12" hidden="false" customHeight="true" outlineLevel="0" collapsed="false">
      <c r="A65" s="19"/>
      <c r="B65" s="19"/>
      <c r="C65" s="19"/>
      <c r="D65" s="19"/>
      <c r="E65" s="19"/>
      <c r="F65" s="19"/>
      <c r="G65" s="19"/>
      <c r="H65" s="19"/>
      <c r="I65" s="19"/>
      <c r="J65" s="19"/>
      <c r="K65" s="19"/>
      <c r="L65" s="19"/>
      <c r="M65" s="19"/>
      <c r="N65" s="19"/>
      <c r="O65" s="19"/>
      <c r="P65" s="19"/>
      <c r="Q65" s="19"/>
      <c r="R65" s="454"/>
      <c r="S65" s="432"/>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row>
    <row r="66" customFormat="false" ht="12" hidden="false" customHeight="true" outlineLevel="0" collapsed="false">
      <c r="A66" s="19"/>
      <c r="B66" s="19"/>
      <c r="C66" s="19"/>
      <c r="D66" s="19"/>
      <c r="E66" s="19"/>
      <c r="F66" s="19"/>
      <c r="G66" s="19"/>
      <c r="H66" s="19"/>
      <c r="I66" s="19"/>
      <c r="J66" s="19"/>
      <c r="K66" s="19"/>
      <c r="L66" s="19"/>
      <c r="M66" s="19"/>
      <c r="N66" s="19"/>
      <c r="O66" s="19"/>
      <c r="P66" s="19"/>
      <c r="Q66" s="19"/>
      <c r="R66" s="454"/>
      <c r="S66" s="432"/>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row>
    <row r="67" customFormat="false" ht="15" hidden="false" customHeight="true" outlineLevel="0" collapsed="false">
      <c r="A67" s="499"/>
      <c r="B67" s="499"/>
      <c r="C67" s="500" t="s">
        <v>516</v>
      </c>
      <c r="D67" s="499"/>
      <c r="E67" s="499"/>
      <c r="F67" s="499"/>
      <c r="G67" s="499"/>
      <c r="H67" s="499"/>
      <c r="I67" s="499"/>
      <c r="J67" s="500" t="s">
        <v>517</v>
      </c>
      <c r="K67" s="499"/>
      <c r="L67" s="499"/>
      <c r="M67" s="499"/>
      <c r="N67" s="499"/>
      <c r="O67" s="499"/>
      <c r="P67" s="499"/>
      <c r="Q67" s="499"/>
      <c r="R67" s="454"/>
      <c r="S67" s="432"/>
      <c r="T67" s="499"/>
      <c r="U67" s="499"/>
      <c r="V67" s="499"/>
      <c r="W67" s="499"/>
      <c r="X67" s="499"/>
      <c r="Y67" s="499"/>
      <c r="Z67" s="499"/>
      <c r="AA67" s="499"/>
      <c r="AB67" s="499"/>
      <c r="AC67" s="499"/>
      <c r="AD67" s="499"/>
      <c r="AE67" s="499"/>
      <c r="AF67" s="499"/>
      <c r="AG67" s="499"/>
      <c r="AH67" s="499"/>
      <c r="AI67" s="499"/>
      <c r="AJ67" s="499"/>
      <c r="AK67" s="499"/>
      <c r="AL67" s="499"/>
      <c r="AM67" s="499"/>
      <c r="AN67" s="499"/>
      <c r="AO67" s="499"/>
      <c r="AP67" s="499"/>
      <c r="AQ67" s="499"/>
      <c r="AR67" s="499"/>
      <c r="AS67" s="499"/>
      <c r="AT67" s="499"/>
      <c r="AU67" s="499"/>
      <c r="AV67" s="499"/>
      <c r="AW67" s="499"/>
    </row>
    <row r="68" customFormat="false" ht="12" hidden="false" customHeight="true" outlineLevel="0" collapsed="false">
      <c r="A68" s="19"/>
      <c r="B68" s="19"/>
      <c r="C68" s="19"/>
      <c r="D68" s="19"/>
      <c r="E68" s="19"/>
      <c r="F68" s="19"/>
      <c r="G68" s="19"/>
      <c r="H68" s="19"/>
      <c r="I68" s="19"/>
      <c r="J68" s="19"/>
      <c r="K68" s="19"/>
      <c r="L68" s="19"/>
      <c r="M68" s="19"/>
      <c r="N68" s="19"/>
      <c r="O68" s="19"/>
      <c r="P68" s="19"/>
      <c r="Q68" s="19"/>
      <c r="R68" s="454"/>
      <c r="S68" s="432"/>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row>
    <row r="69" customFormat="false" ht="15" hidden="false" customHeight="true" outlineLevel="0" collapsed="false">
      <c r="A69" s="44" t="s">
        <v>575</v>
      </c>
      <c r="B69" s="46"/>
      <c r="C69" s="46"/>
      <c r="D69" s="45"/>
      <c r="E69" s="19"/>
      <c r="F69" s="19"/>
      <c r="G69" s="19"/>
      <c r="H69" s="19"/>
      <c r="I69" s="19"/>
      <c r="J69" s="19"/>
      <c r="K69" s="19"/>
      <c r="L69" s="19"/>
      <c r="M69" s="19"/>
      <c r="N69" s="19"/>
      <c r="O69" s="19"/>
      <c r="P69" s="19"/>
      <c r="Q69" s="19"/>
      <c r="R69" s="454"/>
      <c r="S69" s="432"/>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row>
    <row r="70" customFormat="false" ht="12.75" hidden="false" customHeight="true" outlineLevel="0" collapsed="false">
      <c r="A70" s="19"/>
      <c r="B70" s="19"/>
      <c r="C70" s="19"/>
      <c r="D70" s="19"/>
      <c r="E70" s="19"/>
      <c r="F70" s="19"/>
      <c r="G70" s="19"/>
      <c r="H70" s="19"/>
      <c r="I70" s="19"/>
      <c r="J70" s="19"/>
      <c r="K70" s="19"/>
      <c r="L70" s="19"/>
      <c r="M70" s="19"/>
      <c r="N70" s="19"/>
      <c r="O70" s="19"/>
      <c r="P70" s="19"/>
      <c r="Q70" s="19"/>
      <c r="R70" s="462"/>
      <c r="S70" s="463"/>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row>
    <row r="71" customFormat="false" ht="12.75" hidden="false" customHeight="true" outlineLevel="0" collapsed="false">
      <c r="A71" s="19"/>
      <c r="B71" s="331" t="s">
        <v>492</v>
      </c>
      <c r="C71" s="332"/>
      <c r="D71" s="266"/>
      <c r="E71" s="266"/>
      <c r="F71" s="266"/>
      <c r="G71" s="266"/>
      <c r="H71" s="266"/>
      <c r="I71" s="266"/>
      <c r="J71" s="266"/>
      <c r="K71" s="266"/>
      <c r="L71" s="267"/>
      <c r="M71" s="19"/>
      <c r="N71" s="19"/>
      <c r="O71" s="19"/>
      <c r="P71" s="19"/>
      <c r="Q71" s="19"/>
      <c r="R71" s="265"/>
      <c r="S71" s="267"/>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row>
    <row r="72" customFormat="false" ht="12" hidden="false" customHeight="true" outlineLevel="0" collapsed="false">
      <c r="A72" s="19"/>
      <c r="B72" s="268"/>
      <c r="C72" s="49"/>
      <c r="D72" s="270" t="s">
        <v>576</v>
      </c>
      <c r="E72" s="49" t="s">
        <v>309</v>
      </c>
      <c r="F72" s="335" t="n">
        <f aca="false">'Antenna Gain'!F39</f>
        <v>437.45</v>
      </c>
      <c r="G72" s="49" t="s">
        <v>314</v>
      </c>
      <c r="H72" s="49"/>
      <c r="I72" s="49"/>
      <c r="J72" s="49" t="s">
        <v>466</v>
      </c>
      <c r="K72" s="336" t="n">
        <f aca="false">'Antenna Gain'!K39</f>
        <v>0.685335466910504</v>
      </c>
      <c r="L72" s="269" t="s">
        <v>315</v>
      </c>
      <c r="M72" s="19"/>
      <c r="N72" s="19"/>
      <c r="O72" s="19"/>
      <c r="P72" s="19"/>
      <c r="Q72" s="19"/>
      <c r="R72" s="268" t="s">
        <v>550</v>
      </c>
      <c r="S72" s="464"/>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row>
    <row r="73" customFormat="false" ht="12.75" hidden="false" customHeight="true" outlineLevel="0" collapsed="false">
      <c r="A73" s="19"/>
      <c r="B73" s="268"/>
      <c r="C73" s="49"/>
      <c r="D73" s="49" t="s">
        <v>0</v>
      </c>
      <c r="E73" s="49" t="s">
        <v>0</v>
      </c>
      <c r="F73" s="337" t="s">
        <v>547</v>
      </c>
      <c r="G73" s="49"/>
      <c r="H73" s="49"/>
      <c r="I73" s="49"/>
      <c r="J73" s="49"/>
      <c r="K73" s="49"/>
      <c r="L73" s="269"/>
      <c r="M73" s="19"/>
      <c r="N73" s="19"/>
      <c r="O73" s="19"/>
      <c r="P73" s="19"/>
      <c r="Q73" s="19"/>
      <c r="R73" s="465"/>
      <c r="S73" s="464"/>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row>
    <row r="74" customFormat="false" ht="12.75" hidden="false" customHeight="true" outlineLevel="0" collapsed="false">
      <c r="A74" s="19"/>
      <c r="B74" s="333" t="s">
        <v>0</v>
      </c>
      <c r="C74" s="49"/>
      <c r="D74" s="49"/>
      <c r="E74" s="466" t="n">
        <f aca="false">'Antenna Gain'!E41</f>
        <v>7</v>
      </c>
      <c r="F74" s="382" t="str">
        <f aca="false">'Antenna Gain'!F41</f>
        <v>Deployable Turnstyle</v>
      </c>
      <c r="G74" s="340"/>
      <c r="H74" s="49"/>
      <c r="I74" s="49"/>
      <c r="J74" s="49" t="s">
        <v>468</v>
      </c>
      <c r="K74" s="54" t="str">
        <f aca="false">'Antenna Gain'!K41</f>
        <v>RHCP</v>
      </c>
      <c r="L74" s="269"/>
      <c r="M74" s="19"/>
      <c r="N74" s="19"/>
      <c r="O74" s="467" t="s">
        <v>551</v>
      </c>
      <c r="P74" s="19"/>
      <c r="Q74" s="19"/>
      <c r="R74" s="268" t="s">
        <v>552</v>
      </c>
      <c r="S74" s="464"/>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row>
    <row r="75" customFormat="false" ht="12.75" hidden="false" customHeight="true" outlineLevel="0" collapsed="false">
      <c r="A75" s="19"/>
      <c r="B75" s="268"/>
      <c r="C75" s="49"/>
      <c r="D75" s="49"/>
      <c r="E75" s="49"/>
      <c r="F75" s="49" t="s">
        <v>0</v>
      </c>
      <c r="G75" s="49"/>
      <c r="H75" s="49"/>
      <c r="I75" s="49"/>
      <c r="J75" s="49"/>
      <c r="K75" s="49"/>
      <c r="L75" s="269"/>
      <c r="M75" s="19"/>
      <c r="N75" s="19"/>
      <c r="O75" s="468" t="s">
        <v>553</v>
      </c>
      <c r="P75" s="19"/>
      <c r="Q75" s="19"/>
      <c r="R75" s="279" t="s">
        <v>0</v>
      </c>
      <c r="S75" s="281"/>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row>
    <row r="76" customFormat="false" ht="24.75" hidden="false" customHeight="true" outlineLevel="0" collapsed="false">
      <c r="A76" s="19"/>
      <c r="B76" s="383" t="n">
        <v>1</v>
      </c>
      <c r="C76" s="384" t="s">
        <v>495</v>
      </c>
      <c r="D76" s="384"/>
      <c r="E76" s="384"/>
      <c r="F76" s="384"/>
      <c r="G76" s="384" t="s">
        <v>484</v>
      </c>
      <c r="H76" s="384" t="n">
        <f aca="false">'Antenna Gain'!H43</f>
        <v>2.15</v>
      </c>
      <c r="I76" s="384" t="s">
        <v>496</v>
      </c>
      <c r="J76" s="384" t="s">
        <v>478</v>
      </c>
      <c r="K76" s="384" t="n">
        <f aca="false">'Antenna Gain'!L43</f>
        <v>156.2</v>
      </c>
      <c r="L76" s="386" t="s">
        <v>215</v>
      </c>
      <c r="M76" s="227"/>
      <c r="N76" s="228"/>
      <c r="O76" s="469" t="s">
        <v>577</v>
      </c>
      <c r="P76" s="470" t="s">
        <v>555</v>
      </c>
      <c r="Q76" s="471"/>
      <c r="R76" s="472" t="n">
        <f aca="false">IF(G85&lt;100,-10*LOG10(COS(RADIANS(90-G85))),"No Signal")</f>
        <v>3.740517406</v>
      </c>
      <c r="S76" s="244" t="s">
        <v>258</v>
      </c>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row>
    <row r="77" customFormat="false" ht="24.75" hidden="false" customHeight="true" outlineLevel="0" collapsed="false">
      <c r="A77" s="19"/>
      <c r="B77" s="387" t="n">
        <v>2</v>
      </c>
      <c r="C77" s="49" t="s">
        <v>498</v>
      </c>
      <c r="D77" s="49"/>
      <c r="E77" s="49"/>
      <c r="F77" s="49"/>
      <c r="G77" s="49" t="s">
        <v>484</v>
      </c>
      <c r="H77" s="49" t="n">
        <f aca="false">'Antenna Gain'!H44</f>
        <v>2.15</v>
      </c>
      <c r="I77" s="49" t="s">
        <v>496</v>
      </c>
      <c r="J77" s="49" t="s">
        <v>478</v>
      </c>
      <c r="K77" s="49" t="n">
        <f aca="false">'Antenna Gain'!L44</f>
        <v>156.2</v>
      </c>
      <c r="L77" s="389" t="s">
        <v>215</v>
      </c>
      <c r="M77" s="227"/>
      <c r="N77" s="228"/>
      <c r="O77" s="473" t="s">
        <v>578</v>
      </c>
      <c r="P77" s="470" t="s">
        <v>557</v>
      </c>
      <c r="Q77" s="471"/>
      <c r="R77" s="474" t="n">
        <f aca="false">IF(G85&lt;90.001,-10*LOG10(COS(RADIANS(G85))),-10*LOG(-COS(RADIANS(G85))))</f>
        <v>0.4272428851</v>
      </c>
      <c r="S77" s="269" t="s">
        <v>258</v>
      </c>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row>
    <row r="78" customFormat="false" ht="24" hidden="false" customHeight="true" outlineLevel="0" collapsed="false">
      <c r="A78" s="19"/>
      <c r="B78" s="390" t="n">
        <v>3</v>
      </c>
      <c r="C78" s="391" t="s">
        <v>500</v>
      </c>
      <c r="D78" s="391"/>
      <c r="E78" s="391"/>
      <c r="F78" s="391"/>
      <c r="G78" s="391" t="s">
        <v>484</v>
      </c>
      <c r="H78" s="475" t="n">
        <f aca="false">'Antenna Gain'!H45</f>
        <v>2</v>
      </c>
      <c r="I78" s="391" t="s">
        <v>477</v>
      </c>
      <c r="J78" s="391" t="s">
        <v>478</v>
      </c>
      <c r="K78" s="391" t="n">
        <f aca="false">'Antenna Gain'!L45</f>
        <v>180</v>
      </c>
      <c r="L78" s="393" t="s">
        <v>215</v>
      </c>
      <c r="M78" s="227"/>
      <c r="N78" s="228"/>
      <c r="O78" s="476" t="s">
        <v>579</v>
      </c>
      <c r="P78" s="470" t="s">
        <v>559</v>
      </c>
      <c r="Q78" s="471"/>
      <c r="R78" s="501" t="n">
        <f aca="false">IF(K74=K95,0.00075*(G85)^2,0.00075*(180-G85)^2)</f>
        <v>0.46875</v>
      </c>
      <c r="S78" s="423" t="s">
        <v>258</v>
      </c>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row>
    <row r="79" customFormat="false" ht="24.75" hidden="false" customHeight="true" outlineLevel="0" collapsed="false">
      <c r="A79" s="19"/>
      <c r="B79" s="387" t="n">
        <v>4</v>
      </c>
      <c r="C79" s="49" t="s">
        <v>503</v>
      </c>
      <c r="D79" s="49"/>
      <c r="E79" s="271" t="s">
        <v>504</v>
      </c>
      <c r="F79" s="49" t="s">
        <v>505</v>
      </c>
      <c r="G79" s="49" t="s">
        <v>484</v>
      </c>
      <c r="H79" s="314" t="n">
        <f aca="false">'Antenna Gain'!H46</f>
        <v>4</v>
      </c>
      <c r="I79" s="49" t="s">
        <v>477</v>
      </c>
      <c r="J79" s="49" t="s">
        <v>478</v>
      </c>
      <c r="K79" s="49" t="n">
        <f aca="false">'Antenna Gain'!L46</f>
        <v>150</v>
      </c>
      <c r="L79" s="389" t="s">
        <v>215</v>
      </c>
      <c r="M79" s="227"/>
      <c r="N79" s="228"/>
      <c r="O79" s="473" t="s">
        <v>580</v>
      </c>
      <c r="P79" s="470" t="s">
        <v>561</v>
      </c>
      <c r="Q79" s="471"/>
      <c r="R79" s="502" t="n">
        <f aca="false">1.5*((4-10*LOG10(1.256*(1+COS(RADIANS(G85))))))</f>
        <v>0.3122600802</v>
      </c>
      <c r="S79" s="281" t="s">
        <v>258</v>
      </c>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row>
    <row r="80" customFormat="false" ht="24.75" hidden="false" customHeight="true" outlineLevel="0" collapsed="false">
      <c r="A80" s="19"/>
      <c r="B80" s="390" t="n">
        <v>5</v>
      </c>
      <c r="C80" s="391" t="s">
        <v>524</v>
      </c>
      <c r="D80" s="391"/>
      <c r="E80" s="477" t="s">
        <v>525</v>
      </c>
      <c r="F80" s="391"/>
      <c r="G80" s="391" t="s">
        <v>484</v>
      </c>
      <c r="H80" s="478" t="n">
        <f aca="false">'Antenna Gain'!H47</f>
        <v>6</v>
      </c>
      <c r="I80" s="391" t="s">
        <v>514</v>
      </c>
      <c r="J80" s="391" t="s">
        <v>478</v>
      </c>
      <c r="K80" s="391" t="n">
        <f aca="false">'Antenna Gain'!L47</f>
        <v>90</v>
      </c>
      <c r="L80" s="393" t="s">
        <v>215</v>
      </c>
      <c r="M80" s="479"/>
      <c r="N80" s="480"/>
      <c r="O80" s="476" t="s">
        <v>581</v>
      </c>
      <c r="P80" s="470" t="str">
        <f aca="false">E80</f>
        <v>Patch (Example)</v>
      </c>
      <c r="Q80" s="471"/>
      <c r="R80" s="319" t="n">
        <f aca="false">-10*LOG10(3282.81*((SIN(RADIANS(G85*1.7724))^2)/((G85*1.7724)^2)))</f>
        <v>0.8837496046</v>
      </c>
      <c r="S80" s="252" t="s">
        <v>258</v>
      </c>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row>
    <row r="81" customFormat="false" ht="24.75" hidden="false" customHeight="true" outlineLevel="0" collapsed="false">
      <c r="A81" s="19"/>
      <c r="B81" s="387" t="n">
        <v>6</v>
      </c>
      <c r="C81" s="49" t="s">
        <v>486</v>
      </c>
      <c r="D81" s="49"/>
      <c r="E81" s="481" t="s">
        <v>565</v>
      </c>
      <c r="F81" s="49"/>
      <c r="G81" s="49" t="s">
        <v>484</v>
      </c>
      <c r="H81" s="457" t="n">
        <f aca="false">'Antenna Gain'!H48</f>
        <v>16.6427952255587</v>
      </c>
      <c r="I81" s="49" t="s">
        <v>562</v>
      </c>
      <c r="J81" s="49" t="s">
        <v>478</v>
      </c>
      <c r="K81" s="314" t="n">
        <f aca="false">'Antenna Gain'!L48</f>
        <v>24.0027431706481</v>
      </c>
      <c r="L81" s="389" t="s">
        <v>215</v>
      </c>
      <c r="M81" s="227"/>
      <c r="N81" s="227"/>
      <c r="O81" s="482" t="s">
        <v>566</v>
      </c>
      <c r="P81" s="483" t="s">
        <v>567</v>
      </c>
      <c r="Q81" s="471"/>
      <c r="R81" s="314" t="n">
        <f aca="false">-10*LOG10(3282.1*((SIN(RADIANS(U81))^2/(U81^2))))</f>
        <v>21.6651508299647</v>
      </c>
      <c r="S81" s="281" t="s">
        <v>258</v>
      </c>
      <c r="T81" s="19"/>
      <c r="U81" s="278" t="n">
        <f aca="false">2*(G85*(79.76/K81))</f>
        <v>166.147676190476</v>
      </c>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row>
    <row r="82" customFormat="false" ht="24.75" hidden="false" customHeight="true" outlineLevel="0" collapsed="false">
      <c r="A82" s="19" t="s">
        <v>0</v>
      </c>
      <c r="B82" s="400" t="n">
        <v>7</v>
      </c>
      <c r="C82" s="402" t="s">
        <v>524</v>
      </c>
      <c r="D82" s="402"/>
      <c r="E82" s="484" t="s">
        <v>568</v>
      </c>
      <c r="F82" s="402"/>
      <c r="G82" s="402" t="s">
        <v>484</v>
      </c>
      <c r="H82" s="485" t="n">
        <f aca="false">'Antenna Gain'!H49</f>
        <v>0</v>
      </c>
      <c r="I82" s="402" t="s">
        <v>514</v>
      </c>
      <c r="J82" s="402" t="s">
        <v>478</v>
      </c>
      <c r="K82" s="402" t="n">
        <f aca="false">'Antenna Gain'!L49</f>
        <v>180</v>
      </c>
      <c r="L82" s="404" t="s">
        <v>215</v>
      </c>
      <c r="M82" s="227"/>
      <c r="N82" s="227"/>
      <c r="O82" s="486" t="s">
        <v>569</v>
      </c>
      <c r="P82" s="483" t="s">
        <v>570</v>
      </c>
      <c r="Q82" s="471"/>
      <c r="R82" s="319" t="n">
        <v>0</v>
      </c>
      <c r="S82" s="252" t="s">
        <v>258</v>
      </c>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row>
    <row r="83" customFormat="false" ht="12" hidden="false" customHeight="true" outlineLevel="0" collapsed="false">
      <c r="A83" s="19"/>
      <c r="B83" s="487"/>
      <c r="C83" s="488"/>
      <c r="D83" s="488"/>
      <c r="E83" s="488"/>
      <c r="F83" s="488"/>
      <c r="G83" s="488"/>
      <c r="H83" s="488"/>
      <c r="I83" s="488"/>
      <c r="J83" s="488"/>
      <c r="K83" s="488"/>
      <c r="L83" s="489"/>
      <c r="M83" s="19"/>
      <c r="N83" s="19"/>
      <c r="O83" s="19"/>
      <c r="P83" s="19"/>
      <c r="Q83" s="19"/>
      <c r="R83" s="448"/>
      <c r="S83" s="44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row>
    <row r="84" customFormat="false" ht="12" hidden="false" customHeight="true" outlineLevel="0" collapsed="false">
      <c r="A84" s="19"/>
      <c r="B84" s="490"/>
      <c r="C84" s="460" t="s">
        <v>571</v>
      </c>
      <c r="D84" s="460"/>
      <c r="E84" s="460"/>
      <c r="F84" s="460"/>
      <c r="G84" s="292"/>
      <c r="H84" s="292"/>
      <c r="I84" s="491" t="s">
        <v>572</v>
      </c>
      <c r="J84" s="491"/>
      <c r="K84" s="292"/>
      <c r="L84" s="492"/>
      <c r="M84" s="19"/>
      <c r="N84" s="19"/>
      <c r="O84" s="19"/>
      <c r="P84" s="19"/>
      <c r="Q84" s="19"/>
      <c r="R84" s="454"/>
      <c r="S84" s="432"/>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row>
    <row r="85" customFormat="false" ht="12" hidden="false" customHeight="true" outlineLevel="0" collapsed="false">
      <c r="A85" s="19"/>
      <c r="B85" s="490"/>
      <c r="C85" s="460" t="s">
        <v>582</v>
      </c>
      <c r="D85" s="460"/>
      <c r="E85" s="460"/>
      <c r="F85" s="460"/>
      <c r="G85" s="493" t="n">
        <v>25</v>
      </c>
      <c r="H85" s="252" t="s">
        <v>215</v>
      </c>
      <c r="I85" s="491" t="s">
        <v>574</v>
      </c>
      <c r="J85" s="491"/>
      <c r="K85" s="461" t="n">
        <f aca="false" t="array" ref="K85:K85">INDEX(R76:R82,E74,1)</f>
        <v>0</v>
      </c>
      <c r="L85" s="494" t="s">
        <v>258</v>
      </c>
      <c r="M85" s="19"/>
      <c r="N85" s="19"/>
      <c r="O85" s="19"/>
      <c r="P85" s="19" t="s">
        <v>0</v>
      </c>
      <c r="Q85" s="19"/>
      <c r="R85" s="454"/>
      <c r="S85" s="432"/>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row>
    <row r="86" customFormat="false" ht="12.75" hidden="false" customHeight="true" outlineLevel="0" collapsed="false">
      <c r="A86" s="19"/>
      <c r="B86" s="495"/>
      <c r="C86" s="496"/>
      <c r="D86" s="496"/>
      <c r="E86" s="496"/>
      <c r="F86" s="496"/>
      <c r="G86" s="497"/>
      <c r="H86" s="496"/>
      <c r="I86" s="496"/>
      <c r="J86" s="496"/>
      <c r="K86" s="496"/>
      <c r="L86" s="498"/>
      <c r="M86" s="19"/>
      <c r="N86" s="19" t="s">
        <v>0</v>
      </c>
      <c r="O86" s="19"/>
      <c r="P86" s="19"/>
      <c r="Q86" s="19"/>
      <c r="R86" s="454"/>
      <c r="S86" s="432"/>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row>
    <row r="87" customFormat="false" ht="12" hidden="false" customHeight="true" outlineLevel="0" collapsed="false">
      <c r="A87" s="19"/>
      <c r="B87" s="19"/>
      <c r="C87" s="19"/>
      <c r="D87" s="19"/>
      <c r="E87" s="19"/>
      <c r="F87" s="19"/>
      <c r="G87" s="19"/>
      <c r="H87" s="19"/>
      <c r="I87" s="19"/>
      <c r="J87" s="19"/>
      <c r="K87" s="19"/>
      <c r="L87" s="19"/>
      <c r="M87" s="19"/>
      <c r="N87" s="19"/>
      <c r="O87" s="19"/>
      <c r="P87" s="19"/>
      <c r="Q87" s="19"/>
      <c r="R87" s="454"/>
      <c r="S87" s="432"/>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row>
    <row r="88" customFormat="false" ht="12" hidden="false" customHeight="true" outlineLevel="0" collapsed="false">
      <c r="A88" s="19"/>
      <c r="B88" s="19"/>
      <c r="C88" s="19"/>
      <c r="D88" s="19"/>
      <c r="E88" s="19"/>
      <c r="F88" s="19"/>
      <c r="G88" s="19"/>
      <c r="H88" s="19"/>
      <c r="I88" s="19"/>
      <c r="J88" s="19"/>
      <c r="K88" s="19"/>
      <c r="L88" s="19"/>
      <c r="M88" s="19"/>
      <c r="N88" s="19"/>
      <c r="O88" s="19"/>
      <c r="P88" s="19"/>
      <c r="Q88" s="19"/>
      <c r="R88" s="454"/>
      <c r="S88" s="432"/>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row>
    <row r="89" customFormat="false" ht="12" hidden="false" customHeight="true" outlineLevel="0" collapsed="false">
      <c r="A89" s="19"/>
      <c r="B89" s="19" t="s">
        <v>0</v>
      </c>
      <c r="C89" s="19"/>
      <c r="D89" s="19"/>
      <c r="E89" s="19"/>
      <c r="F89" s="19"/>
      <c r="G89" s="19"/>
      <c r="H89" s="19"/>
      <c r="I89" s="19"/>
      <c r="J89" s="19"/>
      <c r="K89" s="19"/>
      <c r="L89" s="19"/>
      <c r="M89" s="19"/>
      <c r="N89" s="19"/>
      <c r="O89" s="19"/>
      <c r="P89" s="19"/>
      <c r="Q89" s="19"/>
      <c r="R89" s="454"/>
      <c r="S89" s="432"/>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row>
    <row r="90" customFormat="false" ht="12.75" hidden="false" customHeight="true" outlineLevel="0" collapsed="false">
      <c r="A90" s="19"/>
      <c r="B90" s="19"/>
      <c r="C90" s="19"/>
      <c r="D90" s="19"/>
      <c r="E90" s="19"/>
      <c r="F90" s="19"/>
      <c r="G90" s="19"/>
      <c r="H90" s="19"/>
      <c r="I90" s="19"/>
      <c r="J90" s="19"/>
      <c r="K90" s="19"/>
      <c r="L90" s="19"/>
      <c r="M90" s="19"/>
      <c r="N90" s="19"/>
      <c r="O90" s="19"/>
      <c r="P90" s="19"/>
      <c r="Q90" s="19"/>
      <c r="R90" s="454"/>
      <c r="S90" s="432"/>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row>
    <row r="91" customFormat="false" ht="12.75" hidden="false" customHeight="true" outlineLevel="0" collapsed="false">
      <c r="A91" s="19"/>
      <c r="B91" s="331" t="s">
        <v>464</v>
      </c>
      <c r="C91" s="332"/>
      <c r="D91" s="266"/>
      <c r="E91" s="266"/>
      <c r="F91" s="266"/>
      <c r="G91" s="266" t="s">
        <v>0</v>
      </c>
      <c r="H91" s="266"/>
      <c r="I91" s="266"/>
      <c r="J91" s="266" t="s">
        <v>0</v>
      </c>
      <c r="K91" s="266"/>
      <c r="L91" s="267"/>
      <c r="M91" s="19"/>
      <c r="N91" s="19"/>
      <c r="O91" s="19"/>
      <c r="P91" s="19"/>
      <c r="Q91" s="19"/>
      <c r="R91" s="503"/>
      <c r="S91" s="432"/>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row>
    <row r="92" customFormat="false" ht="12" hidden="false" customHeight="true" outlineLevel="0" collapsed="false">
      <c r="A92" s="19"/>
      <c r="B92" s="333" t="s">
        <v>0</v>
      </c>
      <c r="C92" s="308"/>
      <c r="D92" s="270" t="s">
        <v>520</v>
      </c>
      <c r="E92" s="334" t="s">
        <v>309</v>
      </c>
      <c r="F92" s="335" t="n">
        <f aca="false">'Antenna Gain'!F55</f>
        <v>437.45</v>
      </c>
      <c r="G92" s="49" t="s">
        <v>314</v>
      </c>
      <c r="H92" s="49"/>
      <c r="I92" s="49"/>
      <c r="J92" s="49" t="s">
        <v>466</v>
      </c>
      <c r="K92" s="336" t="n">
        <f aca="false">'Antenna Gain'!K55</f>
        <v>0.685335466910504</v>
      </c>
      <c r="L92" s="269" t="s">
        <v>315</v>
      </c>
      <c r="M92" s="19"/>
      <c r="N92" s="19"/>
      <c r="O92" s="19"/>
      <c r="P92" s="19"/>
      <c r="Q92" s="19"/>
      <c r="R92" s="454"/>
      <c r="S92" s="432"/>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row>
    <row r="93" customFormat="false" ht="12" hidden="false" customHeight="true" outlineLevel="0" collapsed="false">
      <c r="A93" s="19"/>
      <c r="B93" s="268"/>
      <c r="C93" s="49"/>
      <c r="D93" s="49"/>
      <c r="E93" s="49"/>
      <c r="F93" s="49"/>
      <c r="G93" s="49"/>
      <c r="H93" s="49"/>
      <c r="I93" s="49"/>
      <c r="J93" s="49"/>
      <c r="K93" s="49"/>
      <c r="L93" s="269"/>
      <c r="M93" s="19"/>
      <c r="N93" s="19"/>
      <c r="O93" s="19"/>
      <c r="P93" s="19"/>
      <c r="Q93" s="19"/>
      <c r="R93" s="454"/>
      <c r="S93" s="432"/>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row>
    <row r="94" customFormat="false" ht="12.75" hidden="false" customHeight="true" outlineLevel="0" collapsed="false">
      <c r="A94" s="19"/>
      <c r="B94" s="268"/>
      <c r="C94" s="49"/>
      <c r="D94" s="49"/>
      <c r="E94" s="49"/>
      <c r="F94" s="337" t="s">
        <v>583</v>
      </c>
      <c r="G94" s="49"/>
      <c r="H94" s="49"/>
      <c r="I94" s="49"/>
      <c r="J94" s="49"/>
      <c r="K94" s="49"/>
      <c r="L94" s="269"/>
      <c r="M94" s="19"/>
      <c r="N94" s="19"/>
      <c r="O94" s="19"/>
      <c r="P94" s="19"/>
      <c r="Q94" s="19"/>
      <c r="R94" s="454"/>
      <c r="S94" s="432"/>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row>
    <row r="95" customFormat="false" ht="12.75" hidden="false" customHeight="true" outlineLevel="0" collapsed="false">
      <c r="A95" s="19"/>
      <c r="B95" s="333" t="s">
        <v>0</v>
      </c>
      <c r="C95" s="49"/>
      <c r="D95" s="49"/>
      <c r="E95" s="436" t="n">
        <f aca="false">'Antenna Gain'!E58</f>
        <v>1</v>
      </c>
      <c r="F95" s="437" t="str">
        <f aca="false">'Antenna Gain'!F58</f>
        <v>Yagi</v>
      </c>
      <c r="G95" s="340"/>
      <c r="H95" s="49"/>
      <c r="I95" s="49"/>
      <c r="J95" s="49" t="s">
        <v>468</v>
      </c>
      <c r="K95" s="54" t="str">
        <f aca="false">'Antenna Gain'!K58</f>
        <v>RHCP</v>
      </c>
      <c r="L95" s="269"/>
      <c r="M95" s="19"/>
      <c r="N95" s="19"/>
      <c r="O95" s="19"/>
      <c r="P95" s="19"/>
      <c r="Q95" s="19"/>
      <c r="R95" s="454"/>
      <c r="S95" s="432"/>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row>
    <row r="96" customFormat="false" ht="12.75" hidden="false" customHeight="true" outlineLevel="0" collapsed="false">
      <c r="A96" s="19"/>
      <c r="B96" s="342"/>
      <c r="C96" s="343"/>
      <c r="D96" s="343"/>
      <c r="E96" s="343"/>
      <c r="F96" s="343"/>
      <c r="G96" s="343"/>
      <c r="H96" s="343"/>
      <c r="I96" s="343"/>
      <c r="J96" s="343"/>
      <c r="K96" s="343"/>
      <c r="L96" s="344"/>
      <c r="M96" s="19"/>
      <c r="N96" s="19"/>
      <c r="O96" s="19"/>
      <c r="P96" s="19"/>
      <c r="Q96" s="19"/>
      <c r="R96" s="462"/>
      <c r="S96" s="463"/>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row>
    <row r="97" customFormat="false" ht="36" hidden="false" customHeight="true" outlineLevel="0" collapsed="false">
      <c r="A97" s="19"/>
      <c r="B97" s="438" t="n">
        <v>1</v>
      </c>
      <c r="C97" s="353" t="s">
        <v>471</v>
      </c>
      <c r="D97" s="439"/>
      <c r="E97" s="353"/>
      <c r="F97" s="440" t="s">
        <v>476</v>
      </c>
      <c r="G97" s="441" t="n">
        <f aca="false">'Antenna Gain'!N60</f>
        <v>17.45</v>
      </c>
      <c r="H97" s="353" t="s">
        <v>477</v>
      </c>
      <c r="I97" s="439" t="s">
        <v>478</v>
      </c>
      <c r="J97" s="442" t="n">
        <f aca="false">'Antenna Gain'!Q60</f>
        <v>26.8243987081074</v>
      </c>
      <c r="K97" s="353" t="s">
        <v>215</v>
      </c>
      <c r="L97" s="356"/>
      <c r="M97" s="19"/>
      <c r="N97" s="19"/>
      <c r="O97" s="19"/>
      <c r="P97" s="19"/>
      <c r="Q97" s="19"/>
      <c r="R97" s="443" t="n">
        <f aca="false" t="array" ref="R97:R97">2*(F102*(79.76/INDEX(J97:J100,E95,1)))</f>
        <v>29.7341240964679</v>
      </c>
      <c r="S97" s="444"/>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row>
    <row r="98" customFormat="false" ht="36" hidden="false" customHeight="true" outlineLevel="0" collapsed="false">
      <c r="A98" s="19"/>
      <c r="B98" s="445" t="n">
        <v>2</v>
      </c>
      <c r="C98" s="358" t="s">
        <v>480</v>
      </c>
      <c r="D98" s="444"/>
      <c r="E98" s="358"/>
      <c r="F98" s="444" t="s">
        <v>484</v>
      </c>
      <c r="G98" s="446" t="n">
        <f aca="false">'Antenna Gain'!N61</f>
        <v>15.74031268</v>
      </c>
      <c r="H98" s="358" t="s">
        <v>477</v>
      </c>
      <c r="I98" s="444" t="s">
        <v>478</v>
      </c>
      <c r="J98" s="447" t="n">
        <f aca="false">'Antenna Gain'!Q61</f>
        <v>72.73238618</v>
      </c>
      <c r="K98" s="358" t="s">
        <v>215</v>
      </c>
      <c r="L98" s="365"/>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row>
    <row r="99" customFormat="false" ht="36" hidden="false" customHeight="true" outlineLevel="0" collapsed="false">
      <c r="A99" s="19"/>
      <c r="B99" s="450" t="n">
        <v>3</v>
      </c>
      <c r="C99" s="367" t="s">
        <v>486</v>
      </c>
      <c r="D99" s="451"/>
      <c r="E99" s="367"/>
      <c r="F99" s="451" t="s">
        <v>484</v>
      </c>
      <c r="G99" s="452" t="n">
        <f aca="false">'Antenna Gain'!N62</f>
        <v>17.0206808344527</v>
      </c>
      <c r="H99" s="367" t="s">
        <v>477</v>
      </c>
      <c r="I99" s="451" t="s">
        <v>478</v>
      </c>
      <c r="J99" s="453" t="n">
        <f aca="false">'Antenna Gain'!Q62</f>
        <v>24.0027431706481</v>
      </c>
      <c r="K99" s="367" t="s">
        <v>215</v>
      </c>
      <c r="L99" s="371"/>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row>
    <row r="100" customFormat="false" ht="36" hidden="false" customHeight="true" outlineLevel="0" collapsed="false">
      <c r="A100" s="19"/>
      <c r="B100" s="455" t="n">
        <v>4</v>
      </c>
      <c r="C100" s="49" t="s">
        <v>489</v>
      </c>
      <c r="D100" s="267"/>
      <c r="E100" s="49"/>
      <c r="F100" s="269" t="s">
        <v>484</v>
      </c>
      <c r="G100" s="456" t="n">
        <v>18.5</v>
      </c>
      <c r="H100" s="49" t="s">
        <v>477</v>
      </c>
      <c r="I100" s="269" t="s">
        <v>478</v>
      </c>
      <c r="J100" s="457" t="n">
        <f aca="false">'Antenna Gain'!Q63</f>
        <v>24</v>
      </c>
      <c r="K100" s="49" t="s">
        <v>215</v>
      </c>
      <c r="L100" s="458"/>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row>
    <row r="101" customFormat="false" ht="12" hidden="false" customHeight="true" outlineLevel="0" collapsed="false">
      <c r="A101" s="19"/>
      <c r="B101" s="459"/>
      <c r="C101" s="290"/>
      <c r="D101" s="290"/>
      <c r="E101" s="290"/>
      <c r="F101" s="290"/>
      <c r="G101" s="290"/>
      <c r="H101" s="290"/>
      <c r="I101" s="290"/>
      <c r="J101" s="290"/>
      <c r="K101" s="290"/>
      <c r="L101" s="313"/>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row>
    <row r="102" customFormat="false" ht="12" hidden="false" customHeight="true" outlineLevel="0" collapsed="false">
      <c r="A102" s="19"/>
      <c r="B102" s="291" t="s">
        <v>0</v>
      </c>
      <c r="C102" s="460" t="s">
        <v>584</v>
      </c>
      <c r="D102" s="292"/>
      <c r="E102" s="292"/>
      <c r="F102" s="257" t="n">
        <v>5</v>
      </c>
      <c r="G102" s="252" t="s">
        <v>229</v>
      </c>
      <c r="H102" s="460" t="s">
        <v>549</v>
      </c>
      <c r="I102" s="292"/>
      <c r="J102" s="292"/>
      <c r="K102" s="461" t="n">
        <f aca="false">-10*LOG10(3282.81*((SIN(RADIANS(R97))^2/(R97^2))))</f>
        <v>0.393433713654516</v>
      </c>
      <c r="L102" s="340" t="s">
        <v>258</v>
      </c>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row>
    <row r="103" customFormat="false" ht="12" hidden="false" customHeight="true" outlineLevel="0" collapsed="false">
      <c r="A103" s="19"/>
      <c r="B103" s="304"/>
      <c r="C103" s="305"/>
      <c r="D103" s="305"/>
      <c r="E103" s="305"/>
      <c r="F103" s="305"/>
      <c r="G103" s="305"/>
      <c r="H103" s="305"/>
      <c r="I103" s="305"/>
      <c r="J103" s="305"/>
      <c r="K103" s="305"/>
      <c r="L103" s="306"/>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row>
    <row r="104" customFormat="false" ht="12" hidden="false" customHeight="true" outlineLevel="0" collapsed="false">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row>
    <row r="105" customFormat="false" ht="12" hidden="false" customHeight="true" outlineLevel="0" collapsed="false">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row>
    <row r="106" customFormat="false" ht="12" hidden="false" customHeight="true" outlineLevel="0" collapsed="false">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row>
    <row r="107" customFormat="false" ht="12" hidden="false" customHeight="true" outlineLevel="0" collapsed="false">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row>
    <row r="108" customFormat="false" ht="12" hidden="false" customHeight="true" outlineLevel="0" collapsed="false">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row>
    <row r="109" customFormat="false" ht="12" hidden="false" customHeight="true" outlineLevel="0" collapsed="false">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row>
    <row r="110" customFormat="false" ht="12" hidden="false" customHeight="true" outlineLevel="0" collapsed="false">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row>
    <row r="111" customFormat="false" ht="12" hidden="false" customHeight="true" outlineLevel="0" collapsed="false">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row>
    <row r="112" customFormat="false" ht="12" hidden="false" customHeight="true" outlineLevel="0" collapsed="false">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row>
    <row r="122" customFormat="false" ht="12" hidden="false" customHeight="true" outlineLevel="0" collapsed="false">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row>
    <row r="123" customFormat="false" ht="12" hidden="false" customHeight="true" outlineLevel="0" collapsed="false">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row>
    <row r="124" customFormat="false" ht="12" hidden="false" customHeight="true" outlineLevel="0" collapsed="false">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row>
    <row r="125" customFormat="false" ht="12" hidden="false" customHeight="true" outlineLevel="0" collapsed="false">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row>
    <row r="126" customFormat="false" ht="12" hidden="false" customHeight="true" outlineLevel="0" collapsed="false">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row>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V1000"/>
  <sheetViews>
    <sheetView showFormulas="false" showGridLines="true" showRowColHeaders="true" showZeros="true" rightToLeft="false" tabSelected="false" showOutlineSymbols="true" defaultGridColor="true" view="normal" topLeftCell="S18" colorId="64" zoomScale="120" zoomScaleNormal="120" zoomScalePageLayoutView="100" workbookViewId="0">
      <selection pane="topLeft" activeCell="F45" activeCellId="0" sqref="F45"/>
    </sheetView>
  </sheetViews>
  <sheetFormatPr defaultColWidth="12.6328125" defaultRowHeight="15" customHeight="true" zeroHeight="false" outlineLevelRow="0" outlineLevelCol="0"/>
  <cols>
    <col collapsed="false" customWidth="true" hidden="false" outlineLevel="0" max="6" min="1" style="1" width="8.88"/>
    <col collapsed="false" customWidth="true" hidden="false" outlineLevel="0" max="7" min="7" style="1" width="9.25"/>
    <col collapsed="false" customWidth="true" hidden="false" outlineLevel="0" max="9" min="8" style="1" width="8.88"/>
    <col collapsed="false" customWidth="true" hidden="false" outlineLevel="0" max="10" min="10" style="1" width="9.88"/>
    <col collapsed="false" customWidth="true" hidden="false" outlineLevel="0" max="14" min="11" style="1" width="8.88"/>
    <col collapsed="false" customWidth="true" hidden="false" outlineLevel="0" max="15" min="15" style="1" width="11.25"/>
    <col collapsed="false" customWidth="true" hidden="false" outlineLevel="0" max="22" min="16" style="1" width="8.88"/>
    <col collapsed="false" customWidth="true" hidden="false" outlineLevel="0" max="26" min="23" style="1" width="14.38"/>
  </cols>
  <sheetData>
    <row r="1" customFormat="false" ht="18" hidden="false" customHeight="true" outlineLevel="0" collapsed="false">
      <c r="A1" s="39" t="s">
        <v>585</v>
      </c>
      <c r="B1" s="39"/>
      <c r="C1" s="504"/>
      <c r="D1" s="504"/>
      <c r="E1" s="504"/>
      <c r="F1" s="504"/>
      <c r="G1" s="504"/>
      <c r="H1" s="10"/>
      <c r="I1" s="10"/>
      <c r="J1" s="40" t="str">
        <f aca="false">'Title Page'!F3</f>
        <v>Coconut Cubesat</v>
      </c>
      <c r="K1" s="10"/>
      <c r="L1" s="10"/>
      <c r="M1" s="10"/>
      <c r="N1" s="41" t="str">
        <f aca="false">'Title Page'!F23</f>
        <v>2025 June 06</v>
      </c>
      <c r="O1" s="10"/>
      <c r="P1" s="10"/>
      <c r="Q1" s="10"/>
      <c r="R1" s="10"/>
      <c r="S1" s="10"/>
      <c r="T1" s="10"/>
      <c r="U1" s="10"/>
      <c r="V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row>
    <row r="3" customFormat="false" ht="12" hidden="false" customHeight="true" outlineLevel="0" collapsed="false">
      <c r="A3" s="19"/>
      <c r="B3" s="19"/>
      <c r="C3" s="19"/>
      <c r="D3" s="19"/>
      <c r="E3" s="505" t="s">
        <v>586</v>
      </c>
      <c r="F3" s="19"/>
      <c r="G3" s="19"/>
      <c r="H3" s="19"/>
      <c r="I3" s="19"/>
      <c r="J3" s="19"/>
      <c r="K3" s="19"/>
      <c r="L3" s="37" t="s">
        <v>0</v>
      </c>
      <c r="M3" s="19"/>
      <c r="N3" s="19"/>
      <c r="O3" s="19"/>
      <c r="P3" s="19"/>
      <c r="Q3" s="19"/>
      <c r="R3" s="19"/>
      <c r="S3" s="19"/>
      <c r="T3" s="19"/>
      <c r="U3" s="19"/>
      <c r="V3" s="19"/>
    </row>
    <row r="4" customFormat="false" ht="12" hidden="false" customHeight="true" outlineLevel="0" collapsed="false">
      <c r="A4" s="19"/>
      <c r="B4" s="19" t="s">
        <v>587</v>
      </c>
      <c r="C4" s="19"/>
      <c r="D4" s="19"/>
      <c r="E4" s="19"/>
      <c r="F4" s="19"/>
      <c r="G4" s="19"/>
      <c r="H4" s="19"/>
      <c r="I4" s="19"/>
      <c r="J4" s="19"/>
      <c r="K4" s="19"/>
      <c r="L4" s="19"/>
      <c r="M4" s="19"/>
      <c r="N4" s="19"/>
      <c r="O4" s="19"/>
      <c r="P4" s="19"/>
      <c r="Q4" s="19"/>
      <c r="R4" s="19"/>
      <c r="S4" s="19"/>
      <c r="T4" s="19"/>
      <c r="U4" s="19"/>
      <c r="V4" s="19"/>
    </row>
    <row r="5" customFormat="false" ht="12" hidden="false" customHeight="true" outlineLevel="0" collapsed="false">
      <c r="A5" s="19"/>
      <c r="B5" s="19"/>
      <c r="C5" s="19"/>
      <c r="D5" s="19"/>
      <c r="E5" s="505" t="s">
        <v>588</v>
      </c>
      <c r="F5" s="19"/>
      <c r="G5" s="19"/>
      <c r="H5" s="19"/>
      <c r="I5" s="19"/>
      <c r="J5" s="19"/>
      <c r="K5" s="21" t="s">
        <v>589</v>
      </c>
      <c r="L5" s="19"/>
      <c r="M5" s="19"/>
      <c r="N5" s="21" t="s">
        <v>590</v>
      </c>
      <c r="O5" s="19"/>
      <c r="P5" s="19"/>
      <c r="Q5" s="21" t="s">
        <v>591</v>
      </c>
      <c r="R5" s="19"/>
      <c r="S5" s="19"/>
      <c r="T5" s="19"/>
      <c r="U5" s="19"/>
      <c r="V5" s="19"/>
    </row>
    <row r="6" customFormat="false" ht="12" hidden="false" customHeight="true" outlineLevel="0" collapsed="false">
      <c r="A6" s="19"/>
      <c r="B6" s="23" t="s">
        <v>60</v>
      </c>
      <c r="C6" s="19"/>
      <c r="D6" s="19"/>
      <c r="E6" s="19"/>
      <c r="F6" s="19"/>
      <c r="G6" s="19"/>
      <c r="H6" s="19"/>
      <c r="I6" s="19"/>
      <c r="J6" s="19"/>
      <c r="K6" s="19" t="s">
        <v>592</v>
      </c>
      <c r="L6" s="19"/>
      <c r="M6" s="19"/>
      <c r="N6" s="19" t="s">
        <v>592</v>
      </c>
      <c r="O6" s="19"/>
      <c r="P6" s="19"/>
      <c r="Q6" s="19" t="s">
        <v>593</v>
      </c>
      <c r="R6" s="19"/>
      <c r="S6" s="19"/>
      <c r="T6" s="19"/>
      <c r="U6" s="19"/>
      <c r="V6" s="19"/>
    </row>
    <row r="7" customFormat="false" ht="12" hidden="false" customHeight="true" outlineLevel="0" collapsed="false">
      <c r="A7" s="19"/>
      <c r="B7" s="19"/>
      <c r="C7" s="19"/>
      <c r="D7" s="19"/>
      <c r="E7" s="19"/>
      <c r="F7" s="19"/>
      <c r="G7" s="19"/>
      <c r="H7" s="19"/>
      <c r="I7" s="19"/>
      <c r="J7" s="19"/>
      <c r="K7" s="19"/>
      <c r="L7" s="19"/>
      <c r="M7" s="19"/>
      <c r="N7" s="19" t="s">
        <v>0</v>
      </c>
      <c r="O7" s="19"/>
      <c r="P7" s="19"/>
      <c r="Q7" s="19"/>
      <c r="R7" s="19"/>
      <c r="S7" s="19"/>
      <c r="T7" s="19"/>
      <c r="U7" s="19"/>
      <c r="V7" s="19"/>
    </row>
    <row r="8" customFormat="false" ht="12" hidden="false" customHeight="true" outlineLevel="0" collapsed="false">
      <c r="A8" s="19"/>
      <c r="B8" s="19"/>
      <c r="C8" s="19"/>
      <c r="D8" s="19"/>
      <c r="E8" s="19"/>
      <c r="F8" s="19"/>
      <c r="G8" s="19"/>
      <c r="H8" s="19"/>
      <c r="I8" s="19"/>
      <c r="J8" s="19"/>
      <c r="K8" s="19"/>
      <c r="L8" s="19"/>
      <c r="M8" s="19"/>
      <c r="N8" s="19"/>
      <c r="O8" s="19"/>
      <c r="P8" s="19"/>
      <c r="Q8" s="19"/>
      <c r="R8" s="19"/>
      <c r="S8" s="19"/>
      <c r="T8" s="19"/>
      <c r="U8" s="19"/>
      <c r="V8" s="19"/>
    </row>
    <row r="9" customFormat="false" ht="12.75" hidden="false" customHeight="true" outlineLevel="0" collapsed="false">
      <c r="A9" s="19"/>
      <c r="B9" s="19"/>
      <c r="C9" s="19"/>
      <c r="D9" s="19"/>
      <c r="E9" s="19"/>
      <c r="F9" s="19"/>
      <c r="G9" s="19"/>
      <c r="H9" s="19"/>
      <c r="I9" s="19"/>
      <c r="J9" s="19"/>
      <c r="K9" s="19"/>
      <c r="L9" s="19"/>
      <c r="M9" s="19"/>
      <c r="N9" s="19"/>
      <c r="O9" s="19"/>
      <c r="P9" s="19"/>
      <c r="Q9" s="19"/>
      <c r="R9" s="19"/>
      <c r="S9" s="19"/>
      <c r="T9" s="19"/>
      <c r="U9" s="19"/>
      <c r="V9" s="19"/>
    </row>
    <row r="10" customFormat="false" ht="12.75" hidden="false" customHeight="true" outlineLevel="0" collapsed="false">
      <c r="A10" s="19"/>
      <c r="B10" s="19"/>
      <c r="C10" s="19"/>
      <c r="D10" s="19"/>
      <c r="E10" s="19"/>
      <c r="F10" s="19"/>
      <c r="G10" s="19"/>
      <c r="H10" s="19"/>
      <c r="I10" s="19"/>
      <c r="J10" s="19"/>
      <c r="K10" s="19"/>
      <c r="L10" s="19"/>
      <c r="M10" s="19"/>
      <c r="N10" s="19"/>
      <c r="O10" s="19"/>
      <c r="P10" s="19"/>
      <c r="Q10" s="19" t="s">
        <v>594</v>
      </c>
      <c r="R10" s="19"/>
      <c r="S10" s="19"/>
      <c r="T10" s="19"/>
      <c r="U10" s="19"/>
      <c r="V10" s="19"/>
    </row>
    <row r="11" customFormat="false" ht="12" hidden="false" customHeight="true" outlineLevel="0" collapsed="false">
      <c r="A11" s="19"/>
      <c r="B11" s="19"/>
      <c r="C11" s="19"/>
      <c r="D11" s="19"/>
      <c r="E11" s="19"/>
      <c r="F11" s="19"/>
      <c r="G11" s="19"/>
      <c r="H11" s="21" t="s">
        <v>595</v>
      </c>
      <c r="I11" s="19"/>
      <c r="J11" s="19"/>
      <c r="K11" s="19"/>
      <c r="L11" s="19"/>
      <c r="M11" s="19"/>
      <c r="N11" s="19"/>
      <c r="O11" s="19"/>
      <c r="P11" s="19"/>
      <c r="Q11" s="19"/>
      <c r="R11" s="19"/>
      <c r="S11" s="19"/>
      <c r="T11" s="19"/>
      <c r="U11" s="19"/>
      <c r="V11" s="19"/>
    </row>
    <row r="12" customFormat="false" ht="12" hidden="false" customHeight="true" outlineLevel="0" collapsed="false">
      <c r="A12" s="19"/>
      <c r="B12" s="19"/>
      <c r="C12" s="19"/>
      <c r="D12" s="19"/>
      <c r="E12" s="19"/>
      <c r="F12" s="19"/>
      <c r="G12" s="19"/>
      <c r="H12" s="19"/>
      <c r="I12" s="19"/>
      <c r="J12" s="19"/>
      <c r="K12" s="19"/>
      <c r="L12" s="19"/>
      <c r="M12" s="19"/>
      <c r="N12" s="19"/>
      <c r="O12" s="19"/>
      <c r="P12" s="19"/>
      <c r="Q12" s="19"/>
      <c r="R12" s="19"/>
      <c r="S12" s="19"/>
      <c r="T12" s="19"/>
      <c r="U12" s="19"/>
      <c r="V12" s="19"/>
    </row>
    <row r="13" customFormat="false" ht="12" hidden="false" customHeight="true" outlineLevel="0" collapsed="false">
      <c r="A13" s="19"/>
      <c r="B13" s="19"/>
      <c r="C13" s="19"/>
      <c r="D13" s="19"/>
      <c r="E13" s="19"/>
      <c r="F13" s="19"/>
      <c r="G13" s="19"/>
      <c r="H13" s="19"/>
      <c r="I13" s="19"/>
      <c r="J13" s="19"/>
      <c r="K13" s="19"/>
      <c r="L13" s="19"/>
      <c r="M13" s="19"/>
      <c r="N13" s="19"/>
      <c r="O13" s="19"/>
      <c r="P13" s="19"/>
      <c r="Q13" s="19"/>
      <c r="R13" s="19"/>
      <c r="S13" s="19"/>
      <c r="T13" s="19"/>
      <c r="U13" s="19"/>
      <c r="V13" s="19"/>
    </row>
    <row r="14" customFormat="false" ht="12" hidden="false" customHeight="true" outlineLevel="0" collapsed="false">
      <c r="A14" s="19"/>
      <c r="B14" s="19"/>
      <c r="C14" s="19"/>
      <c r="D14" s="19"/>
      <c r="E14" s="19"/>
      <c r="F14" s="19"/>
      <c r="G14" s="19"/>
      <c r="H14" s="19"/>
      <c r="I14" s="19"/>
      <c r="J14" s="19"/>
      <c r="K14" s="19"/>
      <c r="L14" s="19"/>
      <c r="M14" s="19"/>
      <c r="N14" s="19"/>
      <c r="O14" s="19"/>
      <c r="P14" s="19"/>
      <c r="Q14" s="19"/>
      <c r="R14" s="19"/>
      <c r="S14" s="19"/>
      <c r="T14" s="19"/>
      <c r="U14" s="19"/>
      <c r="V14" s="19"/>
    </row>
    <row r="15" customFormat="false" ht="12" hidden="false" customHeight="true" outlineLevel="0" collapsed="false">
      <c r="A15" s="19"/>
      <c r="B15" s="19"/>
      <c r="C15" s="19"/>
      <c r="D15" s="19"/>
      <c r="E15" s="19"/>
      <c r="F15" s="19"/>
      <c r="G15" s="19"/>
      <c r="H15" s="19"/>
      <c r="I15" s="19"/>
      <c r="J15" s="19"/>
      <c r="K15" s="19"/>
      <c r="L15" s="19"/>
      <c r="M15" s="19"/>
      <c r="N15" s="19"/>
      <c r="O15" s="19"/>
      <c r="P15" s="19"/>
      <c r="Q15" s="19"/>
      <c r="R15" s="19"/>
      <c r="S15" s="19"/>
      <c r="T15" s="19"/>
      <c r="U15" s="19"/>
      <c r="V15" s="19"/>
    </row>
    <row r="16" customFormat="false" ht="12" hidden="false" customHeight="true" outlineLevel="0" collapsed="false">
      <c r="A16" s="19"/>
      <c r="B16" s="19"/>
      <c r="C16" s="19"/>
      <c r="D16" s="19"/>
      <c r="E16" s="19"/>
      <c r="F16" s="19"/>
      <c r="G16" s="19"/>
      <c r="H16" s="19"/>
      <c r="I16" s="19"/>
      <c r="J16" s="19"/>
      <c r="K16" s="19"/>
      <c r="L16" s="19"/>
      <c r="M16" s="19"/>
      <c r="N16" s="19"/>
      <c r="O16" s="19"/>
      <c r="P16" s="19"/>
      <c r="Q16" s="19"/>
      <c r="R16" s="19"/>
      <c r="S16" s="19"/>
      <c r="T16" s="19"/>
      <c r="U16" s="19"/>
      <c r="V16" s="19"/>
    </row>
    <row r="17" customFormat="false" ht="12" hidden="false" customHeight="true" outlineLevel="0" collapsed="false">
      <c r="A17" s="19"/>
      <c r="B17" s="19"/>
      <c r="C17" s="19"/>
      <c r="D17" s="19"/>
      <c r="E17" s="19"/>
      <c r="F17" s="19"/>
      <c r="G17" s="19"/>
      <c r="H17" s="19"/>
      <c r="I17" s="19"/>
      <c r="J17" s="19"/>
      <c r="K17" s="19"/>
      <c r="L17" s="19"/>
      <c r="M17" s="19"/>
      <c r="N17" s="19"/>
      <c r="O17" s="19"/>
      <c r="P17" s="19"/>
      <c r="Q17" s="19"/>
      <c r="R17" s="19"/>
      <c r="S17" s="19"/>
      <c r="T17" s="19"/>
      <c r="U17" s="19"/>
      <c r="V17" s="19"/>
    </row>
    <row r="18" customFormat="false" ht="12" hidden="false" customHeight="true" outlineLevel="0" collapsed="false">
      <c r="A18" s="19"/>
      <c r="B18" s="19"/>
      <c r="C18" s="19"/>
      <c r="D18" s="19"/>
      <c r="E18" s="19"/>
      <c r="F18" s="19"/>
      <c r="G18" s="19"/>
      <c r="H18" s="19"/>
      <c r="I18" s="19"/>
      <c r="J18" s="19"/>
      <c r="K18" s="19"/>
      <c r="L18" s="19"/>
      <c r="M18" s="19"/>
      <c r="N18" s="19"/>
      <c r="O18" s="19"/>
      <c r="P18" s="19"/>
      <c r="Q18" s="19"/>
      <c r="R18" s="19"/>
      <c r="S18" s="19"/>
      <c r="T18" s="19"/>
      <c r="U18" s="19"/>
      <c r="V18" s="19"/>
    </row>
    <row r="19" customFormat="false" ht="12" hidden="false" customHeight="true" outlineLevel="0" collapsed="false">
      <c r="A19" s="19"/>
      <c r="B19" s="19"/>
      <c r="C19" s="19"/>
      <c r="D19" s="19"/>
      <c r="E19" s="19"/>
      <c r="F19" s="19"/>
      <c r="G19" s="19"/>
      <c r="H19" s="19"/>
      <c r="I19" s="19"/>
      <c r="J19" s="19"/>
      <c r="K19" s="19"/>
      <c r="L19" s="19"/>
      <c r="M19" s="19"/>
      <c r="N19" s="19"/>
      <c r="O19" s="19"/>
      <c r="P19" s="19"/>
      <c r="Q19" s="19"/>
      <c r="R19" s="19"/>
      <c r="S19" s="19"/>
      <c r="T19" s="19"/>
      <c r="U19" s="19"/>
      <c r="V19" s="19"/>
    </row>
    <row r="20" customFormat="false" ht="12.75" hidden="false" customHeight="true" outlineLevel="0" collapsed="false">
      <c r="A20" s="19"/>
      <c r="B20" s="19"/>
      <c r="C20" s="19"/>
      <c r="D20" s="19"/>
      <c r="E20" s="19"/>
      <c r="F20" s="19"/>
      <c r="G20" s="19"/>
      <c r="H20" s="19"/>
      <c r="I20" s="19"/>
      <c r="J20" s="19"/>
      <c r="K20" s="19"/>
      <c r="L20" s="19"/>
      <c r="M20" s="19"/>
      <c r="N20" s="19"/>
      <c r="O20" s="19"/>
      <c r="P20" s="19"/>
      <c r="Q20" s="19" t="s">
        <v>596</v>
      </c>
      <c r="R20" s="19"/>
      <c r="S20" s="19"/>
      <c r="T20" s="19"/>
      <c r="U20" s="19"/>
      <c r="V20" s="19"/>
    </row>
    <row r="21" customFormat="false" ht="12" hidden="false" customHeight="true" outlineLevel="0" collapsed="false">
      <c r="A21" s="19"/>
      <c r="B21" s="19"/>
      <c r="C21" s="19"/>
      <c r="D21" s="19"/>
      <c r="E21" s="19"/>
      <c r="F21" s="19"/>
      <c r="G21" s="19"/>
      <c r="H21" s="21" t="s">
        <v>597</v>
      </c>
      <c r="I21" s="19"/>
      <c r="J21" s="19"/>
      <c r="K21" s="19"/>
      <c r="L21" s="19"/>
      <c r="M21" s="19"/>
      <c r="N21" s="19"/>
      <c r="O21" s="19"/>
      <c r="P21" s="19"/>
      <c r="Q21" s="19"/>
      <c r="R21" s="19"/>
      <c r="S21" s="19"/>
      <c r="T21" s="19"/>
      <c r="U21" s="19"/>
      <c r="V21" s="19"/>
    </row>
    <row r="22" customFormat="false" ht="12" hidden="false" customHeight="true" outlineLevel="0" collapsed="false">
      <c r="A22" s="19"/>
      <c r="B22" s="19"/>
      <c r="C22" s="19"/>
      <c r="D22" s="19"/>
      <c r="E22" s="19"/>
      <c r="F22" s="19"/>
      <c r="G22" s="19"/>
      <c r="H22" s="19"/>
      <c r="I22" s="19"/>
      <c r="J22" s="19"/>
      <c r="K22" s="19"/>
      <c r="L22" s="19"/>
      <c r="M22" s="19"/>
      <c r="N22" s="19"/>
      <c r="O22" s="19"/>
      <c r="P22" s="19"/>
      <c r="Q22" s="19"/>
      <c r="R22" s="19"/>
      <c r="S22" s="19"/>
      <c r="T22" s="19"/>
      <c r="U22" s="19"/>
      <c r="V22" s="19"/>
    </row>
    <row r="23" customFormat="false" ht="12" hidden="false" customHeight="true" outlineLevel="0" collapsed="false">
      <c r="A23" s="19"/>
      <c r="B23" s="19"/>
      <c r="C23" s="19"/>
      <c r="D23" s="19"/>
      <c r="E23" s="19"/>
      <c r="F23" s="19"/>
      <c r="G23" s="19"/>
      <c r="H23" s="19"/>
      <c r="I23" s="19"/>
      <c r="J23" s="19"/>
      <c r="K23" s="19"/>
      <c r="L23" s="19"/>
      <c r="M23" s="19"/>
      <c r="N23" s="19"/>
      <c r="O23" s="19"/>
      <c r="P23" s="19"/>
      <c r="Q23" s="19"/>
      <c r="R23" s="19"/>
      <c r="S23" s="19"/>
      <c r="T23" s="19"/>
      <c r="U23" s="19"/>
      <c r="V23" s="19"/>
    </row>
    <row r="24" customFormat="false" ht="12" hidden="false" customHeight="true" outlineLevel="0" collapsed="false">
      <c r="A24" s="19"/>
      <c r="B24" s="19"/>
      <c r="C24" s="19"/>
      <c r="D24" s="19"/>
      <c r="E24" s="19"/>
      <c r="F24" s="19"/>
      <c r="G24" s="19"/>
      <c r="H24" s="19"/>
      <c r="I24" s="19"/>
      <c r="J24" s="19"/>
      <c r="K24" s="19"/>
      <c r="L24" s="19"/>
      <c r="M24" s="19"/>
      <c r="N24" s="19"/>
      <c r="O24" s="19"/>
      <c r="P24" s="19"/>
      <c r="Q24" s="19"/>
      <c r="R24" s="19"/>
      <c r="S24" s="19"/>
      <c r="T24" s="19"/>
      <c r="U24" s="19"/>
      <c r="V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c r="T25" s="19"/>
      <c r="U25" s="19"/>
      <c r="V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c r="T26" s="19"/>
      <c r="U26" s="19"/>
      <c r="V26" s="19"/>
    </row>
    <row r="27" customFormat="false" ht="12" hidden="false" customHeight="true" outlineLevel="0" collapsed="false">
      <c r="A27" s="19"/>
      <c r="B27" s="23" t="s">
        <v>60</v>
      </c>
      <c r="C27" s="19"/>
      <c r="D27" s="19"/>
      <c r="E27" s="19"/>
      <c r="F27" s="19"/>
      <c r="G27" s="19"/>
      <c r="H27" s="19"/>
      <c r="I27" s="19"/>
      <c r="J27" s="19"/>
      <c r="K27" s="19"/>
      <c r="L27" s="19"/>
      <c r="M27" s="19"/>
      <c r="N27" s="19"/>
      <c r="O27" s="19"/>
      <c r="P27" s="19"/>
      <c r="Q27" s="19"/>
      <c r="R27" s="19"/>
      <c r="S27" s="19"/>
      <c r="T27" s="19"/>
      <c r="U27" s="19"/>
      <c r="V27" s="19"/>
    </row>
    <row r="28" customFormat="false" ht="12.75" hidden="false" customHeight="true" outlineLevel="0" collapsed="false">
      <c r="A28" s="19"/>
      <c r="B28" s="19"/>
      <c r="C28" s="19"/>
      <c r="D28" s="19"/>
      <c r="E28" s="19"/>
      <c r="F28" s="19"/>
      <c r="G28" s="19"/>
      <c r="H28" s="19"/>
      <c r="I28" s="19"/>
      <c r="J28" s="19"/>
      <c r="K28" s="448"/>
      <c r="L28" s="506"/>
      <c r="M28" s="506"/>
      <c r="N28" s="449"/>
      <c r="O28" s="19"/>
      <c r="P28" s="19"/>
      <c r="Q28" s="19"/>
      <c r="R28" s="19"/>
      <c r="S28" s="19"/>
      <c r="T28" s="19"/>
      <c r="U28" s="19"/>
      <c r="V28" s="19"/>
    </row>
    <row r="29" customFormat="false" ht="12.75" hidden="false" customHeight="true" outlineLevel="0" collapsed="false">
      <c r="A29" s="19"/>
      <c r="B29" s="507" t="s">
        <v>278</v>
      </c>
      <c r="C29" s="215" t="s">
        <v>598</v>
      </c>
      <c r="D29" s="19"/>
      <c r="E29" s="19"/>
      <c r="F29" s="19"/>
      <c r="G29" s="19"/>
      <c r="H29" s="19"/>
      <c r="I29" s="19"/>
      <c r="J29" s="19"/>
      <c r="K29" s="454"/>
      <c r="L29" s="42"/>
      <c r="M29" s="42"/>
      <c r="N29" s="432"/>
      <c r="O29" s="19"/>
      <c r="P29" s="19"/>
      <c r="Q29" s="19"/>
      <c r="R29" s="19"/>
      <c r="S29" s="19"/>
      <c r="T29" s="19"/>
      <c r="U29" s="19"/>
      <c r="V29" s="19"/>
    </row>
    <row r="30" customFormat="false" ht="12" hidden="false" customHeight="true" outlineLevel="0" collapsed="false">
      <c r="A30" s="19"/>
      <c r="B30" s="508" t="s">
        <v>0</v>
      </c>
      <c r="C30" s="509" t="s">
        <v>599</v>
      </c>
      <c r="D30" s="509"/>
      <c r="E30" s="510"/>
      <c r="F30" s="510"/>
      <c r="G30" s="511"/>
      <c r="H30" s="19"/>
      <c r="I30" s="19"/>
      <c r="J30" s="19"/>
      <c r="K30" s="454"/>
      <c r="L30" s="42"/>
      <c r="M30" s="42"/>
      <c r="N30" s="432"/>
      <c r="O30" s="19"/>
      <c r="P30" s="19"/>
      <c r="Q30" s="19"/>
      <c r="R30" s="19"/>
      <c r="S30" s="19"/>
      <c r="T30" s="19"/>
      <c r="U30" s="19"/>
      <c r="V30" s="19"/>
    </row>
    <row r="31" customFormat="false" ht="12" hidden="false" customHeight="true" outlineLevel="0" collapsed="false">
      <c r="A31" s="19"/>
      <c r="B31" s="512" t="s">
        <v>600</v>
      </c>
      <c r="C31" s="391"/>
      <c r="D31" s="391"/>
      <c r="E31" s="391"/>
      <c r="F31" s="391"/>
      <c r="G31" s="393"/>
      <c r="H31" s="19"/>
      <c r="I31" s="19"/>
      <c r="J31" s="19"/>
      <c r="K31" s="454"/>
      <c r="L31" s="42"/>
      <c r="M31" s="42"/>
      <c r="N31" s="432"/>
      <c r="O31" s="19"/>
      <c r="P31" s="19"/>
      <c r="Q31" s="19"/>
      <c r="R31" s="19"/>
      <c r="S31" s="19"/>
      <c r="T31" s="19"/>
      <c r="U31" s="19"/>
      <c r="V31" s="19"/>
    </row>
    <row r="32" customFormat="false" ht="12" hidden="false" customHeight="true" outlineLevel="0" collapsed="false">
      <c r="A32" s="19"/>
      <c r="B32" s="513"/>
      <c r="C32" s="19"/>
      <c r="D32" s="19"/>
      <c r="E32" s="28" t="s">
        <v>601</v>
      </c>
      <c r="F32" s="246" t="n">
        <v>1</v>
      </c>
      <c r="G32" s="514" t="s">
        <v>602</v>
      </c>
      <c r="H32" s="19"/>
      <c r="I32" s="19"/>
      <c r="J32" s="19"/>
      <c r="K32" s="454"/>
      <c r="L32" s="42"/>
      <c r="M32" s="42"/>
      <c r="N32" s="432"/>
      <c r="O32" s="19"/>
      <c r="P32" s="448" t="s">
        <v>603</v>
      </c>
      <c r="Q32" s="506"/>
      <c r="R32" s="506"/>
      <c r="S32" s="449"/>
      <c r="T32" s="19"/>
      <c r="U32" s="19"/>
      <c r="V32" s="19"/>
    </row>
    <row r="33" customFormat="false" ht="12" hidden="false" customHeight="true" outlineLevel="0" collapsed="false">
      <c r="A33" s="19"/>
      <c r="B33" s="513"/>
      <c r="C33" s="19"/>
      <c r="D33" s="19"/>
      <c r="E33" s="28" t="s">
        <v>604</v>
      </c>
      <c r="F33" s="515" t="n">
        <f aca="false">10^(F32/20)</f>
        <v>1.122018454</v>
      </c>
      <c r="G33" s="514" t="s">
        <v>605</v>
      </c>
      <c r="H33" s="19"/>
      <c r="I33" s="19"/>
      <c r="J33" s="19"/>
      <c r="K33" s="454"/>
      <c r="L33" s="42"/>
      <c r="M33" s="42"/>
      <c r="N33" s="432"/>
      <c r="O33" s="19"/>
      <c r="P33" s="454" t="s">
        <v>606</v>
      </c>
      <c r="Q33" s="42"/>
      <c r="R33" s="42"/>
      <c r="S33" s="432"/>
      <c r="T33" s="19"/>
      <c r="U33" s="19"/>
      <c r="V33" s="19"/>
    </row>
    <row r="34" customFormat="false" ht="12" hidden="false" customHeight="true" outlineLevel="0" collapsed="false">
      <c r="A34" s="19"/>
      <c r="B34" s="513"/>
      <c r="C34" s="19"/>
      <c r="D34" s="19"/>
      <c r="E34" s="28" t="s">
        <v>607</v>
      </c>
      <c r="F34" s="246" t="n">
        <v>1</v>
      </c>
      <c r="G34" s="514" t="s">
        <v>602</v>
      </c>
      <c r="H34" s="19"/>
      <c r="I34" s="19"/>
      <c r="J34" s="19"/>
      <c r="K34" s="454"/>
      <c r="L34" s="42"/>
      <c r="M34" s="42"/>
      <c r="N34" s="432"/>
      <c r="O34" s="19"/>
      <c r="P34" s="462" t="s">
        <v>608</v>
      </c>
      <c r="Q34" s="516"/>
      <c r="R34" s="516"/>
      <c r="S34" s="463"/>
      <c r="T34" s="19"/>
      <c r="U34" s="19"/>
      <c r="V34" s="19"/>
    </row>
    <row r="35" customFormat="false" ht="12" hidden="false" customHeight="true" outlineLevel="0" collapsed="false">
      <c r="A35" s="19"/>
      <c r="B35" s="513"/>
      <c r="C35" s="19"/>
      <c r="D35" s="19"/>
      <c r="E35" s="28" t="s">
        <v>609</v>
      </c>
      <c r="F35" s="515" t="n">
        <f aca="false">10^(F34/20)</f>
        <v>1.122018454</v>
      </c>
      <c r="G35" s="514" t="s">
        <v>605</v>
      </c>
      <c r="H35" s="19"/>
      <c r="I35" s="19"/>
      <c r="J35" s="19"/>
      <c r="K35" s="454"/>
      <c r="L35" s="42"/>
      <c r="M35" s="42"/>
      <c r="N35" s="432"/>
      <c r="O35" s="19"/>
      <c r="P35" s="19"/>
      <c r="Q35" s="19"/>
      <c r="R35" s="19"/>
      <c r="S35" s="19"/>
      <c r="T35" s="19"/>
      <c r="U35" s="19"/>
      <c r="V35" s="19"/>
    </row>
    <row r="36" customFormat="false" ht="12" hidden="false" customHeight="true" outlineLevel="0" collapsed="false">
      <c r="A36" s="19"/>
      <c r="B36" s="513"/>
      <c r="C36" s="19"/>
      <c r="D36" s="19"/>
      <c r="E36" s="28" t="s">
        <v>610</v>
      </c>
      <c r="F36" s="250" t="n">
        <v>90</v>
      </c>
      <c r="G36" s="514" t="s">
        <v>611</v>
      </c>
      <c r="H36" s="19"/>
      <c r="I36" s="19"/>
      <c r="J36" s="19"/>
      <c r="K36" s="454"/>
      <c r="L36" s="42"/>
      <c r="M36" s="42"/>
      <c r="N36" s="432"/>
      <c r="O36" s="19"/>
      <c r="P36" s="19" t="s">
        <v>0</v>
      </c>
      <c r="Q36" s="19"/>
      <c r="R36" s="19"/>
      <c r="S36" s="19"/>
      <c r="T36" s="19"/>
      <c r="U36" s="19"/>
      <c r="V36" s="19"/>
    </row>
    <row r="37" customFormat="false" ht="12" hidden="false" customHeight="true" outlineLevel="0" collapsed="false">
      <c r="A37" s="19"/>
      <c r="B37" s="513"/>
      <c r="C37" s="19"/>
      <c r="D37" s="19"/>
      <c r="E37" s="28" t="s">
        <v>610</v>
      </c>
      <c r="F37" s="43" t="n">
        <f aca="false">RADIANS(F36)</f>
        <v>1.570796327</v>
      </c>
      <c r="G37" s="514" t="s">
        <v>612</v>
      </c>
      <c r="H37" s="19"/>
      <c r="I37" s="19"/>
      <c r="J37" s="19"/>
      <c r="K37" s="454"/>
      <c r="L37" s="42"/>
      <c r="M37" s="42"/>
      <c r="N37" s="432"/>
      <c r="O37" s="19"/>
      <c r="P37" s="19"/>
      <c r="Q37" s="19"/>
      <c r="R37" s="19"/>
      <c r="S37" s="19"/>
      <c r="T37" s="19"/>
      <c r="U37" s="19"/>
      <c r="V37" s="19"/>
    </row>
    <row r="38" customFormat="false" ht="12" hidden="false" customHeight="true" outlineLevel="0" collapsed="false">
      <c r="A38" s="19"/>
      <c r="B38" s="513"/>
      <c r="C38" s="19"/>
      <c r="D38" s="19"/>
      <c r="E38" s="19"/>
      <c r="F38" s="98"/>
      <c r="G38" s="517"/>
      <c r="H38" s="19"/>
      <c r="I38" s="19"/>
      <c r="J38" s="19"/>
      <c r="K38" s="462"/>
      <c r="L38" s="516"/>
      <c r="M38" s="516"/>
      <c r="N38" s="463"/>
      <c r="O38" s="19"/>
      <c r="P38" s="19"/>
      <c r="Q38" s="19"/>
      <c r="R38" s="19"/>
      <c r="S38" s="19"/>
      <c r="T38" s="19"/>
      <c r="U38" s="19"/>
      <c r="V38" s="19"/>
    </row>
    <row r="39" customFormat="false" ht="12.75" hidden="false" customHeight="true" outlineLevel="0" collapsed="false">
      <c r="A39" s="19"/>
      <c r="B39" s="513"/>
      <c r="C39" s="19"/>
      <c r="D39" s="19"/>
      <c r="E39" s="28" t="s">
        <v>613</v>
      </c>
      <c r="F39" s="518" t="n">
        <f aca="false">0.5*(1+((1-F33^2)*(1-F35^2)*COS(2*F37)+4*F33*F35)/((1+F33^2)*(1+F35^2)))</f>
        <v>0.9868615065</v>
      </c>
      <c r="G39" s="514" t="s">
        <v>605</v>
      </c>
      <c r="H39" s="19"/>
      <c r="I39" s="19"/>
      <c r="J39" s="19"/>
      <c r="K39" s="19"/>
      <c r="L39" s="19"/>
      <c r="M39" s="19"/>
      <c r="N39" s="19"/>
      <c r="O39" s="19"/>
      <c r="P39" s="19"/>
      <c r="Q39" s="19"/>
      <c r="R39" s="19"/>
      <c r="S39" s="19"/>
      <c r="T39" s="19"/>
      <c r="U39" s="19"/>
      <c r="V39" s="19"/>
    </row>
    <row r="40" customFormat="false" ht="12.75" hidden="false" customHeight="true" outlineLevel="0" collapsed="false">
      <c r="A40" s="19"/>
      <c r="B40" s="513"/>
      <c r="C40" s="19"/>
      <c r="D40" s="19"/>
      <c r="E40" s="28" t="s">
        <v>614</v>
      </c>
      <c r="F40" s="519" t="n">
        <f aca="false">-10*LOG(F39)</f>
        <v>0.0574379076</v>
      </c>
      <c r="G40" s="514" t="s">
        <v>602</v>
      </c>
      <c r="H40" s="19"/>
      <c r="I40" s="19"/>
      <c r="J40" s="19"/>
      <c r="K40" s="19"/>
      <c r="L40" s="21" t="s">
        <v>615</v>
      </c>
      <c r="M40" s="19"/>
      <c r="N40" s="19"/>
      <c r="O40" s="19"/>
      <c r="P40" s="19"/>
      <c r="Q40" s="19"/>
      <c r="R40" s="19"/>
      <c r="S40" s="19"/>
      <c r="T40" s="19"/>
      <c r="U40" s="19"/>
      <c r="V40" s="19"/>
    </row>
    <row r="41" customFormat="false" ht="12" hidden="false" customHeight="true" outlineLevel="0" collapsed="false">
      <c r="A41" s="19"/>
      <c r="B41" s="513"/>
      <c r="C41" s="19"/>
      <c r="D41" s="19"/>
      <c r="E41" s="28"/>
      <c r="F41" s="520"/>
      <c r="G41" s="514"/>
      <c r="H41" s="19"/>
      <c r="I41" s="19"/>
      <c r="J41" s="19"/>
      <c r="K41" s="19"/>
      <c r="L41" s="19"/>
      <c r="M41" s="19"/>
      <c r="N41" s="19"/>
      <c r="O41" s="19"/>
      <c r="P41" s="19"/>
      <c r="Q41" s="19"/>
      <c r="R41" s="19"/>
      <c r="S41" s="19"/>
      <c r="T41" s="19"/>
      <c r="U41" s="19"/>
      <c r="V41" s="19"/>
    </row>
    <row r="42" customFormat="false" ht="12" hidden="false" customHeight="true" outlineLevel="0" collapsed="false">
      <c r="A42" s="19"/>
      <c r="B42" s="512" t="s">
        <v>616</v>
      </c>
      <c r="C42" s="391"/>
      <c r="D42" s="391"/>
      <c r="E42" s="521"/>
      <c r="F42" s="522"/>
      <c r="G42" s="523"/>
      <c r="H42" s="19"/>
      <c r="I42" s="21" t="s">
        <v>617</v>
      </c>
      <c r="J42" s="21" t="s">
        <v>618</v>
      </c>
      <c r="K42" s="19"/>
      <c r="L42" s="19"/>
      <c r="M42" s="19"/>
      <c r="N42" s="19"/>
      <c r="O42" s="19"/>
      <c r="P42" s="19"/>
      <c r="Q42" s="19"/>
      <c r="R42" s="19"/>
      <c r="S42" s="19"/>
      <c r="T42" s="19"/>
      <c r="U42" s="19"/>
      <c r="V42" s="19"/>
    </row>
    <row r="43" customFormat="false" ht="12" hidden="false" customHeight="true" outlineLevel="0" collapsed="false">
      <c r="A43" s="19"/>
      <c r="B43" s="513"/>
      <c r="C43" s="19" t="s">
        <v>619</v>
      </c>
      <c r="D43" s="19"/>
      <c r="E43" s="28"/>
      <c r="F43" s="524" t="n">
        <f aca="false">1-F39</f>
        <v>0.01313849346</v>
      </c>
      <c r="G43" s="514"/>
      <c r="H43" s="19"/>
      <c r="I43" s="19"/>
      <c r="J43" s="19"/>
      <c r="K43" s="19"/>
      <c r="L43" s="19"/>
      <c r="M43" s="19"/>
      <c r="N43" s="19"/>
      <c r="O43" s="19"/>
      <c r="P43" s="19"/>
      <c r="Q43" s="19"/>
      <c r="R43" s="19"/>
      <c r="S43" s="19"/>
      <c r="T43" s="19"/>
      <c r="U43" s="19"/>
      <c r="V43" s="19"/>
    </row>
    <row r="44" customFormat="false" ht="12" hidden="false" customHeight="true" outlineLevel="0" collapsed="false">
      <c r="A44" s="19"/>
      <c r="B44" s="513"/>
      <c r="C44" s="19" t="s">
        <v>619</v>
      </c>
      <c r="D44" s="19"/>
      <c r="E44" s="19"/>
      <c r="F44" s="525" t="n">
        <f aca="false">10*LOG10(1-F39)</f>
        <v>-18.81454431</v>
      </c>
      <c r="G44" s="514" t="s">
        <v>602</v>
      </c>
      <c r="H44" s="19"/>
      <c r="I44" s="19"/>
      <c r="J44" s="19"/>
      <c r="K44" s="19"/>
      <c r="L44" s="19"/>
      <c r="M44" s="19"/>
      <c r="N44" s="19"/>
      <c r="O44" s="19"/>
      <c r="P44" s="19"/>
      <c r="Q44" s="19"/>
      <c r="R44" s="19"/>
      <c r="S44" s="19"/>
      <c r="T44" s="19"/>
      <c r="U44" s="19"/>
      <c r="V44" s="19"/>
    </row>
    <row r="45" customFormat="false" ht="12.75" hidden="false" customHeight="true" outlineLevel="0" collapsed="false">
      <c r="A45" s="19"/>
      <c r="B45" s="513"/>
      <c r="C45" s="19" t="s">
        <v>620</v>
      </c>
      <c r="D45" s="19"/>
      <c r="E45" s="19"/>
      <c r="F45" s="526" t="n">
        <f aca="false">F40-F44</f>
        <v>18.87198222</v>
      </c>
      <c r="G45" s="514" t="s">
        <v>602</v>
      </c>
      <c r="H45" s="19"/>
      <c r="I45" s="19" t="s">
        <v>0</v>
      </c>
      <c r="J45" s="19"/>
      <c r="K45" s="19"/>
      <c r="L45" s="19"/>
      <c r="M45" s="19"/>
      <c r="N45" s="19"/>
      <c r="O45" s="19"/>
      <c r="P45" s="19"/>
      <c r="Q45" s="19"/>
      <c r="R45" s="19"/>
      <c r="S45" s="19"/>
      <c r="T45" s="19"/>
      <c r="U45" s="19"/>
      <c r="V45" s="19"/>
    </row>
    <row r="46" customFormat="false" ht="12.75" hidden="false" customHeight="true" outlineLevel="0" collapsed="false">
      <c r="A46" s="19"/>
      <c r="B46" s="527"/>
      <c r="C46" s="107"/>
      <c r="D46" s="107"/>
      <c r="E46" s="107"/>
      <c r="F46" s="107" t="s">
        <v>0</v>
      </c>
      <c r="G46" s="528"/>
      <c r="H46" s="19"/>
      <c r="I46" s="19"/>
      <c r="J46" s="19"/>
      <c r="K46" s="19"/>
      <c r="L46" s="19"/>
      <c r="M46" s="19"/>
      <c r="N46" s="19"/>
      <c r="O46" s="19"/>
      <c r="P46" s="19"/>
      <c r="Q46" s="19"/>
      <c r="R46" s="19"/>
      <c r="S46" s="19"/>
      <c r="T46" s="19"/>
      <c r="U46" s="19"/>
      <c r="V46" s="19"/>
    </row>
    <row r="47" customFormat="false" ht="12" hidden="false" customHeight="true" outlineLevel="0" collapsed="false">
      <c r="A47" s="19"/>
      <c r="B47" s="19"/>
      <c r="C47" s="19"/>
      <c r="D47" s="19"/>
      <c r="E47" s="19"/>
      <c r="F47" s="19"/>
      <c r="G47" s="19"/>
      <c r="H47" s="19"/>
      <c r="I47" s="19" t="s">
        <v>621</v>
      </c>
      <c r="J47" s="19" t="s">
        <v>0</v>
      </c>
      <c r="K47" s="19"/>
      <c r="L47" s="19"/>
      <c r="M47" s="19"/>
      <c r="N47" s="19"/>
      <c r="O47" s="19"/>
      <c r="P47" s="19"/>
      <c r="Q47" s="19"/>
      <c r="R47" s="19"/>
      <c r="S47" s="19"/>
      <c r="T47" s="19"/>
      <c r="U47" s="19"/>
      <c r="V47" s="19"/>
    </row>
    <row r="48" customFormat="false" ht="12.75" hidden="false" customHeight="true" outlineLevel="0" collapsed="false">
      <c r="A48" s="19"/>
      <c r="B48" s="19"/>
      <c r="C48" s="19"/>
      <c r="D48" s="19"/>
      <c r="E48" s="19"/>
      <c r="F48" s="19"/>
      <c r="G48" s="19"/>
      <c r="H48" s="19"/>
      <c r="I48" s="19"/>
      <c r="J48" s="19"/>
      <c r="K48" s="19"/>
      <c r="L48" s="19"/>
      <c r="M48" s="19"/>
      <c r="N48" s="19"/>
      <c r="O48" s="19"/>
      <c r="P48" s="19"/>
      <c r="Q48" s="19"/>
      <c r="R48" s="19"/>
      <c r="S48" s="19"/>
      <c r="T48" s="19"/>
      <c r="U48" s="19"/>
      <c r="V48" s="19"/>
    </row>
    <row r="49" customFormat="false" ht="12.75" hidden="false" customHeight="true" outlineLevel="0" collapsed="false">
      <c r="A49" s="19"/>
      <c r="B49" s="331" t="s">
        <v>622</v>
      </c>
      <c r="C49" s="412"/>
      <c r="D49" s="215" t="s">
        <v>598</v>
      </c>
      <c r="E49" s="19"/>
      <c r="F49" s="19"/>
      <c r="G49" s="19"/>
      <c r="H49" s="19"/>
      <c r="I49" s="19"/>
      <c r="J49" s="19"/>
      <c r="K49" s="19"/>
      <c r="L49" s="19"/>
      <c r="M49" s="19"/>
      <c r="N49" s="19"/>
      <c r="O49" s="19"/>
      <c r="P49" s="19"/>
      <c r="Q49" s="19"/>
      <c r="R49" s="19"/>
      <c r="S49" s="19"/>
      <c r="T49" s="19"/>
      <c r="U49" s="19"/>
      <c r="V49" s="19"/>
    </row>
    <row r="50" customFormat="false" ht="12" hidden="false" customHeight="true" outlineLevel="0" collapsed="false">
      <c r="A50" s="19"/>
      <c r="B50" s="508" t="s">
        <v>0</v>
      </c>
      <c r="C50" s="509" t="s">
        <v>599</v>
      </c>
      <c r="D50" s="509"/>
      <c r="E50" s="510"/>
      <c r="F50" s="510"/>
      <c r="G50" s="511"/>
      <c r="H50" s="19"/>
      <c r="I50" s="19"/>
      <c r="J50" s="19"/>
      <c r="K50" s="19"/>
      <c r="L50" s="19"/>
      <c r="M50" s="19"/>
      <c r="N50" s="19"/>
      <c r="O50" s="19"/>
      <c r="P50" s="19"/>
      <c r="Q50" s="19"/>
      <c r="R50" s="19"/>
      <c r="S50" s="19"/>
      <c r="T50" s="19"/>
      <c r="U50" s="19"/>
      <c r="V50" s="19"/>
    </row>
    <row r="51" customFormat="false" ht="12" hidden="false" customHeight="true" outlineLevel="0" collapsed="false">
      <c r="A51" s="19"/>
      <c r="B51" s="512" t="s">
        <v>600</v>
      </c>
      <c r="C51" s="391"/>
      <c r="D51" s="391"/>
      <c r="E51" s="391"/>
      <c r="F51" s="391"/>
      <c r="G51" s="393"/>
      <c r="H51" s="19"/>
      <c r="I51" s="19"/>
      <c r="J51" s="19"/>
      <c r="K51" s="19"/>
      <c r="L51" s="19"/>
      <c r="M51" s="19"/>
      <c r="N51" s="19"/>
      <c r="O51" s="19"/>
      <c r="P51" s="19"/>
      <c r="Q51" s="19"/>
      <c r="R51" s="19"/>
      <c r="S51" s="19"/>
      <c r="T51" s="19"/>
      <c r="U51" s="19"/>
      <c r="V51" s="19"/>
    </row>
    <row r="52" customFormat="false" ht="12" hidden="false" customHeight="true" outlineLevel="0" collapsed="false">
      <c r="A52" s="19"/>
      <c r="B52" s="513"/>
      <c r="C52" s="19"/>
      <c r="D52" s="19"/>
      <c r="E52" s="28" t="s">
        <v>601</v>
      </c>
      <c r="F52" s="246" t="n">
        <v>1</v>
      </c>
      <c r="G52" s="514" t="s">
        <v>602</v>
      </c>
      <c r="H52" s="19"/>
      <c r="I52" s="19"/>
      <c r="J52" s="19"/>
      <c r="K52" s="19"/>
      <c r="L52" s="19"/>
      <c r="M52" s="19"/>
      <c r="N52" s="19"/>
      <c r="O52" s="19"/>
      <c r="P52" s="19"/>
      <c r="Q52" s="19"/>
      <c r="R52" s="19"/>
      <c r="S52" s="19"/>
      <c r="T52" s="19"/>
      <c r="U52" s="19"/>
      <c r="V52" s="19"/>
    </row>
    <row r="53" customFormat="false" ht="12" hidden="false" customHeight="true" outlineLevel="0" collapsed="false">
      <c r="A53" s="19"/>
      <c r="B53" s="513"/>
      <c r="C53" s="19"/>
      <c r="D53" s="19"/>
      <c r="E53" s="28" t="s">
        <v>604</v>
      </c>
      <c r="F53" s="515" t="n">
        <f aca="false">10^(F52/20)</f>
        <v>1.122018454</v>
      </c>
      <c r="G53" s="514" t="s">
        <v>605</v>
      </c>
      <c r="H53" s="19"/>
      <c r="I53" s="19"/>
      <c r="J53" s="19"/>
      <c r="K53" s="19"/>
      <c r="L53" s="19"/>
      <c r="M53" s="19"/>
      <c r="N53" s="19"/>
      <c r="O53" s="19"/>
      <c r="P53" s="19"/>
      <c r="Q53" s="19"/>
      <c r="R53" s="19"/>
      <c r="S53" s="19"/>
      <c r="T53" s="19"/>
      <c r="U53" s="19"/>
      <c r="V53" s="19"/>
    </row>
    <row r="54" customFormat="false" ht="12" hidden="false" customHeight="true" outlineLevel="0" collapsed="false">
      <c r="A54" s="19"/>
      <c r="B54" s="513"/>
      <c r="C54" s="19"/>
      <c r="D54" s="19"/>
      <c r="E54" s="28" t="s">
        <v>607</v>
      </c>
      <c r="F54" s="246" t="n">
        <v>1</v>
      </c>
      <c r="G54" s="514" t="s">
        <v>602</v>
      </c>
      <c r="H54" s="19"/>
      <c r="I54" s="19"/>
      <c r="J54" s="19"/>
      <c r="K54" s="19"/>
      <c r="L54" s="19"/>
      <c r="M54" s="19" t="s">
        <v>0</v>
      </c>
      <c r="N54" s="19"/>
      <c r="O54" s="19"/>
      <c r="P54" s="19"/>
      <c r="Q54" s="19"/>
      <c r="R54" s="19"/>
      <c r="S54" s="19"/>
      <c r="T54" s="19"/>
      <c r="U54" s="19"/>
      <c r="V54" s="19"/>
    </row>
    <row r="55" customFormat="false" ht="12" hidden="false" customHeight="true" outlineLevel="0" collapsed="false">
      <c r="A55" s="19"/>
      <c r="B55" s="513"/>
      <c r="C55" s="19"/>
      <c r="D55" s="19"/>
      <c r="E55" s="28" t="s">
        <v>609</v>
      </c>
      <c r="F55" s="515" t="n">
        <f aca="false">10^(F54/20)</f>
        <v>1.122018454</v>
      </c>
      <c r="G55" s="514" t="s">
        <v>605</v>
      </c>
      <c r="H55" s="19"/>
      <c r="I55" s="19"/>
      <c r="J55" s="19"/>
      <c r="K55" s="19"/>
      <c r="L55" s="19"/>
      <c r="M55" s="19"/>
      <c r="N55" s="19"/>
      <c r="O55" s="19"/>
      <c r="P55" s="19"/>
      <c r="Q55" s="19"/>
      <c r="R55" s="19"/>
      <c r="S55" s="19"/>
      <c r="T55" s="19"/>
      <c r="U55" s="19"/>
      <c r="V55" s="19"/>
    </row>
    <row r="56" customFormat="false" ht="12" hidden="false" customHeight="true" outlineLevel="0" collapsed="false">
      <c r="A56" s="19"/>
      <c r="B56" s="513"/>
      <c r="C56" s="19"/>
      <c r="D56" s="19"/>
      <c r="E56" s="28" t="s">
        <v>610</v>
      </c>
      <c r="F56" s="250" t="n">
        <v>90</v>
      </c>
      <c r="G56" s="514" t="s">
        <v>611</v>
      </c>
      <c r="H56" s="19"/>
      <c r="I56" s="19"/>
      <c r="J56" s="19"/>
      <c r="K56" s="19"/>
      <c r="L56" s="19"/>
      <c r="M56" s="19"/>
      <c r="N56" s="19"/>
      <c r="O56" s="19"/>
      <c r="P56" s="19"/>
      <c r="Q56" s="19"/>
      <c r="R56" s="19"/>
      <c r="S56" s="19"/>
      <c r="T56" s="19"/>
      <c r="U56" s="19"/>
      <c r="V56" s="19"/>
    </row>
    <row r="57" customFormat="false" ht="12" hidden="false" customHeight="true" outlineLevel="0" collapsed="false">
      <c r="A57" s="19"/>
      <c r="B57" s="513"/>
      <c r="C57" s="19"/>
      <c r="D57" s="19"/>
      <c r="E57" s="28" t="s">
        <v>610</v>
      </c>
      <c r="F57" s="43" t="n">
        <f aca="false">RADIANS(F56)</f>
        <v>1.570796327</v>
      </c>
      <c r="G57" s="514" t="s">
        <v>612</v>
      </c>
      <c r="H57" s="19"/>
      <c r="I57" s="19"/>
      <c r="J57" s="19"/>
      <c r="K57" s="19"/>
      <c r="L57" s="19"/>
      <c r="M57" s="19"/>
      <c r="N57" s="19"/>
      <c r="O57" s="19"/>
      <c r="P57" s="19"/>
      <c r="Q57" s="19"/>
      <c r="R57" s="19"/>
      <c r="S57" s="19"/>
      <c r="T57" s="19"/>
      <c r="U57" s="19"/>
      <c r="V57" s="19"/>
    </row>
    <row r="58" customFormat="false" ht="12" hidden="false" customHeight="true" outlineLevel="0" collapsed="false">
      <c r="A58" s="19"/>
      <c r="B58" s="513"/>
      <c r="C58" s="19"/>
      <c r="D58" s="19"/>
      <c r="E58" s="19"/>
      <c r="F58" s="98"/>
      <c r="G58" s="517"/>
      <c r="H58" s="19"/>
      <c r="I58" s="19"/>
      <c r="J58" s="19"/>
      <c r="K58" s="19"/>
      <c r="L58" s="19"/>
      <c r="M58" s="19"/>
      <c r="N58" s="19"/>
      <c r="O58" s="19"/>
      <c r="P58" s="19"/>
      <c r="Q58" s="19"/>
      <c r="R58" s="19"/>
      <c r="S58" s="19"/>
      <c r="T58" s="19"/>
      <c r="U58" s="19"/>
      <c r="V58" s="19"/>
    </row>
    <row r="59" customFormat="false" ht="12.75" hidden="false" customHeight="true" outlineLevel="0" collapsed="false">
      <c r="A59" s="19"/>
      <c r="B59" s="513"/>
      <c r="C59" s="19"/>
      <c r="D59" s="19"/>
      <c r="E59" s="28" t="s">
        <v>613</v>
      </c>
      <c r="F59" s="518" t="n">
        <f aca="false">0.5*(1+((1-F53^2)*(1-F55^2)*COS(2*F57)+4*F53*F55)/((1+F53^2)*(1+F55^2)))</f>
        <v>0.9868615065</v>
      </c>
      <c r="G59" s="514" t="s">
        <v>605</v>
      </c>
      <c r="H59" s="19"/>
      <c r="I59" s="19"/>
      <c r="J59" s="19"/>
      <c r="K59" s="19"/>
      <c r="L59" s="19"/>
      <c r="M59" s="19"/>
      <c r="N59" s="19"/>
      <c r="O59" s="19"/>
      <c r="P59" s="19"/>
      <c r="Q59" s="19"/>
      <c r="R59" s="19"/>
      <c r="S59" s="19"/>
      <c r="T59" s="19"/>
      <c r="U59" s="19"/>
      <c r="V59" s="19"/>
    </row>
    <row r="60" customFormat="false" ht="12.75" hidden="false" customHeight="true" outlineLevel="0" collapsed="false">
      <c r="A60" s="19"/>
      <c r="B60" s="513"/>
      <c r="C60" s="19"/>
      <c r="D60" s="19"/>
      <c r="E60" s="28" t="s">
        <v>614</v>
      </c>
      <c r="F60" s="519" t="n">
        <f aca="false">-10*LOG(F59)</f>
        <v>0.0574379076</v>
      </c>
      <c r="G60" s="514" t="s">
        <v>602</v>
      </c>
      <c r="H60" s="19"/>
      <c r="I60" s="19"/>
      <c r="J60" s="19"/>
      <c r="K60" s="19"/>
      <c r="L60" s="19"/>
      <c r="M60" s="19"/>
      <c r="N60" s="19"/>
      <c r="O60" s="19"/>
      <c r="P60" s="19"/>
      <c r="Q60" s="19"/>
      <c r="R60" s="19"/>
      <c r="S60" s="19"/>
      <c r="T60" s="19"/>
      <c r="U60" s="19"/>
      <c r="V60" s="19"/>
    </row>
    <row r="61" customFormat="false" ht="12" hidden="false" customHeight="true" outlineLevel="0" collapsed="false">
      <c r="A61" s="19"/>
      <c r="B61" s="513"/>
      <c r="C61" s="19"/>
      <c r="D61" s="19"/>
      <c r="E61" s="28"/>
      <c r="F61" s="520"/>
      <c r="G61" s="514"/>
      <c r="H61" s="19"/>
      <c r="I61" s="19"/>
      <c r="J61" s="19"/>
      <c r="K61" s="19"/>
      <c r="L61" s="19"/>
      <c r="M61" s="19"/>
      <c r="N61" s="19"/>
      <c r="O61" s="19"/>
      <c r="P61" s="19"/>
      <c r="Q61" s="19"/>
      <c r="R61" s="19"/>
      <c r="S61" s="19"/>
      <c r="T61" s="19"/>
      <c r="U61" s="19"/>
      <c r="V61" s="19"/>
    </row>
    <row r="62" customFormat="false" ht="12" hidden="false" customHeight="true" outlineLevel="0" collapsed="false">
      <c r="A62" s="19"/>
      <c r="B62" s="512" t="s">
        <v>616</v>
      </c>
      <c r="C62" s="391"/>
      <c r="D62" s="391"/>
      <c r="E62" s="521"/>
      <c r="F62" s="522"/>
      <c r="G62" s="523"/>
      <c r="H62" s="19"/>
      <c r="I62" s="19"/>
      <c r="J62" s="19"/>
      <c r="K62" s="19"/>
      <c r="L62" s="19"/>
      <c r="M62" s="19"/>
      <c r="N62" s="19"/>
      <c r="O62" s="19"/>
      <c r="P62" s="19"/>
      <c r="Q62" s="19"/>
      <c r="R62" s="19"/>
      <c r="S62" s="19"/>
      <c r="T62" s="19"/>
      <c r="U62" s="19"/>
      <c r="V62" s="19"/>
    </row>
    <row r="63" customFormat="false" ht="12" hidden="false" customHeight="true" outlineLevel="0" collapsed="false">
      <c r="A63" s="19"/>
      <c r="B63" s="513"/>
      <c r="C63" s="19" t="s">
        <v>619</v>
      </c>
      <c r="D63" s="19"/>
      <c r="E63" s="28"/>
      <c r="F63" s="524" t="n">
        <f aca="false">1-F59</f>
        <v>0.01313849346</v>
      </c>
      <c r="G63" s="514"/>
      <c r="H63" s="19"/>
      <c r="I63" s="19"/>
      <c r="J63" s="19"/>
      <c r="K63" s="19"/>
      <c r="L63" s="19"/>
      <c r="M63" s="19"/>
      <c r="N63" s="19"/>
      <c r="O63" s="19"/>
      <c r="P63" s="19"/>
      <c r="Q63" s="19"/>
      <c r="R63" s="19"/>
      <c r="S63" s="19"/>
      <c r="T63" s="19"/>
      <c r="U63" s="19"/>
      <c r="V63" s="19"/>
    </row>
    <row r="64" customFormat="false" ht="12.75" hidden="false" customHeight="true" outlineLevel="0" collapsed="false">
      <c r="A64" s="19"/>
      <c r="B64" s="513"/>
      <c r="C64" s="19" t="s">
        <v>619</v>
      </c>
      <c r="D64" s="19"/>
      <c r="E64" s="19"/>
      <c r="F64" s="529" t="n">
        <f aca="false">10*LOG10(1-F59)</f>
        <v>-18.81454431</v>
      </c>
      <c r="G64" s="514" t="s">
        <v>602</v>
      </c>
      <c r="H64" s="19"/>
      <c r="I64" s="19"/>
      <c r="J64" s="19"/>
      <c r="K64" s="19"/>
      <c r="L64" s="19"/>
      <c r="M64" s="19"/>
      <c r="N64" s="19"/>
      <c r="O64" s="19"/>
      <c r="P64" s="19"/>
      <c r="Q64" s="19"/>
      <c r="R64" s="19"/>
      <c r="S64" s="19"/>
      <c r="T64" s="19"/>
      <c r="U64" s="19"/>
      <c r="V64" s="19"/>
    </row>
    <row r="65" customFormat="false" ht="12.75" hidden="false" customHeight="true" outlineLevel="0" collapsed="false">
      <c r="A65" s="19"/>
      <c r="B65" s="513"/>
      <c r="C65" s="19" t="s">
        <v>620</v>
      </c>
      <c r="D65" s="19"/>
      <c r="E65" s="19"/>
      <c r="F65" s="519" t="n">
        <f aca="false">F60-F64</f>
        <v>18.87198222</v>
      </c>
      <c r="G65" s="514" t="s">
        <v>602</v>
      </c>
      <c r="H65" s="19"/>
      <c r="I65" s="19"/>
      <c r="J65" s="19"/>
      <c r="K65" s="19"/>
      <c r="L65" s="19"/>
      <c r="M65" s="19"/>
      <c r="N65" s="19"/>
      <c r="O65" s="19"/>
      <c r="P65" s="19"/>
      <c r="Q65" s="19"/>
      <c r="R65" s="19"/>
      <c r="S65" s="19"/>
      <c r="T65" s="19"/>
      <c r="U65" s="19"/>
      <c r="V65" s="19"/>
    </row>
    <row r="66" customFormat="false" ht="12.75" hidden="false" customHeight="true" outlineLevel="0" collapsed="false">
      <c r="A66" s="19"/>
      <c r="B66" s="527"/>
      <c r="C66" s="107"/>
      <c r="D66" s="107"/>
      <c r="E66" s="107"/>
      <c r="F66" s="107" t="s">
        <v>0</v>
      </c>
      <c r="G66" s="528"/>
      <c r="H66" s="19"/>
      <c r="I66" s="19"/>
      <c r="J66" s="19"/>
      <c r="K66" s="19"/>
      <c r="L66" s="19"/>
      <c r="M66" s="19"/>
      <c r="N66" s="19"/>
      <c r="O66" s="19"/>
      <c r="P66" s="19"/>
      <c r="Q66" s="19"/>
      <c r="R66" s="19"/>
      <c r="S66" s="19"/>
      <c r="T66" s="19"/>
      <c r="U66" s="19"/>
      <c r="V66" s="19"/>
    </row>
    <row r="67" customFormat="false" ht="12" hidden="false" customHeight="true" outlineLevel="0" collapsed="false">
      <c r="A67" s="19"/>
      <c r="B67" s="19"/>
      <c r="C67" s="19"/>
      <c r="D67" s="19"/>
      <c r="E67" s="19"/>
      <c r="F67" s="19"/>
      <c r="G67" s="19"/>
      <c r="H67" s="19"/>
      <c r="I67" s="19"/>
      <c r="J67" s="19"/>
      <c r="K67" s="19"/>
      <c r="L67" s="19"/>
      <c r="M67" s="19"/>
      <c r="N67" s="19"/>
      <c r="O67" s="19"/>
      <c r="P67" s="19"/>
      <c r="Q67" s="19"/>
      <c r="R67" s="19"/>
      <c r="S67" s="19"/>
      <c r="T67" s="19"/>
      <c r="U67" s="19"/>
      <c r="V67" s="19"/>
    </row>
    <row r="68" customFormat="false" ht="12" hidden="false" customHeight="true" outlineLevel="0" collapsed="false">
      <c r="A68" s="19"/>
      <c r="B68" s="19"/>
      <c r="C68" s="19"/>
      <c r="D68" s="19"/>
      <c r="E68" s="19"/>
      <c r="F68" s="19"/>
      <c r="G68" s="19"/>
      <c r="H68" s="19"/>
      <c r="I68" s="19"/>
      <c r="J68" s="19"/>
      <c r="K68" s="19"/>
      <c r="L68" s="19"/>
      <c r="M68" s="19"/>
      <c r="N68" s="19"/>
      <c r="O68" s="19"/>
      <c r="P68" s="19"/>
      <c r="Q68" s="19"/>
      <c r="R68" s="19"/>
      <c r="S68" s="19"/>
      <c r="T68" s="19"/>
      <c r="U68" s="19"/>
      <c r="V68" s="19"/>
    </row>
    <row r="69" customFormat="false" ht="12" hidden="false" customHeight="true" outlineLevel="0" collapsed="false">
      <c r="A69" s="19"/>
      <c r="B69" s="19"/>
      <c r="C69" s="19"/>
      <c r="D69" s="19"/>
      <c r="E69" s="19"/>
      <c r="F69" s="19"/>
      <c r="G69" s="19"/>
      <c r="H69" s="19"/>
      <c r="I69" s="19"/>
      <c r="J69" s="19"/>
      <c r="K69" s="19"/>
      <c r="L69" s="19"/>
      <c r="M69" s="19"/>
      <c r="N69" s="19"/>
      <c r="O69" s="19"/>
      <c r="P69" s="19"/>
      <c r="Q69" s="19"/>
      <c r="R69" s="19"/>
      <c r="S69" s="19"/>
      <c r="T69" s="19"/>
      <c r="U69" s="19"/>
      <c r="V69" s="19"/>
    </row>
    <row r="70" customFormat="false" ht="12" hidden="false" customHeight="true" outlineLevel="0" collapsed="false">
      <c r="A70" s="19"/>
      <c r="B70" s="499"/>
      <c r="C70" s="499"/>
      <c r="D70" s="499"/>
      <c r="E70" s="499"/>
      <c r="F70" s="530" t="s">
        <v>623</v>
      </c>
      <c r="G70" s="499"/>
      <c r="H70" s="499"/>
      <c r="I70" s="499" t="s">
        <v>0</v>
      </c>
      <c r="J70" s="499"/>
      <c r="K70" s="19"/>
      <c r="L70" s="19"/>
      <c r="M70" s="19"/>
      <c r="N70" s="19"/>
      <c r="O70" s="19"/>
      <c r="P70" s="19"/>
      <c r="Q70" s="19"/>
      <c r="R70" s="19"/>
      <c r="S70" s="19"/>
      <c r="T70" s="19"/>
      <c r="U70" s="19"/>
      <c r="V70" s="19"/>
    </row>
    <row r="71" customFormat="false" ht="12" hidden="false" customHeight="true" outlineLevel="0" collapsed="false">
      <c r="A71" s="19"/>
      <c r="B71" s="112"/>
      <c r="C71" s="112"/>
      <c r="D71" s="531" t="s">
        <v>624</v>
      </c>
      <c r="E71" s="112"/>
      <c r="F71" s="531" t="s">
        <v>625</v>
      </c>
      <c r="G71" s="112"/>
      <c r="H71" s="532" t="s">
        <v>626</v>
      </c>
      <c r="I71" s="112"/>
      <c r="J71" s="208" t="s">
        <v>627</v>
      </c>
      <c r="K71" s="19"/>
      <c r="L71" s="19"/>
      <c r="M71" s="19"/>
      <c r="N71" s="19"/>
      <c r="O71" s="19"/>
      <c r="P71" s="19"/>
      <c r="Q71" s="19"/>
      <c r="R71" s="19"/>
      <c r="S71" s="19"/>
      <c r="T71" s="19"/>
      <c r="U71" s="19"/>
      <c r="V71" s="19"/>
    </row>
    <row r="72" customFormat="false" ht="12" hidden="false" customHeight="true" outlineLevel="0" collapsed="false">
      <c r="A72" s="19"/>
      <c r="B72" s="112"/>
      <c r="C72" s="112"/>
      <c r="D72" s="208" t="s">
        <v>628</v>
      </c>
      <c r="E72" s="208"/>
      <c r="F72" s="208" t="s">
        <v>629</v>
      </c>
      <c r="G72" s="208"/>
      <c r="H72" s="208" t="s">
        <v>630</v>
      </c>
      <c r="I72" s="112"/>
      <c r="J72" s="208" t="s">
        <v>631</v>
      </c>
      <c r="K72" s="19"/>
      <c r="L72" s="19"/>
      <c r="M72" s="19"/>
      <c r="N72" s="19"/>
      <c r="O72" s="19"/>
      <c r="P72" s="19"/>
      <c r="Q72" s="19"/>
      <c r="R72" s="19"/>
      <c r="S72" s="19"/>
      <c r="T72" s="19"/>
      <c r="U72" s="19"/>
      <c r="V72" s="19"/>
    </row>
    <row r="73" customFormat="false" ht="12" hidden="false" customHeight="true" outlineLevel="0" collapsed="false">
      <c r="A73" s="19"/>
      <c r="B73" s="112"/>
      <c r="C73" s="112"/>
      <c r="D73" s="208" t="s">
        <v>631</v>
      </c>
      <c r="E73" s="208"/>
      <c r="F73" s="208" t="s">
        <v>631</v>
      </c>
      <c r="G73" s="208"/>
      <c r="H73" s="208"/>
      <c r="I73" s="112"/>
      <c r="J73" s="208"/>
      <c r="K73" s="19"/>
      <c r="L73" s="19"/>
      <c r="M73" s="19"/>
      <c r="N73" s="19"/>
      <c r="O73" s="19"/>
      <c r="P73" s="19"/>
      <c r="Q73" s="19"/>
      <c r="R73" s="19"/>
      <c r="S73" s="19"/>
      <c r="T73" s="19"/>
      <c r="U73" s="19"/>
      <c r="V73" s="19"/>
    </row>
    <row r="74" customFormat="false" ht="12" hidden="false" customHeight="true" outlineLevel="0" collapsed="false">
      <c r="A74" s="19"/>
      <c r="B74" s="112"/>
      <c r="C74" s="112"/>
      <c r="D74" s="112"/>
      <c r="E74" s="112"/>
      <c r="F74" s="112"/>
      <c r="G74" s="112"/>
      <c r="H74" s="112"/>
      <c r="I74" s="112"/>
      <c r="J74" s="112"/>
      <c r="K74" s="19"/>
      <c r="L74" s="19"/>
      <c r="M74" s="19"/>
      <c r="N74" s="19"/>
      <c r="O74" s="19"/>
      <c r="P74" s="19"/>
      <c r="Q74" s="19"/>
      <c r="R74" s="19"/>
      <c r="S74" s="19"/>
      <c r="T74" s="19"/>
      <c r="U74" s="19"/>
      <c r="V74" s="19"/>
    </row>
    <row r="75" customFormat="false" ht="12" hidden="false" customHeight="true" outlineLevel="0" collapsed="false">
      <c r="A75" s="19"/>
      <c r="B75" s="533" t="s">
        <v>632</v>
      </c>
      <c r="C75" s="534"/>
      <c r="D75" s="452" t="n">
        <v>0</v>
      </c>
      <c r="E75" s="452"/>
      <c r="F75" s="452" t="n">
        <v>0</v>
      </c>
      <c r="G75" s="452"/>
      <c r="H75" s="452" t="n">
        <v>90</v>
      </c>
      <c r="I75" s="452"/>
      <c r="J75" s="535" t="n">
        <v>0</v>
      </c>
      <c r="K75" s="19"/>
      <c r="L75" s="19"/>
      <c r="M75" s="19"/>
      <c r="N75" s="19"/>
      <c r="O75" s="19"/>
      <c r="P75" s="19"/>
      <c r="Q75" s="19"/>
      <c r="R75" s="19"/>
      <c r="S75" s="19"/>
      <c r="T75" s="19"/>
      <c r="U75" s="19"/>
      <c r="V75" s="19"/>
    </row>
    <row r="76" customFormat="false" ht="12" hidden="false" customHeight="true" outlineLevel="0" collapsed="false">
      <c r="A76" s="19"/>
      <c r="B76" s="533" t="s">
        <v>633</v>
      </c>
      <c r="C76" s="534"/>
      <c r="D76" s="452" t="n">
        <v>0</v>
      </c>
      <c r="E76" s="452"/>
      <c r="F76" s="452" t="n">
        <v>1</v>
      </c>
      <c r="G76" s="452"/>
      <c r="H76" s="452" t="n">
        <v>90</v>
      </c>
      <c r="I76" s="452"/>
      <c r="J76" s="535" t="n">
        <v>-0.01</v>
      </c>
      <c r="K76" s="19"/>
      <c r="L76" s="19"/>
      <c r="M76" s="19"/>
      <c r="N76" s="19"/>
      <c r="O76" s="19"/>
      <c r="P76" s="19"/>
      <c r="Q76" s="19"/>
      <c r="R76" s="19"/>
      <c r="S76" s="19"/>
      <c r="T76" s="19"/>
      <c r="U76" s="19"/>
      <c r="V76" s="19"/>
    </row>
    <row r="77" customFormat="false" ht="12" hidden="false" customHeight="true" outlineLevel="0" collapsed="false">
      <c r="A77" s="19"/>
      <c r="B77" s="534"/>
      <c r="C77" s="534"/>
      <c r="D77" s="452" t="n">
        <v>0</v>
      </c>
      <c r="E77" s="452"/>
      <c r="F77" s="452" t="n">
        <v>2</v>
      </c>
      <c r="G77" s="452"/>
      <c r="H77" s="452" t="n">
        <v>90</v>
      </c>
      <c r="I77" s="452"/>
      <c r="J77" s="535" t="n">
        <v>-0.06</v>
      </c>
      <c r="K77" s="19"/>
      <c r="L77" s="19"/>
      <c r="M77" s="19"/>
      <c r="N77" s="19"/>
      <c r="O77" s="19"/>
      <c r="P77" s="19"/>
      <c r="Q77" s="19"/>
      <c r="R77" s="19"/>
      <c r="S77" s="19"/>
      <c r="T77" s="19"/>
      <c r="U77" s="19"/>
      <c r="V77" s="19"/>
    </row>
    <row r="78" customFormat="false" ht="12" hidden="false" customHeight="true" outlineLevel="0" collapsed="false">
      <c r="A78" s="19"/>
      <c r="B78" s="534"/>
      <c r="C78" s="534"/>
      <c r="D78" s="452" t="n">
        <v>0</v>
      </c>
      <c r="E78" s="452"/>
      <c r="F78" s="452" t="n">
        <v>3</v>
      </c>
      <c r="G78" s="452"/>
      <c r="H78" s="452" t="n">
        <v>90</v>
      </c>
      <c r="I78" s="536"/>
      <c r="J78" s="535" t="n">
        <v>-0.13</v>
      </c>
      <c r="K78" s="19"/>
      <c r="L78" s="19"/>
      <c r="M78" s="19"/>
      <c r="N78" s="19"/>
      <c r="O78" s="19"/>
      <c r="P78" s="19"/>
      <c r="Q78" s="19"/>
      <c r="R78" s="19"/>
      <c r="S78" s="19"/>
      <c r="T78" s="19"/>
      <c r="U78" s="19"/>
      <c r="V78" s="19"/>
    </row>
    <row r="79" customFormat="false" ht="12" hidden="false" customHeight="true" outlineLevel="0" collapsed="false">
      <c r="A79" s="19"/>
      <c r="B79" s="534"/>
      <c r="C79" s="534"/>
      <c r="D79" s="452" t="n">
        <v>0</v>
      </c>
      <c r="E79" s="452"/>
      <c r="F79" s="452" t="n">
        <v>6</v>
      </c>
      <c r="G79" s="452"/>
      <c r="H79" s="452" t="n">
        <v>90</v>
      </c>
      <c r="I79" s="536"/>
      <c r="J79" s="535" t="n">
        <v>-0.45</v>
      </c>
      <c r="K79" s="19"/>
      <c r="L79" s="19"/>
      <c r="M79" s="19"/>
      <c r="N79" s="19"/>
      <c r="O79" s="19"/>
      <c r="P79" s="19"/>
      <c r="Q79" s="19"/>
      <c r="R79" s="19"/>
      <c r="S79" s="19"/>
      <c r="T79" s="19"/>
      <c r="U79" s="19"/>
      <c r="V79" s="19"/>
    </row>
    <row r="80" customFormat="false" ht="12" hidden="false" customHeight="true" outlineLevel="0" collapsed="false">
      <c r="A80" s="19"/>
      <c r="B80" s="534"/>
      <c r="C80" s="534"/>
      <c r="D80" s="452" t="n">
        <v>0</v>
      </c>
      <c r="E80" s="452"/>
      <c r="F80" s="452" t="n">
        <v>10</v>
      </c>
      <c r="G80" s="452"/>
      <c r="H80" s="452" t="n">
        <v>90</v>
      </c>
      <c r="I80" s="452"/>
      <c r="J80" s="535" t="n">
        <v>-1.04</v>
      </c>
      <c r="K80" s="19"/>
      <c r="L80" s="19"/>
      <c r="M80" s="19"/>
      <c r="N80" s="19"/>
      <c r="O80" s="19"/>
      <c r="P80" s="19"/>
      <c r="Q80" s="19"/>
      <c r="R80" s="19"/>
      <c r="S80" s="19"/>
      <c r="T80" s="19"/>
      <c r="U80" s="19"/>
      <c r="V80" s="19"/>
    </row>
    <row r="81" customFormat="false" ht="12" hidden="false" customHeight="true" outlineLevel="0" collapsed="false">
      <c r="A81" s="19"/>
      <c r="B81" s="534"/>
      <c r="C81" s="534"/>
      <c r="D81" s="452" t="n">
        <v>0</v>
      </c>
      <c r="E81" s="452"/>
      <c r="F81" s="452" t="n">
        <v>30</v>
      </c>
      <c r="G81" s="452"/>
      <c r="H81" s="452" t="n">
        <v>90</v>
      </c>
      <c r="I81" s="452"/>
      <c r="J81" s="535" t="n">
        <v>-2.74</v>
      </c>
      <c r="K81" s="19"/>
      <c r="L81" s="537" t="s">
        <v>634</v>
      </c>
      <c r="M81" s="538"/>
      <c r="N81" s="538"/>
      <c r="O81" s="539"/>
      <c r="P81" s="19"/>
      <c r="Q81" s="19"/>
      <c r="R81" s="19"/>
      <c r="S81" s="19"/>
      <c r="T81" s="19"/>
      <c r="U81" s="19"/>
      <c r="V81" s="19"/>
    </row>
    <row r="82" customFormat="false" ht="12" hidden="false" customHeight="true" outlineLevel="0" collapsed="false">
      <c r="A82" s="19"/>
      <c r="B82" s="534"/>
      <c r="C82" s="534"/>
      <c r="D82" s="452" t="n">
        <v>0</v>
      </c>
      <c r="E82" s="452"/>
      <c r="F82" s="452" t="n">
        <v>30</v>
      </c>
      <c r="G82" s="452"/>
      <c r="H82" s="452" t="n">
        <v>0</v>
      </c>
      <c r="I82" s="452"/>
      <c r="J82" s="535" t="n">
        <v>-2.74</v>
      </c>
      <c r="K82" s="19"/>
      <c r="L82" s="540" t="s">
        <v>635</v>
      </c>
      <c r="M82" s="479"/>
      <c r="N82" s="479"/>
      <c r="O82" s="480"/>
      <c r="P82" s="19"/>
      <c r="Q82" s="19"/>
      <c r="R82" s="19"/>
      <c r="S82" s="19"/>
      <c r="T82" s="19"/>
      <c r="U82" s="19"/>
      <c r="V82" s="19"/>
    </row>
    <row r="83" customFormat="false" ht="12" hidden="false" customHeight="true" outlineLevel="0" collapsed="false">
      <c r="A83" s="19"/>
      <c r="B83" s="534"/>
      <c r="C83" s="534"/>
      <c r="D83" s="452"/>
      <c r="E83" s="452"/>
      <c r="F83" s="452"/>
      <c r="G83" s="452"/>
      <c r="H83" s="452"/>
      <c r="I83" s="452"/>
      <c r="J83" s="452"/>
      <c r="K83" s="19"/>
      <c r="L83" s="19"/>
      <c r="M83" s="19"/>
      <c r="N83" s="19"/>
      <c r="O83" s="19"/>
      <c r="P83" s="19"/>
      <c r="Q83" s="19"/>
      <c r="R83" s="19"/>
      <c r="S83" s="19"/>
      <c r="T83" s="19"/>
      <c r="U83" s="19"/>
      <c r="V83" s="19"/>
    </row>
    <row r="84" customFormat="false" ht="12" hidden="false" customHeight="true" outlineLevel="0" collapsed="false">
      <c r="A84" s="19"/>
      <c r="B84" s="534"/>
      <c r="C84" s="534"/>
      <c r="D84" s="452"/>
      <c r="E84" s="452"/>
      <c r="F84" s="452"/>
      <c r="G84" s="452"/>
      <c r="H84" s="452"/>
      <c r="I84" s="452" t="s">
        <v>0</v>
      </c>
      <c r="J84" s="452"/>
      <c r="K84" s="19"/>
      <c r="L84" s="19"/>
      <c r="M84" s="19"/>
      <c r="N84" s="19"/>
      <c r="O84" s="19"/>
      <c r="P84" s="19"/>
      <c r="Q84" s="19"/>
      <c r="R84" s="19"/>
      <c r="S84" s="19"/>
      <c r="T84" s="19"/>
      <c r="U84" s="19"/>
      <c r="V84" s="19"/>
    </row>
    <row r="85" customFormat="false" ht="12" hidden="false" customHeight="true" outlineLevel="0" collapsed="false">
      <c r="A85" s="19"/>
      <c r="B85" s="533" t="s">
        <v>636</v>
      </c>
      <c r="C85" s="534"/>
      <c r="D85" s="452" t="n">
        <v>3</v>
      </c>
      <c r="E85" s="452"/>
      <c r="F85" s="452" t="n">
        <v>3</v>
      </c>
      <c r="G85" s="452"/>
      <c r="H85" s="452" t="n">
        <v>0</v>
      </c>
      <c r="I85" s="452"/>
      <c r="J85" s="535" t="n">
        <v>0</v>
      </c>
      <c r="K85" s="19"/>
      <c r="L85" s="19"/>
      <c r="M85" s="19"/>
      <c r="N85" s="19"/>
      <c r="O85" s="19"/>
      <c r="P85" s="19"/>
      <c r="Q85" s="19"/>
      <c r="R85" s="19"/>
      <c r="S85" s="19"/>
      <c r="T85" s="19"/>
      <c r="U85" s="19"/>
      <c r="V85" s="19"/>
    </row>
    <row r="86" customFormat="false" ht="12" hidden="false" customHeight="true" outlineLevel="0" collapsed="false">
      <c r="A86" s="19"/>
      <c r="B86" s="534"/>
      <c r="C86" s="534"/>
      <c r="D86" s="452" t="n">
        <v>3</v>
      </c>
      <c r="E86" s="452"/>
      <c r="F86" s="452" t="n">
        <v>3</v>
      </c>
      <c r="G86" s="452"/>
      <c r="H86" s="452" t="n">
        <v>45</v>
      </c>
      <c r="I86" s="452"/>
      <c r="J86" s="535" t="n">
        <v>-0.25</v>
      </c>
      <c r="K86" s="19"/>
      <c r="L86" s="541" t="s">
        <v>637</v>
      </c>
      <c r="M86" s="227"/>
      <c r="N86" s="227"/>
      <c r="O86" s="228"/>
      <c r="P86" s="19"/>
      <c r="Q86" s="19"/>
      <c r="R86" s="19"/>
      <c r="S86" s="19"/>
      <c r="T86" s="19"/>
      <c r="U86" s="19"/>
      <c r="V86" s="19"/>
    </row>
    <row r="87" customFormat="false" ht="12" hidden="false" customHeight="true" outlineLevel="0" collapsed="false">
      <c r="A87" s="19"/>
      <c r="B87" s="534"/>
      <c r="C87" s="534"/>
      <c r="D87" s="452" t="n">
        <v>3</v>
      </c>
      <c r="E87" s="452"/>
      <c r="F87" s="452" t="n">
        <v>3</v>
      </c>
      <c r="G87" s="452"/>
      <c r="H87" s="452" t="n">
        <v>90</v>
      </c>
      <c r="I87" s="452"/>
      <c r="J87" s="535" t="n">
        <v>-0.51</v>
      </c>
      <c r="K87" s="19"/>
      <c r="L87" s="19"/>
      <c r="M87" s="19"/>
      <c r="N87" s="19"/>
      <c r="O87" s="19"/>
      <c r="P87" s="19"/>
      <c r="Q87" s="19"/>
      <c r="R87" s="19"/>
      <c r="S87" s="19"/>
      <c r="T87" s="19"/>
      <c r="U87" s="19"/>
      <c r="V87" s="19"/>
    </row>
    <row r="88" customFormat="false" ht="12" hidden="false" customHeight="true" outlineLevel="0" collapsed="false">
      <c r="A88" s="19"/>
      <c r="B88" s="534"/>
      <c r="C88" s="534"/>
      <c r="D88" s="542"/>
      <c r="E88" s="542"/>
      <c r="F88" s="542"/>
      <c r="G88" s="542"/>
      <c r="H88" s="542"/>
      <c r="I88" s="542"/>
      <c r="J88" s="542"/>
      <c r="K88" s="19"/>
      <c r="L88" s="19"/>
      <c r="M88" s="19"/>
      <c r="N88" s="19"/>
      <c r="O88" s="19"/>
      <c r="P88" s="19"/>
      <c r="Q88" s="19"/>
      <c r="R88" s="19"/>
      <c r="S88" s="19"/>
      <c r="T88" s="19"/>
      <c r="U88" s="19"/>
      <c r="V88" s="19"/>
    </row>
    <row r="89" customFormat="false" ht="12" hidden="false" customHeight="true" outlineLevel="0" collapsed="false">
      <c r="A89" s="19"/>
      <c r="B89" s="534"/>
      <c r="C89" s="534"/>
      <c r="D89" s="542"/>
      <c r="E89" s="542"/>
      <c r="F89" s="542"/>
      <c r="G89" s="542"/>
      <c r="H89" s="542"/>
      <c r="I89" s="542"/>
      <c r="J89" s="542"/>
      <c r="K89" s="19"/>
      <c r="L89" s="19"/>
      <c r="M89" s="19"/>
      <c r="N89" s="19"/>
      <c r="O89" s="19"/>
      <c r="P89" s="19"/>
      <c r="Q89" s="19"/>
      <c r="R89" s="19"/>
      <c r="S89" s="19"/>
      <c r="T89" s="19"/>
      <c r="U89" s="19"/>
      <c r="V89" s="19"/>
    </row>
    <row r="90" customFormat="false" ht="12" hidden="false" customHeight="true" outlineLevel="0" collapsed="false">
      <c r="A90" s="19"/>
      <c r="B90" s="534" t="s">
        <v>638</v>
      </c>
      <c r="C90" s="534"/>
      <c r="D90" s="452" t="n">
        <v>30</v>
      </c>
      <c r="E90" s="452"/>
      <c r="F90" s="452" t="n">
        <v>30</v>
      </c>
      <c r="G90" s="452"/>
      <c r="H90" s="452" t="n">
        <v>0</v>
      </c>
      <c r="I90" s="452"/>
      <c r="J90" s="535" t="n">
        <v>0</v>
      </c>
      <c r="K90" s="19"/>
      <c r="L90" s="19"/>
      <c r="M90" s="19"/>
      <c r="N90" s="19"/>
      <c r="O90" s="19"/>
      <c r="P90" s="19"/>
      <c r="Q90" s="19"/>
      <c r="R90" s="19"/>
      <c r="S90" s="19"/>
      <c r="T90" s="19"/>
      <c r="U90" s="19"/>
      <c r="V90" s="19"/>
    </row>
    <row r="91" customFormat="false" ht="12" hidden="false" customHeight="true" outlineLevel="0" collapsed="false">
      <c r="A91" s="19"/>
      <c r="B91" s="534"/>
      <c r="C91" s="534"/>
      <c r="D91" s="452" t="n">
        <v>30</v>
      </c>
      <c r="E91" s="452"/>
      <c r="F91" s="452" t="n">
        <v>30</v>
      </c>
      <c r="G91" s="452"/>
      <c r="H91" s="452" t="n">
        <v>30</v>
      </c>
      <c r="I91" s="452"/>
      <c r="J91" s="535" t="n">
        <v>-1.24</v>
      </c>
      <c r="K91" s="19"/>
      <c r="L91" s="19"/>
      <c r="M91" s="19"/>
      <c r="N91" s="19"/>
      <c r="O91" s="19"/>
      <c r="P91" s="19"/>
      <c r="Q91" s="19"/>
      <c r="R91" s="19"/>
      <c r="S91" s="19"/>
      <c r="T91" s="19"/>
      <c r="U91" s="19"/>
      <c r="V91" s="19"/>
    </row>
    <row r="92" customFormat="false" ht="12" hidden="false" customHeight="true" outlineLevel="0" collapsed="false">
      <c r="A92" s="19"/>
      <c r="B92" s="534"/>
      <c r="C92" s="534"/>
      <c r="D92" s="452" t="n">
        <v>30</v>
      </c>
      <c r="E92" s="452"/>
      <c r="F92" s="452" t="n">
        <v>30</v>
      </c>
      <c r="G92" s="452"/>
      <c r="H92" s="452" t="n">
        <v>45</v>
      </c>
      <c r="I92" s="452"/>
      <c r="J92" s="535" t="n">
        <v>-2.99</v>
      </c>
      <c r="K92" s="19"/>
      <c r="L92" s="19"/>
      <c r="M92" s="19"/>
      <c r="N92" s="19"/>
      <c r="O92" s="19"/>
      <c r="P92" s="19"/>
      <c r="Q92" s="19"/>
      <c r="R92" s="19"/>
      <c r="S92" s="19"/>
      <c r="T92" s="19"/>
      <c r="U92" s="19"/>
      <c r="V92" s="19"/>
    </row>
    <row r="93" customFormat="false" ht="12" hidden="false" customHeight="true" outlineLevel="0" collapsed="false">
      <c r="A93" s="19"/>
      <c r="B93" s="534"/>
      <c r="C93" s="534"/>
      <c r="D93" s="452" t="n">
        <v>30</v>
      </c>
      <c r="E93" s="452"/>
      <c r="F93" s="452" t="n">
        <v>30</v>
      </c>
      <c r="G93" s="452"/>
      <c r="H93" s="452" t="n">
        <v>60</v>
      </c>
      <c r="I93" s="452"/>
      <c r="J93" s="535" t="n">
        <v>-5.97</v>
      </c>
      <c r="K93" s="19"/>
      <c r="L93" s="19"/>
      <c r="M93" s="19"/>
      <c r="N93" s="19"/>
      <c r="O93" s="19"/>
      <c r="P93" s="19"/>
      <c r="Q93" s="19"/>
      <c r="R93" s="19"/>
      <c r="S93" s="19"/>
      <c r="T93" s="19"/>
      <c r="U93" s="19"/>
      <c r="V93" s="19"/>
    </row>
    <row r="94" customFormat="false" ht="12" hidden="false" customHeight="true" outlineLevel="0" collapsed="false">
      <c r="A94" s="19"/>
      <c r="B94" s="534"/>
      <c r="C94" s="534"/>
      <c r="D94" s="452" t="n">
        <v>30</v>
      </c>
      <c r="E94" s="452"/>
      <c r="F94" s="452" t="n">
        <v>30</v>
      </c>
      <c r="G94" s="452"/>
      <c r="H94" s="452" t="n">
        <v>90</v>
      </c>
      <c r="I94" s="452"/>
      <c r="J94" s="535" t="n">
        <v>-23.99</v>
      </c>
      <c r="K94" s="19"/>
      <c r="L94" s="19"/>
      <c r="M94" s="19"/>
      <c r="N94" s="19"/>
      <c r="O94" s="19"/>
      <c r="P94" s="19"/>
      <c r="Q94" s="19"/>
      <c r="R94" s="19"/>
      <c r="S94" s="19"/>
      <c r="T94" s="19"/>
      <c r="U94" s="19"/>
      <c r="V94" s="19"/>
    </row>
    <row r="95" customFormat="false" ht="12" hidden="false" customHeight="true" outlineLevel="0" collapsed="false">
      <c r="A95" s="19"/>
      <c r="B95" s="534"/>
      <c r="C95" s="534"/>
      <c r="D95" s="452"/>
      <c r="E95" s="452"/>
      <c r="F95" s="452"/>
      <c r="G95" s="452"/>
      <c r="H95" s="452"/>
      <c r="I95" s="452"/>
      <c r="J95" s="452"/>
      <c r="K95" s="19"/>
      <c r="L95" s="19"/>
      <c r="M95" s="19"/>
      <c r="N95" s="19"/>
      <c r="O95" s="19"/>
      <c r="P95" s="19"/>
      <c r="Q95" s="19"/>
      <c r="R95" s="19"/>
      <c r="S95" s="19"/>
      <c r="T95" s="19"/>
      <c r="U95" s="19"/>
      <c r="V95" s="19"/>
    </row>
    <row r="96" customFormat="false" ht="12" hidden="false" customHeight="true" outlineLevel="0" collapsed="false">
      <c r="A96" s="19"/>
      <c r="B96" s="533" t="s">
        <v>639</v>
      </c>
      <c r="C96" s="533"/>
      <c r="D96" s="452" t="n">
        <v>2</v>
      </c>
      <c r="E96" s="452"/>
      <c r="F96" s="452" t="n">
        <v>30</v>
      </c>
      <c r="G96" s="452"/>
      <c r="H96" s="452" t="n">
        <v>0</v>
      </c>
      <c r="I96" s="452"/>
      <c r="J96" s="535" t="n">
        <v>-1.91</v>
      </c>
      <c r="K96" s="19"/>
      <c r="L96" s="19" t="s">
        <v>0</v>
      </c>
      <c r="M96" s="19"/>
      <c r="N96" s="19"/>
      <c r="O96" s="19"/>
      <c r="P96" s="19"/>
      <c r="Q96" s="19"/>
      <c r="R96" s="19"/>
      <c r="S96" s="19"/>
      <c r="T96" s="19"/>
      <c r="U96" s="19"/>
      <c r="V96" s="19"/>
    </row>
    <row r="97" customFormat="false" ht="12" hidden="false" customHeight="true" outlineLevel="0" collapsed="false">
      <c r="A97" s="19"/>
      <c r="B97" s="533" t="s">
        <v>640</v>
      </c>
      <c r="C97" s="533"/>
      <c r="D97" s="452" t="n">
        <v>2</v>
      </c>
      <c r="E97" s="452"/>
      <c r="F97" s="452" t="n">
        <v>30</v>
      </c>
      <c r="G97" s="452"/>
      <c r="H97" s="452" t="n">
        <v>45</v>
      </c>
      <c r="I97" s="452"/>
      <c r="J97" s="535" t="n">
        <v>-2.75</v>
      </c>
      <c r="K97" s="19"/>
      <c r="L97" s="541" t="s">
        <v>641</v>
      </c>
      <c r="M97" s="227"/>
      <c r="N97" s="227"/>
      <c r="O97" s="227"/>
      <c r="P97" s="228"/>
      <c r="Q97" s="19"/>
      <c r="R97" s="19"/>
      <c r="S97" s="19"/>
      <c r="T97" s="19"/>
      <c r="U97" s="19"/>
      <c r="V97" s="19"/>
    </row>
    <row r="98" customFormat="false" ht="12" hidden="false" customHeight="true" outlineLevel="0" collapsed="false">
      <c r="A98" s="19"/>
      <c r="B98" s="533"/>
      <c r="C98" s="533"/>
      <c r="D98" s="452" t="n">
        <v>2</v>
      </c>
      <c r="E98" s="452"/>
      <c r="F98" s="452" t="n">
        <v>30</v>
      </c>
      <c r="G98" s="452"/>
      <c r="H98" s="452" t="n">
        <v>90</v>
      </c>
      <c r="I98" s="452"/>
      <c r="J98" s="535" t="n">
        <v>-3.79</v>
      </c>
      <c r="K98" s="19"/>
      <c r="L98" s="19"/>
      <c r="M98" s="19"/>
      <c r="N98" s="19"/>
      <c r="O98" s="19"/>
      <c r="P98" s="19"/>
      <c r="Q98" s="19"/>
      <c r="R98" s="19"/>
      <c r="S98" s="19"/>
      <c r="T98" s="19"/>
      <c r="U98" s="19"/>
      <c r="V98" s="19"/>
    </row>
    <row r="99" customFormat="false" ht="12" hidden="false" customHeight="true" outlineLevel="0" collapsed="false">
      <c r="A99" s="19"/>
      <c r="B99" s="391"/>
      <c r="C99" s="391"/>
      <c r="D99" s="426"/>
      <c r="E99" s="426"/>
      <c r="F99" s="426"/>
      <c r="G99" s="426"/>
      <c r="H99" s="426"/>
      <c r="I99" s="426"/>
      <c r="J99" s="426"/>
      <c r="K99" s="19"/>
      <c r="L99" s="19"/>
      <c r="M99" s="19"/>
      <c r="N99" s="19"/>
      <c r="O99" s="19"/>
      <c r="P99" s="19"/>
      <c r="Q99" s="19"/>
      <c r="R99" s="19"/>
      <c r="S99" s="19"/>
      <c r="T99" s="19"/>
      <c r="U99" s="19"/>
      <c r="V99" s="19"/>
    </row>
    <row r="100" customFormat="false" ht="12" hidden="false" customHeight="true" outlineLevel="0" collapsed="false">
      <c r="A100" s="19"/>
      <c r="B100" s="19"/>
      <c r="C100" s="19"/>
      <c r="D100" s="98"/>
      <c r="E100" s="98"/>
      <c r="F100" s="98"/>
      <c r="G100" s="98"/>
      <c r="H100" s="98"/>
      <c r="I100" s="98"/>
      <c r="J100" s="98"/>
      <c r="K100" s="19"/>
      <c r="L100" s="19"/>
      <c r="M100" s="19"/>
      <c r="N100" s="19"/>
      <c r="O100" s="19"/>
      <c r="P100" s="19"/>
      <c r="Q100" s="19"/>
      <c r="R100" s="19"/>
      <c r="S100" s="19"/>
      <c r="T100" s="19"/>
      <c r="U100" s="19"/>
      <c r="V100" s="19"/>
    </row>
    <row r="101" customFormat="false" ht="12" hidden="false" customHeight="true" outlineLevel="0" collapsed="false">
      <c r="A101" s="19"/>
      <c r="B101" s="543"/>
      <c r="C101" s="19"/>
      <c r="D101" s="98"/>
      <c r="E101" s="98"/>
      <c r="F101" s="98"/>
      <c r="G101" s="98"/>
      <c r="H101" s="98"/>
      <c r="I101" s="98"/>
      <c r="J101" s="98"/>
      <c r="K101" s="19"/>
      <c r="L101" s="19"/>
      <c r="M101" s="19"/>
      <c r="N101" s="19"/>
      <c r="O101" s="19"/>
      <c r="P101" s="19"/>
      <c r="Q101" s="19"/>
      <c r="R101" s="19"/>
      <c r="S101" s="19"/>
      <c r="T101" s="19"/>
      <c r="U101" s="19"/>
      <c r="V101" s="19"/>
    </row>
    <row r="102" customFormat="false" ht="12" hidden="false" customHeight="true" outlineLevel="0" collapsed="false">
      <c r="A102" s="19"/>
      <c r="B102" s="543"/>
      <c r="C102" s="19"/>
      <c r="D102" s="98"/>
      <c r="E102" s="98"/>
      <c r="F102" s="98"/>
      <c r="G102" s="98"/>
      <c r="H102" s="98"/>
      <c r="I102" s="98"/>
      <c r="J102" s="98"/>
      <c r="K102" s="19"/>
      <c r="L102" s="19"/>
      <c r="M102" s="19"/>
      <c r="N102" s="19"/>
      <c r="O102" s="19"/>
      <c r="P102" s="19"/>
      <c r="Q102" s="19"/>
      <c r="R102" s="19"/>
      <c r="S102" s="19"/>
      <c r="T102" s="19"/>
      <c r="U102" s="19"/>
      <c r="V102" s="19"/>
    </row>
    <row r="103" customFormat="false" ht="12" hidden="false" customHeight="true" outlineLevel="0" collapsed="false">
      <c r="A103" s="19"/>
      <c r="B103" s="19"/>
      <c r="C103" s="19"/>
      <c r="D103" s="98"/>
      <c r="E103" s="98"/>
      <c r="F103" s="98"/>
      <c r="G103" s="98"/>
      <c r="H103" s="98"/>
      <c r="I103" s="98"/>
      <c r="J103" s="98"/>
      <c r="K103" s="19"/>
      <c r="L103" s="19"/>
      <c r="M103" s="19"/>
      <c r="N103" s="19"/>
      <c r="O103" s="19"/>
      <c r="P103" s="19"/>
      <c r="Q103" s="19"/>
      <c r="R103" s="19"/>
      <c r="S103" s="19"/>
      <c r="T103" s="19"/>
      <c r="U103" s="19"/>
      <c r="V103" s="19"/>
    </row>
    <row r="104" customFormat="false" ht="12" hidden="false" customHeight="true" outlineLevel="0" collapsed="false">
      <c r="A104" s="19"/>
      <c r="B104" s="19"/>
      <c r="C104" s="19"/>
      <c r="D104" s="98"/>
      <c r="E104" s="98"/>
      <c r="F104" s="98"/>
      <c r="G104" s="98"/>
      <c r="H104" s="98"/>
      <c r="I104" s="98"/>
      <c r="J104" s="98"/>
      <c r="K104" s="19"/>
      <c r="L104" s="19"/>
      <c r="M104" s="19"/>
      <c r="N104" s="19"/>
      <c r="O104" s="19"/>
      <c r="P104" s="19"/>
      <c r="Q104" s="19"/>
      <c r="R104" s="19"/>
      <c r="S104" s="19"/>
      <c r="T104" s="19"/>
      <c r="U104" s="19"/>
      <c r="V104" s="19"/>
    </row>
    <row r="105" customFormat="false" ht="12" hidden="false" customHeight="true" outlineLevel="0" collapsed="false">
      <c r="A105" s="19"/>
      <c r="B105" s="19"/>
      <c r="C105" s="19"/>
      <c r="D105" s="98"/>
      <c r="E105" s="98"/>
      <c r="F105" s="98"/>
      <c r="G105" s="98"/>
      <c r="H105" s="98"/>
      <c r="I105" s="98"/>
      <c r="J105" s="98"/>
      <c r="K105" s="19"/>
      <c r="L105" s="19"/>
      <c r="M105" s="19"/>
      <c r="N105" s="19"/>
      <c r="O105" s="19"/>
      <c r="P105" s="19"/>
      <c r="Q105" s="19"/>
      <c r="R105" s="19"/>
      <c r="S105" s="19"/>
      <c r="T105" s="19"/>
      <c r="U105" s="19"/>
      <c r="V105" s="19"/>
    </row>
    <row r="106" customFormat="false" ht="12" hidden="false" customHeight="true" outlineLevel="0" collapsed="false">
      <c r="A106" s="19"/>
      <c r="B106" s="19"/>
      <c r="C106" s="19"/>
      <c r="D106" s="98"/>
      <c r="E106" s="98"/>
      <c r="F106" s="98"/>
      <c r="G106" s="98"/>
      <c r="H106" s="98"/>
      <c r="I106" s="98"/>
      <c r="J106" s="98"/>
      <c r="K106" s="19"/>
      <c r="L106" s="19"/>
      <c r="M106" s="19"/>
      <c r="N106" s="19"/>
      <c r="O106" s="19"/>
      <c r="P106" s="19"/>
      <c r="Q106" s="19"/>
      <c r="R106" s="19"/>
      <c r="S106" s="19"/>
      <c r="T106" s="19"/>
      <c r="U106" s="19"/>
      <c r="V106" s="19"/>
    </row>
    <row r="107" customFormat="false" ht="12" hidden="false" customHeight="true" outlineLevel="0" collapsed="false">
      <c r="A107" s="19"/>
      <c r="B107" s="19"/>
      <c r="C107" s="19"/>
      <c r="D107" s="98"/>
      <c r="E107" s="98"/>
      <c r="F107" s="98"/>
      <c r="G107" s="98"/>
      <c r="H107" s="98"/>
      <c r="I107" s="98"/>
      <c r="J107" s="98"/>
      <c r="K107" s="19"/>
      <c r="L107" s="19"/>
      <c r="M107" s="19"/>
      <c r="N107" s="19"/>
      <c r="O107" s="19"/>
      <c r="P107" s="19"/>
      <c r="Q107" s="19"/>
      <c r="R107" s="19"/>
      <c r="S107" s="19"/>
      <c r="T107" s="19"/>
      <c r="U107" s="19"/>
      <c r="V107" s="19"/>
    </row>
    <row r="108" customFormat="false" ht="12" hidden="false" customHeight="true" outlineLevel="0" collapsed="false">
      <c r="A108" s="19"/>
      <c r="B108" s="19"/>
      <c r="C108" s="19"/>
      <c r="D108" s="98"/>
      <c r="E108" s="98"/>
      <c r="F108" s="98"/>
      <c r="G108" s="98"/>
      <c r="H108" s="98"/>
      <c r="I108" s="98"/>
      <c r="J108" s="98"/>
      <c r="K108" s="19"/>
      <c r="L108" s="19"/>
      <c r="M108" s="19"/>
      <c r="N108" s="19"/>
      <c r="O108" s="19"/>
      <c r="P108" s="19"/>
      <c r="Q108" s="19"/>
      <c r="R108" s="19"/>
      <c r="S108" s="19"/>
      <c r="T108" s="19"/>
      <c r="U108" s="19"/>
      <c r="V108" s="19"/>
    </row>
    <row r="109" customFormat="false" ht="12" hidden="false" customHeight="true" outlineLevel="0" collapsed="false">
      <c r="A109" s="19"/>
      <c r="B109" s="19"/>
      <c r="C109" s="19"/>
      <c r="D109" s="98"/>
      <c r="E109" s="98"/>
      <c r="F109" s="98"/>
      <c r="G109" s="98"/>
      <c r="H109" s="98"/>
      <c r="I109" s="98"/>
      <c r="J109" s="98"/>
      <c r="K109" s="19"/>
      <c r="L109" s="19"/>
      <c r="M109" s="19"/>
      <c r="N109" s="19"/>
      <c r="O109" s="19"/>
      <c r="P109" s="19"/>
      <c r="Q109" s="19"/>
      <c r="R109" s="19"/>
      <c r="S109" s="19"/>
      <c r="T109" s="19"/>
      <c r="U109" s="19"/>
      <c r="V109" s="19"/>
    </row>
    <row r="110" customFormat="false" ht="12" hidden="false" customHeight="true" outlineLevel="0" collapsed="false">
      <c r="A110" s="19"/>
      <c r="B110" s="19"/>
      <c r="C110" s="19"/>
      <c r="D110" s="98"/>
      <c r="E110" s="98"/>
      <c r="F110" s="98"/>
      <c r="G110" s="98"/>
      <c r="H110" s="98"/>
      <c r="I110" s="98"/>
      <c r="J110" s="98"/>
      <c r="K110" s="19"/>
      <c r="L110" s="19"/>
      <c r="M110" s="19"/>
      <c r="N110" s="19"/>
      <c r="O110" s="19"/>
      <c r="P110" s="19"/>
      <c r="Q110" s="19"/>
      <c r="R110" s="19"/>
      <c r="S110" s="19"/>
      <c r="T110" s="19"/>
      <c r="U110" s="19"/>
      <c r="V110" s="19"/>
    </row>
    <row r="111" customFormat="false" ht="12" hidden="false" customHeight="true" outlineLevel="0" collapsed="false">
      <c r="A111" s="19"/>
      <c r="B111" s="19"/>
      <c r="C111" s="19"/>
      <c r="D111" s="98"/>
      <c r="E111" s="98"/>
      <c r="F111" s="98"/>
      <c r="G111" s="98"/>
      <c r="H111" s="98"/>
      <c r="I111" s="98"/>
      <c r="J111" s="98"/>
      <c r="K111" s="19"/>
      <c r="L111" s="19"/>
      <c r="M111" s="19"/>
      <c r="N111" s="19"/>
      <c r="O111" s="19"/>
      <c r="P111" s="19"/>
      <c r="Q111" s="19"/>
      <c r="R111" s="19"/>
      <c r="S111" s="19"/>
      <c r="T111" s="19"/>
      <c r="U111" s="19"/>
      <c r="V111" s="19"/>
    </row>
    <row r="112" customFormat="false" ht="12" hidden="false" customHeight="true" outlineLevel="0" collapsed="false">
      <c r="A112" s="19"/>
      <c r="B112" s="19"/>
      <c r="C112" s="19"/>
      <c r="D112" s="98"/>
      <c r="E112" s="98"/>
      <c r="F112" s="98"/>
      <c r="G112" s="98"/>
      <c r="H112" s="98"/>
      <c r="I112" s="98"/>
      <c r="J112" s="98"/>
      <c r="K112" s="19"/>
      <c r="L112" s="19"/>
      <c r="M112" s="19"/>
      <c r="N112" s="19"/>
      <c r="O112" s="19"/>
      <c r="P112" s="19"/>
      <c r="Q112" s="19"/>
      <c r="R112" s="19"/>
      <c r="S112" s="19"/>
      <c r="T112" s="19"/>
      <c r="U112" s="19"/>
      <c r="V112" s="19"/>
    </row>
    <row r="113" customFormat="false" ht="12" hidden="false" customHeight="true" outlineLevel="0" collapsed="false">
      <c r="A113" s="19"/>
      <c r="B113" s="19"/>
      <c r="C113" s="19"/>
      <c r="D113" s="98"/>
      <c r="E113" s="98"/>
      <c r="F113" s="98"/>
      <c r="G113" s="98"/>
      <c r="H113" s="98"/>
      <c r="I113" s="98"/>
      <c r="J113" s="98"/>
      <c r="K113" s="19"/>
      <c r="L113" s="19"/>
      <c r="M113" s="19"/>
      <c r="N113" s="19"/>
      <c r="O113" s="19"/>
      <c r="P113" s="19"/>
      <c r="Q113" s="19"/>
      <c r="R113" s="19"/>
      <c r="S113" s="19"/>
      <c r="T113" s="19"/>
      <c r="U113" s="19"/>
      <c r="V113" s="19"/>
    </row>
    <row r="114" customFormat="false" ht="12" hidden="false" customHeight="true" outlineLevel="0" collapsed="false">
      <c r="A114" s="19"/>
      <c r="B114" s="19"/>
      <c r="C114" s="19"/>
      <c r="D114" s="98"/>
      <c r="E114" s="98"/>
      <c r="F114" s="98"/>
      <c r="G114" s="98"/>
      <c r="H114" s="98"/>
      <c r="I114" s="98"/>
      <c r="J114" s="98"/>
      <c r="K114" s="19"/>
      <c r="L114" s="19"/>
      <c r="M114" s="19"/>
      <c r="N114" s="19"/>
      <c r="O114" s="19"/>
      <c r="P114" s="19"/>
      <c r="Q114" s="19"/>
      <c r="R114" s="19"/>
      <c r="S114" s="19"/>
      <c r="T114" s="19"/>
      <c r="U114" s="19"/>
      <c r="V114" s="19"/>
    </row>
    <row r="115" customFormat="false" ht="12" hidden="false" customHeight="true" outlineLevel="0" collapsed="false">
      <c r="D115" s="43"/>
      <c r="E115" s="43"/>
      <c r="F115" s="43"/>
      <c r="G115" s="43"/>
      <c r="H115" s="43"/>
      <c r="I115" s="43"/>
      <c r="J115" s="43"/>
    </row>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T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75"/>
    <col collapsed="false" customWidth="true" hidden="false" outlineLevel="0" max="2" min="2" style="1" width="10.25"/>
    <col collapsed="false" customWidth="true" hidden="false" outlineLevel="0" max="20" min="3" style="1" width="8.88"/>
    <col collapsed="false" customWidth="true" hidden="false" outlineLevel="0" max="26" min="21" style="1" width="14.38"/>
  </cols>
  <sheetData>
    <row r="1" customFormat="false" ht="18" hidden="false" customHeight="true" outlineLevel="0" collapsed="false">
      <c r="A1" s="39" t="s">
        <v>642</v>
      </c>
      <c r="B1" s="10"/>
      <c r="C1" s="10"/>
      <c r="D1" s="10"/>
      <c r="E1" s="10"/>
      <c r="F1" s="10"/>
      <c r="G1" s="10"/>
      <c r="H1" s="328" t="str">
        <f aca="false">'Title Page'!F3</f>
        <v>Coconut Cubesat</v>
      </c>
      <c r="I1" s="10"/>
      <c r="J1" s="10"/>
      <c r="K1" s="10"/>
      <c r="L1" s="10"/>
      <c r="M1" s="41" t="str">
        <f aca="false">'Title Page'!F23</f>
        <v>2025 June 06</v>
      </c>
      <c r="N1" s="10"/>
      <c r="O1" s="10"/>
      <c r="P1" s="10"/>
      <c r="Q1" s="10"/>
      <c r="R1" s="10"/>
      <c r="S1" s="10"/>
      <c r="T1" s="10"/>
    </row>
    <row r="2" customFormat="false" ht="12" hidden="false" customHeight="true" outlineLevel="0" collapsed="false">
      <c r="A2" s="42"/>
      <c r="B2" s="42"/>
      <c r="C2" s="42"/>
      <c r="D2" s="42"/>
      <c r="E2" s="42"/>
      <c r="F2" s="42"/>
      <c r="G2" s="42"/>
      <c r="H2" s="42"/>
      <c r="I2" s="42"/>
      <c r="J2" s="42"/>
      <c r="K2" s="42"/>
      <c r="L2" s="42"/>
      <c r="M2" s="42"/>
      <c r="N2" s="42"/>
      <c r="O2" s="42"/>
      <c r="P2" s="42"/>
      <c r="Q2" s="42"/>
    </row>
    <row r="3" customFormat="false" ht="12" hidden="false" customHeight="true" outlineLevel="0" collapsed="false">
      <c r="A3" s="42"/>
      <c r="B3" s="544" t="s">
        <v>643</v>
      </c>
      <c r="C3" s="545"/>
      <c r="D3" s="545"/>
      <c r="E3" s="546"/>
      <c r="F3" s="42"/>
      <c r="G3" s="42"/>
      <c r="H3" s="433" t="s">
        <v>644</v>
      </c>
      <c r="I3" s="433"/>
      <c r="J3" s="433"/>
      <c r="K3" s="433"/>
      <c r="L3" s="433"/>
      <c r="M3" s="433"/>
      <c r="N3" s="433"/>
      <c r="O3" s="433"/>
      <c r="P3" s="42"/>
      <c r="Q3" s="42"/>
    </row>
    <row r="4" customFormat="false" ht="12" hidden="false" customHeight="true" outlineLevel="0" collapsed="false">
      <c r="A4" s="42"/>
      <c r="B4" s="547" t="s">
        <v>645</v>
      </c>
      <c r="C4" s="548"/>
      <c r="D4" s="19"/>
      <c r="E4" s="413"/>
      <c r="F4" s="42"/>
      <c r="G4" s="42"/>
      <c r="H4" s="42"/>
      <c r="I4" s="42"/>
      <c r="J4" s="42"/>
      <c r="K4" s="42"/>
      <c r="L4" s="42"/>
      <c r="M4" s="42"/>
      <c r="N4" s="42"/>
      <c r="O4" s="42"/>
      <c r="P4" s="42"/>
      <c r="Q4" s="42"/>
    </row>
    <row r="5" customFormat="false" ht="12" hidden="false" customHeight="true" outlineLevel="0" collapsed="false">
      <c r="A5" s="42"/>
      <c r="B5" s="549" t="s">
        <v>244</v>
      </c>
      <c r="C5" s="550"/>
      <c r="D5" s="551" t="s">
        <v>646</v>
      </c>
      <c r="E5" s="552" t="s">
        <v>208</v>
      </c>
      <c r="F5" s="42"/>
      <c r="G5" s="42"/>
      <c r="H5" s="42"/>
      <c r="I5" s="42"/>
      <c r="J5" s="42"/>
      <c r="K5" s="42"/>
      <c r="L5" s="42"/>
      <c r="M5" s="42"/>
      <c r="N5" s="42"/>
      <c r="O5" s="42"/>
      <c r="P5" s="42"/>
      <c r="Q5" s="42"/>
    </row>
    <row r="6" customFormat="false" ht="12" hidden="false" customHeight="true" outlineLevel="0" collapsed="false">
      <c r="A6" s="42"/>
      <c r="B6" s="553" t="n">
        <v>0</v>
      </c>
      <c r="C6" s="19" t="s">
        <v>215</v>
      </c>
      <c r="D6" s="98" t="n">
        <v>10.2</v>
      </c>
      <c r="E6" s="413" t="s">
        <v>258</v>
      </c>
      <c r="F6" s="42"/>
      <c r="G6" s="42" t="s">
        <v>647</v>
      </c>
      <c r="H6" s="42"/>
      <c r="I6" s="42"/>
      <c r="J6" s="42"/>
      <c r="K6" s="42"/>
      <c r="L6" s="42"/>
      <c r="M6" s="42"/>
      <c r="N6" s="42"/>
      <c r="O6" s="42"/>
      <c r="P6" s="42"/>
      <c r="Q6" s="42"/>
    </row>
    <row r="7" customFormat="false" ht="12" hidden="false" customHeight="true" outlineLevel="0" collapsed="false">
      <c r="A7" s="42"/>
      <c r="B7" s="553"/>
      <c r="C7" s="19"/>
      <c r="D7" s="98"/>
      <c r="E7" s="413"/>
      <c r="F7" s="42"/>
      <c r="G7" s="42" t="s">
        <v>648</v>
      </c>
      <c r="H7" s="42"/>
      <c r="I7" s="42"/>
      <c r="J7" s="42"/>
      <c r="K7" s="42"/>
      <c r="L7" s="42"/>
      <c r="M7" s="42"/>
      <c r="N7" s="42"/>
      <c r="O7" s="42"/>
      <c r="P7" s="42"/>
      <c r="Q7" s="42"/>
    </row>
    <row r="8" customFormat="false" ht="12" hidden="false" customHeight="true" outlineLevel="0" collapsed="false">
      <c r="A8" s="42"/>
      <c r="B8" s="553" t="n">
        <v>2.5</v>
      </c>
      <c r="C8" s="19" t="s">
        <v>215</v>
      </c>
      <c r="D8" s="98" t="n">
        <v>4.6</v>
      </c>
      <c r="E8" s="413" t="s">
        <v>258</v>
      </c>
      <c r="F8" s="42"/>
      <c r="G8" s="42" t="s">
        <v>649</v>
      </c>
      <c r="H8" s="42"/>
      <c r="I8" s="42"/>
      <c r="J8" s="42"/>
      <c r="K8" s="42"/>
      <c r="L8" s="42"/>
      <c r="M8" s="42"/>
      <c r="N8" s="42"/>
      <c r="O8" s="42"/>
      <c r="P8" s="42"/>
      <c r="Q8" s="42"/>
    </row>
    <row r="9" customFormat="false" ht="12" hidden="false" customHeight="true" outlineLevel="0" collapsed="false">
      <c r="A9" s="42"/>
      <c r="B9" s="553"/>
      <c r="C9" s="19"/>
      <c r="D9" s="98"/>
      <c r="E9" s="413"/>
      <c r="F9" s="42"/>
      <c r="G9" s="42" t="s">
        <v>650</v>
      </c>
      <c r="H9" s="42"/>
      <c r="I9" s="42"/>
      <c r="J9" s="42"/>
      <c r="K9" s="42"/>
      <c r="L9" s="42"/>
      <c r="M9" s="42"/>
      <c r="N9" s="42"/>
      <c r="O9" s="42"/>
      <c r="P9" s="42"/>
      <c r="Q9" s="42"/>
    </row>
    <row r="10" customFormat="false" ht="12" hidden="false" customHeight="true" outlineLevel="0" collapsed="false">
      <c r="A10" s="42"/>
      <c r="B10" s="553" t="n">
        <v>5</v>
      </c>
      <c r="C10" s="19" t="s">
        <v>215</v>
      </c>
      <c r="D10" s="98" t="n">
        <v>2.1</v>
      </c>
      <c r="E10" s="413" t="s">
        <v>258</v>
      </c>
      <c r="F10" s="42"/>
      <c r="G10" s="42" t="s">
        <v>651</v>
      </c>
      <c r="H10" s="42"/>
      <c r="I10" s="42"/>
      <c r="J10" s="42"/>
      <c r="K10" s="42"/>
      <c r="L10" s="42"/>
      <c r="M10" s="42"/>
      <c r="N10" s="42"/>
      <c r="O10" s="42"/>
      <c r="P10" s="42"/>
      <c r="Q10" s="42"/>
    </row>
    <row r="11" customFormat="false" ht="12" hidden="false" customHeight="true" outlineLevel="0" collapsed="false">
      <c r="A11" s="42"/>
      <c r="B11" s="553"/>
      <c r="C11" s="19"/>
      <c r="D11" s="98"/>
      <c r="E11" s="413"/>
      <c r="F11" s="42"/>
      <c r="G11" s="42"/>
      <c r="H11" s="42"/>
      <c r="I11" s="42"/>
      <c r="J11" s="42"/>
      <c r="K11" s="42"/>
      <c r="L11" s="42"/>
      <c r="M11" s="42"/>
      <c r="N11" s="42"/>
      <c r="O11" s="42"/>
      <c r="P11" s="42"/>
      <c r="Q11" s="42"/>
    </row>
    <row r="12" customFormat="false" ht="12" hidden="false" customHeight="true" outlineLevel="0" collapsed="false">
      <c r="A12" s="42"/>
      <c r="B12" s="553" t="n">
        <v>10</v>
      </c>
      <c r="C12" s="19" t="s">
        <v>215</v>
      </c>
      <c r="D12" s="98" t="n">
        <v>1.1</v>
      </c>
      <c r="E12" s="413" t="s">
        <v>258</v>
      </c>
      <c r="F12" s="42"/>
      <c r="G12" s="42" t="s">
        <v>652</v>
      </c>
      <c r="H12" s="42"/>
      <c r="I12" s="42"/>
      <c r="J12" s="42"/>
      <c r="K12" s="42"/>
      <c r="L12" s="42"/>
      <c r="M12" s="42"/>
      <c r="N12" s="42"/>
      <c r="O12" s="42"/>
      <c r="P12" s="42"/>
      <c r="Q12" s="42"/>
    </row>
    <row r="13" customFormat="false" ht="12" hidden="false" customHeight="true" outlineLevel="0" collapsed="false">
      <c r="A13" s="42"/>
      <c r="B13" s="553"/>
      <c r="C13" s="19"/>
      <c r="D13" s="98"/>
      <c r="E13" s="413"/>
      <c r="F13" s="42"/>
      <c r="G13" s="42" t="s">
        <v>653</v>
      </c>
      <c r="H13" s="42"/>
      <c r="I13" s="42"/>
      <c r="J13" s="42"/>
      <c r="K13" s="42"/>
      <c r="L13" s="42"/>
      <c r="M13" s="42"/>
      <c r="N13" s="42"/>
      <c r="O13" s="42"/>
      <c r="P13" s="42"/>
      <c r="Q13" s="42"/>
    </row>
    <row r="14" customFormat="false" ht="12" hidden="false" customHeight="true" outlineLevel="0" collapsed="false">
      <c r="A14" s="42"/>
      <c r="B14" s="553" t="n">
        <v>30</v>
      </c>
      <c r="C14" s="19" t="s">
        <v>215</v>
      </c>
      <c r="D14" s="98" t="n">
        <v>0.4</v>
      </c>
      <c r="E14" s="413" t="s">
        <v>258</v>
      </c>
      <c r="F14" s="42"/>
      <c r="G14" s="42" t="s">
        <v>654</v>
      </c>
      <c r="H14" s="42"/>
      <c r="I14" s="42"/>
      <c r="J14" s="42"/>
      <c r="K14" s="42"/>
      <c r="L14" s="42"/>
      <c r="M14" s="42"/>
      <c r="N14" s="42"/>
      <c r="O14" s="42"/>
      <c r="P14" s="42"/>
      <c r="Q14" s="42"/>
    </row>
    <row r="15" customFormat="false" ht="12" hidden="false" customHeight="true" outlineLevel="0" collapsed="false">
      <c r="A15" s="42"/>
      <c r="B15" s="553"/>
      <c r="C15" s="19"/>
      <c r="D15" s="98"/>
      <c r="E15" s="413"/>
      <c r="F15" s="42"/>
      <c r="G15" s="42"/>
      <c r="H15" s="42"/>
      <c r="I15" s="42"/>
      <c r="J15" s="42"/>
      <c r="K15" s="42"/>
      <c r="L15" s="42"/>
      <c r="M15" s="42"/>
      <c r="N15" s="42"/>
      <c r="O15" s="42"/>
      <c r="P15" s="42"/>
      <c r="Q15" s="42"/>
    </row>
    <row r="16" customFormat="false" ht="12" hidden="false" customHeight="true" outlineLevel="0" collapsed="false">
      <c r="A16" s="42"/>
      <c r="B16" s="553" t="n">
        <v>45</v>
      </c>
      <c r="C16" s="19" t="s">
        <v>215</v>
      </c>
      <c r="D16" s="98" t="n">
        <v>0.3</v>
      </c>
      <c r="E16" s="413" t="s">
        <v>258</v>
      </c>
      <c r="F16" s="42"/>
      <c r="G16" s="42" t="s">
        <v>655</v>
      </c>
      <c r="H16" s="42"/>
      <c r="I16" s="42"/>
      <c r="J16" s="42"/>
      <c r="K16" s="42"/>
      <c r="L16" s="42"/>
      <c r="M16" s="42"/>
      <c r="N16" s="42"/>
      <c r="O16" s="42"/>
      <c r="P16" s="42"/>
      <c r="Q16" s="42"/>
    </row>
    <row r="17" customFormat="false" ht="12" hidden="false" customHeight="true" outlineLevel="0" collapsed="false">
      <c r="A17" s="42"/>
      <c r="B17" s="553"/>
      <c r="C17" s="19"/>
      <c r="D17" s="98"/>
      <c r="E17" s="413"/>
      <c r="F17" s="42"/>
      <c r="G17" s="42" t="s">
        <v>656</v>
      </c>
      <c r="H17" s="42"/>
      <c r="I17" s="42"/>
      <c r="J17" s="42"/>
      <c r="K17" s="42"/>
      <c r="L17" s="42"/>
      <c r="M17" s="42"/>
      <c r="N17" s="42"/>
      <c r="O17" s="42"/>
      <c r="P17" s="42"/>
      <c r="Q17" s="42"/>
    </row>
    <row r="18" customFormat="false" ht="12" hidden="false" customHeight="true" outlineLevel="0" collapsed="false">
      <c r="A18" s="42"/>
      <c r="B18" s="553" t="n">
        <v>90</v>
      </c>
      <c r="C18" s="19" t="s">
        <v>215</v>
      </c>
      <c r="D18" s="213" t="n">
        <v>0</v>
      </c>
      <c r="E18" s="413" t="s">
        <v>258</v>
      </c>
      <c r="F18" s="42"/>
      <c r="G18" s="42"/>
      <c r="H18" s="42"/>
      <c r="I18" s="42"/>
      <c r="J18" s="42"/>
      <c r="K18" s="42"/>
      <c r="L18" s="42"/>
      <c r="M18" s="42"/>
      <c r="N18" s="42"/>
      <c r="O18" s="42"/>
      <c r="P18" s="42"/>
      <c r="Q18" s="42"/>
    </row>
    <row r="19" customFormat="false" ht="12" hidden="false" customHeight="true" outlineLevel="0" collapsed="false">
      <c r="A19" s="42"/>
      <c r="B19" s="553"/>
      <c r="C19" s="19"/>
      <c r="D19" s="19"/>
      <c r="E19" s="413"/>
      <c r="F19" s="42"/>
      <c r="G19" s="42" t="s">
        <v>657</v>
      </c>
      <c r="H19" s="42"/>
      <c r="I19" s="42"/>
      <c r="J19" s="42"/>
      <c r="K19" s="42"/>
      <c r="L19" s="42"/>
      <c r="M19" s="42"/>
      <c r="N19" s="42"/>
      <c r="O19" s="42"/>
      <c r="P19" s="42"/>
      <c r="Q19" s="42"/>
    </row>
    <row r="20" customFormat="false" ht="12.75" hidden="false" customHeight="true" outlineLevel="0" collapsed="false">
      <c r="A20" s="42"/>
      <c r="B20" s="553"/>
      <c r="C20" s="19"/>
      <c r="D20" s="19"/>
      <c r="E20" s="413"/>
      <c r="F20" s="42"/>
      <c r="G20" s="42" t="s">
        <v>658</v>
      </c>
      <c r="H20" s="42"/>
      <c r="I20" s="42"/>
      <c r="J20" s="42"/>
      <c r="K20" s="42"/>
      <c r="L20" s="42"/>
      <c r="M20" s="42"/>
      <c r="N20" s="42"/>
      <c r="O20" s="42"/>
      <c r="P20" s="42"/>
      <c r="Q20" s="42"/>
    </row>
    <row r="21" customFormat="false" ht="12.75" hidden="false" customHeight="true" outlineLevel="0" collapsed="false">
      <c r="A21" s="42"/>
      <c r="B21" s="553" t="s">
        <v>659</v>
      </c>
      <c r="C21" s="19"/>
      <c r="D21" s="554" t="n">
        <v>10</v>
      </c>
      <c r="E21" s="19" t="s">
        <v>252</v>
      </c>
      <c r="F21" s="555" t="s">
        <v>60</v>
      </c>
      <c r="G21" s="42"/>
      <c r="H21" s="42"/>
      <c r="I21" s="42"/>
      <c r="J21" s="42"/>
      <c r="K21" s="42"/>
      <c r="L21" s="42"/>
      <c r="M21" s="42"/>
      <c r="N21" s="42"/>
      <c r="O21" s="42"/>
      <c r="P21" s="42"/>
      <c r="Q21" s="42"/>
    </row>
    <row r="22" customFormat="false" ht="12" hidden="false" customHeight="true" outlineLevel="0" collapsed="false">
      <c r="A22" s="42"/>
      <c r="B22" s="553"/>
      <c r="C22" s="19"/>
      <c r="D22" s="19"/>
      <c r="E22" s="413"/>
      <c r="F22" s="42"/>
      <c r="G22" s="42" t="s">
        <v>660</v>
      </c>
      <c r="H22" s="42"/>
      <c r="I22" s="42"/>
      <c r="J22" s="42"/>
      <c r="K22" s="42"/>
      <c r="L22" s="42"/>
      <c r="M22" s="42"/>
      <c r="N22" s="42"/>
      <c r="O22" s="42"/>
      <c r="P22" s="42"/>
      <c r="Q22" s="42"/>
    </row>
    <row r="23" customFormat="false" ht="12" hidden="false" customHeight="true" outlineLevel="0" collapsed="false">
      <c r="A23" s="42"/>
      <c r="B23" s="553" t="s">
        <v>661</v>
      </c>
      <c r="C23" s="19"/>
      <c r="D23" s="556" t="n">
        <f aca="false" t="array" ref="D23:D23">IF(D21&lt;B8,4.6,INDEX(D6:D18,MATCH(D21,B6:B18,1),1))</f>
        <v>1.1</v>
      </c>
      <c r="E23" s="413" t="s">
        <v>258</v>
      </c>
      <c r="F23" s="42"/>
      <c r="G23" s="42" t="s">
        <v>662</v>
      </c>
      <c r="H23" s="42"/>
      <c r="I23" s="42"/>
      <c r="J23" s="42"/>
      <c r="K23" s="42"/>
      <c r="L23" s="42"/>
      <c r="M23" s="42"/>
      <c r="N23" s="42"/>
      <c r="O23" s="42"/>
      <c r="P23" s="42"/>
      <c r="Q23" s="42"/>
    </row>
    <row r="24" customFormat="false" ht="12" hidden="false" customHeight="true" outlineLevel="0" collapsed="false">
      <c r="A24" s="42"/>
      <c r="B24" s="540"/>
      <c r="C24" s="479"/>
      <c r="D24" s="479"/>
      <c r="E24" s="480"/>
      <c r="F24" s="42"/>
      <c r="G24" s="516"/>
      <c r="H24" s="516"/>
      <c r="I24" s="516"/>
      <c r="J24" s="516"/>
      <c r="K24" s="516"/>
      <c r="L24" s="516"/>
      <c r="M24" s="516"/>
      <c r="N24" s="516"/>
      <c r="O24" s="516"/>
      <c r="P24" s="516"/>
      <c r="Q24" s="42"/>
    </row>
    <row r="25" customFormat="false" ht="12" hidden="false" customHeight="true" outlineLevel="0" collapsed="false">
      <c r="A25" s="42"/>
      <c r="B25" s="42"/>
      <c r="C25" s="42"/>
      <c r="D25" s="42"/>
      <c r="E25" s="42"/>
      <c r="F25" s="42"/>
      <c r="G25" s="42"/>
      <c r="H25" s="42"/>
      <c r="I25" s="42"/>
      <c r="J25" s="42"/>
      <c r="K25" s="42"/>
      <c r="L25" s="42"/>
      <c r="M25" s="42"/>
      <c r="N25" s="42"/>
      <c r="O25" s="42"/>
      <c r="P25" s="42"/>
      <c r="Q25" s="42"/>
    </row>
    <row r="26" customFormat="false" ht="12" hidden="false" customHeight="true" outlineLevel="0" collapsed="false">
      <c r="A26" s="42"/>
      <c r="B26" s="42"/>
      <c r="C26" s="42"/>
      <c r="D26" s="42"/>
      <c r="E26" s="42"/>
      <c r="F26" s="42"/>
      <c r="G26" s="42"/>
      <c r="H26" s="433" t="s">
        <v>663</v>
      </c>
      <c r="I26" s="42"/>
      <c r="J26" s="42"/>
      <c r="K26" s="42"/>
      <c r="L26" s="42"/>
      <c r="M26" s="42"/>
      <c r="N26" s="42"/>
      <c r="O26" s="42"/>
      <c r="P26" s="42"/>
      <c r="Q26" s="42"/>
    </row>
    <row r="27" customFormat="false" ht="12" hidden="false" customHeight="true" outlineLevel="0" collapsed="false">
      <c r="A27" s="42"/>
      <c r="B27" s="42"/>
      <c r="C27" s="42"/>
      <c r="D27" s="42" t="s">
        <v>0</v>
      </c>
      <c r="E27" s="42"/>
      <c r="F27" s="42"/>
      <c r="G27" s="42"/>
      <c r="H27" s="42"/>
      <c r="I27" s="42"/>
      <c r="J27" s="42"/>
      <c r="K27" s="42"/>
      <c r="L27" s="42"/>
      <c r="M27" s="42"/>
      <c r="N27" s="42"/>
      <c r="O27" s="42"/>
      <c r="P27" s="42"/>
      <c r="Q27" s="42"/>
    </row>
    <row r="28" customFormat="false" ht="12" hidden="false" customHeight="true" outlineLevel="0" collapsed="false">
      <c r="A28" s="42"/>
      <c r="B28" s="544" t="s">
        <v>664</v>
      </c>
      <c r="C28" s="557"/>
      <c r="D28" s="557"/>
      <c r="E28" s="546"/>
      <c r="F28" s="42"/>
      <c r="G28" s="42" t="s">
        <v>665</v>
      </c>
      <c r="H28" s="42"/>
      <c r="I28" s="42"/>
      <c r="J28" s="42"/>
      <c r="K28" s="42"/>
      <c r="L28" s="42"/>
      <c r="M28" s="42"/>
      <c r="N28" s="42"/>
      <c r="O28" s="42"/>
      <c r="P28" s="42"/>
      <c r="Q28" s="42"/>
    </row>
    <row r="29" customFormat="false" ht="12" hidden="false" customHeight="true" outlineLevel="0" collapsed="false">
      <c r="A29" s="42"/>
      <c r="B29" s="558" t="s">
        <v>312</v>
      </c>
      <c r="C29" s="19" t="s">
        <v>666</v>
      </c>
      <c r="D29" s="19"/>
      <c r="E29" s="559" t="n">
        <f aca="false">'Uplink Budget'!B17</f>
        <v>0.4</v>
      </c>
      <c r="F29" s="42"/>
      <c r="G29" s="560" t="s">
        <v>667</v>
      </c>
      <c r="H29" s="42"/>
      <c r="I29" s="42"/>
      <c r="J29" s="42"/>
      <c r="K29" s="42"/>
      <c r="L29" s="42"/>
      <c r="M29" s="42"/>
      <c r="N29" s="42"/>
      <c r="O29" s="42"/>
      <c r="P29" s="42"/>
      <c r="Q29" s="42"/>
    </row>
    <row r="30" customFormat="false" ht="12" hidden="false" customHeight="true" outlineLevel="0" collapsed="false">
      <c r="A30" s="42"/>
      <c r="B30" s="561" t="s">
        <v>309</v>
      </c>
      <c r="C30" s="551" t="s">
        <v>208</v>
      </c>
      <c r="D30" s="551" t="s">
        <v>646</v>
      </c>
      <c r="E30" s="552" t="s">
        <v>208</v>
      </c>
      <c r="F30" s="42"/>
      <c r="G30" s="42" t="s">
        <v>668</v>
      </c>
      <c r="H30" s="42"/>
      <c r="I30" s="42"/>
      <c r="J30" s="42"/>
      <c r="K30" s="42"/>
      <c r="L30" s="42"/>
      <c r="M30" s="42"/>
      <c r="N30" s="42"/>
      <c r="O30" s="42"/>
      <c r="P30" s="42"/>
      <c r="Q30" s="42"/>
    </row>
    <row r="31" customFormat="false" ht="12" hidden="false" customHeight="true" outlineLevel="0" collapsed="false">
      <c r="A31" s="42"/>
      <c r="B31" s="553"/>
      <c r="C31" s="19"/>
      <c r="D31" s="19"/>
      <c r="E31" s="413"/>
      <c r="F31" s="42"/>
      <c r="G31" s="42" t="s">
        <v>669</v>
      </c>
      <c r="H31" s="42"/>
      <c r="I31" s="42"/>
      <c r="J31" s="42"/>
      <c r="K31" s="42"/>
      <c r="L31" s="42"/>
      <c r="M31" s="42"/>
      <c r="N31" s="42"/>
      <c r="O31" s="42"/>
      <c r="P31" s="42"/>
      <c r="Q31" s="42"/>
    </row>
    <row r="32" customFormat="false" ht="12" hidden="false" customHeight="true" outlineLevel="0" collapsed="false">
      <c r="A32" s="42"/>
      <c r="B32" s="541" t="n">
        <v>146</v>
      </c>
      <c r="C32" s="227" t="s">
        <v>314</v>
      </c>
      <c r="D32" s="562" t="n">
        <v>0.7</v>
      </c>
      <c r="E32" s="228" t="s">
        <v>258</v>
      </c>
      <c r="F32" s="42"/>
      <c r="G32" s="42" t="s">
        <v>670</v>
      </c>
      <c r="H32" s="42"/>
      <c r="I32" s="42"/>
      <c r="J32" s="42"/>
      <c r="K32" s="42"/>
      <c r="L32" s="42"/>
      <c r="M32" s="42"/>
      <c r="N32" s="42"/>
      <c r="O32" s="42"/>
      <c r="P32" s="42"/>
      <c r="Q32" s="42"/>
    </row>
    <row r="33" customFormat="false" ht="12" hidden="false" customHeight="true" outlineLevel="0" collapsed="false">
      <c r="A33" s="42"/>
      <c r="B33" s="541" t="n">
        <v>438</v>
      </c>
      <c r="C33" s="227" t="s">
        <v>314</v>
      </c>
      <c r="D33" s="562" t="n">
        <v>0.4</v>
      </c>
      <c r="E33" s="228" t="s">
        <v>258</v>
      </c>
      <c r="F33" s="42"/>
      <c r="G33" s="42"/>
      <c r="H33" s="42"/>
      <c r="I33" s="42"/>
      <c r="J33" s="42"/>
      <c r="K33" s="42"/>
      <c r="L33" s="42"/>
      <c r="M33" s="42"/>
      <c r="N33" s="42"/>
      <c r="O33" s="42"/>
      <c r="P33" s="42"/>
      <c r="Q33" s="42"/>
    </row>
    <row r="34" customFormat="false" ht="12.75" hidden="false" customHeight="true" outlineLevel="0" collapsed="false">
      <c r="A34" s="42"/>
      <c r="B34" s="541" t="n">
        <v>2410</v>
      </c>
      <c r="C34" s="227" t="s">
        <v>314</v>
      </c>
      <c r="D34" s="563" t="n">
        <v>0.1</v>
      </c>
      <c r="E34" s="228" t="s">
        <v>258</v>
      </c>
      <c r="F34" s="42"/>
      <c r="G34" s="42" t="s">
        <v>671</v>
      </c>
      <c r="H34" s="42"/>
      <c r="I34" s="42"/>
      <c r="J34" s="42"/>
      <c r="K34" s="42"/>
      <c r="L34" s="42"/>
      <c r="M34" s="42"/>
      <c r="N34" s="42"/>
      <c r="O34" s="42"/>
      <c r="P34" s="42"/>
      <c r="Q34" s="42"/>
    </row>
    <row r="35" customFormat="false" ht="12.75" hidden="false" customHeight="true" outlineLevel="0" collapsed="false">
      <c r="A35" s="42"/>
      <c r="B35" s="564" t="n">
        <f aca="false">Frequency!C13</f>
        <v>450</v>
      </c>
      <c r="C35" s="227" t="s">
        <v>314</v>
      </c>
      <c r="D35" s="565" t="n">
        <v>0.4</v>
      </c>
      <c r="E35" s="228" t="s">
        <v>258</v>
      </c>
      <c r="F35" s="42"/>
      <c r="G35" s="42" t="s">
        <v>672</v>
      </c>
      <c r="H35" s="42"/>
      <c r="I35" s="42"/>
      <c r="J35" s="42"/>
      <c r="K35" s="42"/>
      <c r="L35" s="42"/>
      <c r="M35" s="42"/>
      <c r="N35" s="42"/>
      <c r="O35" s="42"/>
      <c r="P35" s="42"/>
      <c r="Q35" s="42"/>
    </row>
    <row r="36" customFormat="false" ht="12" hidden="false" customHeight="true" outlineLevel="0" collapsed="false">
      <c r="A36" s="42"/>
      <c r="B36" s="540"/>
      <c r="C36" s="479"/>
      <c r="D36" s="479"/>
      <c r="E36" s="480"/>
      <c r="F36" s="42"/>
      <c r="G36" s="42" t="s">
        <v>673</v>
      </c>
      <c r="H36" s="42"/>
      <c r="I36" s="42"/>
      <c r="J36" s="42"/>
      <c r="K36" s="42"/>
      <c r="L36" s="42"/>
      <c r="M36" s="42"/>
      <c r="N36" s="42"/>
      <c r="O36" s="42"/>
      <c r="P36" s="42"/>
      <c r="Q36" s="42"/>
    </row>
    <row r="37" customFormat="false" ht="12" hidden="false" customHeight="true" outlineLevel="0" collapsed="false">
      <c r="A37" s="42"/>
      <c r="B37" s="42"/>
      <c r="C37" s="42"/>
      <c r="D37" s="42"/>
      <c r="E37" s="42"/>
      <c r="F37" s="42"/>
      <c r="G37" s="42" t="s">
        <v>674</v>
      </c>
      <c r="H37" s="42"/>
      <c r="I37" s="42"/>
      <c r="J37" s="42"/>
      <c r="K37" s="42"/>
      <c r="L37" s="42"/>
      <c r="M37" s="42"/>
      <c r="N37" s="42"/>
      <c r="O37" s="42"/>
      <c r="P37" s="42"/>
      <c r="Q37" s="42"/>
    </row>
    <row r="38" customFormat="false" ht="12" hidden="false" customHeight="true" outlineLevel="0" collapsed="false">
      <c r="A38" s="42"/>
      <c r="B38" s="566" t="s">
        <v>675</v>
      </c>
      <c r="C38" s="42"/>
      <c r="D38" s="42"/>
      <c r="E38" s="42"/>
      <c r="F38" s="42"/>
      <c r="G38" s="42" t="s">
        <v>676</v>
      </c>
      <c r="H38" s="42"/>
      <c r="I38" s="42"/>
      <c r="J38" s="42"/>
      <c r="K38" s="42"/>
      <c r="L38" s="42"/>
      <c r="M38" s="42"/>
      <c r="N38" s="42"/>
      <c r="O38" s="42"/>
      <c r="P38" s="42"/>
      <c r="Q38" s="42"/>
    </row>
    <row r="39" customFormat="false" ht="12" hidden="false" customHeight="true" outlineLevel="0" collapsed="false">
      <c r="A39" s="42"/>
      <c r="B39" s="42"/>
      <c r="C39" s="42"/>
      <c r="D39" s="42"/>
      <c r="E39" s="42"/>
      <c r="F39" s="42"/>
      <c r="G39" s="42"/>
      <c r="H39" s="42"/>
      <c r="I39" s="42"/>
      <c r="J39" s="42"/>
      <c r="K39" s="42"/>
      <c r="L39" s="42"/>
      <c r="M39" s="42"/>
      <c r="N39" s="42"/>
      <c r="O39" s="42"/>
      <c r="P39" s="42"/>
      <c r="Q39" s="42"/>
    </row>
    <row r="40" customFormat="false" ht="12" hidden="false" customHeight="true" outlineLevel="0" collapsed="false">
      <c r="A40" s="42"/>
      <c r="B40" s="42"/>
      <c r="C40" s="42"/>
      <c r="D40" s="42"/>
      <c r="E40" s="42"/>
      <c r="F40" s="42"/>
      <c r="G40" s="42" t="s">
        <v>677</v>
      </c>
      <c r="H40" s="42"/>
      <c r="I40" s="42"/>
      <c r="J40" s="42"/>
      <c r="K40" s="42"/>
      <c r="L40" s="42"/>
      <c r="M40" s="42"/>
      <c r="N40" s="42"/>
      <c r="O40" s="42"/>
      <c r="P40" s="42"/>
      <c r="Q40" s="42"/>
    </row>
    <row r="41" customFormat="false" ht="12" hidden="false" customHeight="true" outlineLevel="0" collapsed="false">
      <c r="A41" s="42"/>
      <c r="B41" s="544" t="s">
        <v>664</v>
      </c>
      <c r="C41" s="557"/>
      <c r="D41" s="557"/>
      <c r="E41" s="546"/>
      <c r="F41" s="42"/>
      <c r="G41" s="42" t="s">
        <v>678</v>
      </c>
      <c r="H41" s="42"/>
      <c r="I41" s="42"/>
      <c r="J41" s="42"/>
      <c r="K41" s="42"/>
      <c r="L41" s="42"/>
      <c r="M41" s="42"/>
      <c r="N41" s="42"/>
      <c r="O41" s="42"/>
      <c r="P41" s="42"/>
      <c r="Q41" s="42"/>
    </row>
    <row r="42" customFormat="false" ht="12" hidden="false" customHeight="true" outlineLevel="0" collapsed="false">
      <c r="A42" s="42"/>
      <c r="B42" s="567" t="s">
        <v>322</v>
      </c>
      <c r="C42" s="19" t="s">
        <v>679</v>
      </c>
      <c r="D42" s="19"/>
      <c r="E42" s="568" t="n">
        <f aca="false">'Downlink Budget'!B17</f>
        <v>0.4</v>
      </c>
      <c r="F42" s="42"/>
      <c r="G42" s="42" t="s">
        <v>680</v>
      </c>
      <c r="H42" s="42"/>
      <c r="I42" s="42"/>
      <c r="J42" s="42"/>
      <c r="K42" s="42"/>
      <c r="L42" s="42"/>
      <c r="M42" s="42"/>
      <c r="N42" s="42"/>
      <c r="O42" s="42"/>
      <c r="P42" s="42"/>
      <c r="Q42" s="42"/>
    </row>
    <row r="43" customFormat="false" ht="12" hidden="false" customHeight="true" outlineLevel="0" collapsed="false">
      <c r="A43" s="42"/>
      <c r="B43" s="569" t="s">
        <v>309</v>
      </c>
      <c r="C43" s="209" t="s">
        <v>208</v>
      </c>
      <c r="D43" s="209" t="s">
        <v>646</v>
      </c>
      <c r="E43" s="570" t="s">
        <v>208</v>
      </c>
      <c r="F43" s="42"/>
      <c r="G43" s="42" t="s">
        <v>681</v>
      </c>
      <c r="H43" s="42"/>
      <c r="I43" s="42"/>
      <c r="J43" s="42"/>
      <c r="K43" s="42"/>
      <c r="L43" s="42"/>
      <c r="M43" s="42"/>
      <c r="N43" s="42"/>
      <c r="O43" s="42"/>
      <c r="P43" s="42"/>
      <c r="Q43" s="42"/>
    </row>
    <row r="44" customFormat="false" ht="12" hidden="false" customHeight="true" outlineLevel="0" collapsed="false">
      <c r="A44" s="42"/>
      <c r="B44" s="553"/>
      <c r="C44" s="19"/>
      <c r="D44" s="19"/>
      <c r="E44" s="413"/>
      <c r="F44" s="42"/>
      <c r="G44" s="42"/>
      <c r="H44" s="42"/>
      <c r="I44" s="42"/>
      <c r="J44" s="42"/>
      <c r="K44" s="42"/>
      <c r="L44" s="42"/>
      <c r="M44" s="42"/>
      <c r="N44" s="42"/>
      <c r="O44" s="42"/>
      <c r="P44" s="42"/>
      <c r="Q44" s="42"/>
    </row>
    <row r="45" customFormat="false" ht="12" hidden="false" customHeight="true" outlineLevel="0" collapsed="false">
      <c r="A45" s="42"/>
      <c r="B45" s="541" t="n">
        <v>146</v>
      </c>
      <c r="C45" s="227" t="s">
        <v>314</v>
      </c>
      <c r="D45" s="571" t="n">
        <v>0.7</v>
      </c>
      <c r="E45" s="228" t="s">
        <v>258</v>
      </c>
      <c r="F45" s="42"/>
      <c r="G45" s="42" t="s">
        <v>682</v>
      </c>
      <c r="H45" s="42"/>
      <c r="I45" s="42"/>
      <c r="J45" s="42"/>
      <c r="K45" s="42"/>
      <c r="L45" s="42"/>
      <c r="M45" s="42"/>
      <c r="N45" s="42"/>
      <c r="O45" s="42"/>
      <c r="P45" s="42"/>
      <c r="Q45" s="42"/>
    </row>
    <row r="46" customFormat="false" ht="12" hidden="false" customHeight="true" outlineLevel="0" collapsed="false">
      <c r="A46" s="42"/>
      <c r="B46" s="541" t="n">
        <v>438</v>
      </c>
      <c r="C46" s="227" t="s">
        <v>314</v>
      </c>
      <c r="D46" s="571" t="n">
        <v>0.4</v>
      </c>
      <c r="E46" s="228" t="s">
        <v>258</v>
      </c>
      <c r="F46" s="42"/>
      <c r="G46" s="42" t="s">
        <v>683</v>
      </c>
      <c r="H46" s="42"/>
      <c r="I46" s="42"/>
      <c r="J46" s="42"/>
      <c r="K46" s="42"/>
      <c r="L46" s="42"/>
      <c r="M46" s="42"/>
      <c r="N46" s="42"/>
      <c r="O46" s="42"/>
      <c r="P46" s="42"/>
      <c r="Q46" s="42"/>
    </row>
    <row r="47" customFormat="false" ht="12" hidden="false" customHeight="true" outlineLevel="0" collapsed="false">
      <c r="A47" s="42"/>
      <c r="B47" s="541" t="n">
        <v>2410</v>
      </c>
      <c r="C47" s="227" t="s">
        <v>314</v>
      </c>
      <c r="D47" s="571" t="n">
        <v>0.1</v>
      </c>
      <c r="E47" s="228" t="s">
        <v>258</v>
      </c>
      <c r="F47" s="42"/>
      <c r="G47" s="42" t="s">
        <v>684</v>
      </c>
      <c r="H47" s="42"/>
      <c r="I47" s="42"/>
      <c r="J47" s="42"/>
      <c r="K47" s="42"/>
      <c r="L47" s="42"/>
      <c r="M47" s="42"/>
      <c r="N47" s="42"/>
      <c r="O47" s="42"/>
      <c r="P47" s="42"/>
      <c r="Q47" s="42"/>
    </row>
    <row r="48" customFormat="false" ht="12" hidden="false" customHeight="true" outlineLevel="0" collapsed="false">
      <c r="A48" s="42"/>
      <c r="B48" s="564" t="n">
        <f aca="false">Frequency!C19</f>
        <v>136</v>
      </c>
      <c r="C48" s="227" t="s">
        <v>314</v>
      </c>
      <c r="D48" s="181" t="n">
        <v>0.8</v>
      </c>
      <c r="E48" s="228" t="s">
        <v>258</v>
      </c>
      <c r="F48" s="42"/>
      <c r="G48" s="42" t="s">
        <v>685</v>
      </c>
      <c r="H48" s="42"/>
      <c r="I48" s="42"/>
      <c r="J48" s="42"/>
      <c r="K48" s="42"/>
      <c r="L48" s="42"/>
      <c r="M48" s="42"/>
      <c r="N48" s="42"/>
      <c r="O48" s="42"/>
      <c r="P48" s="42"/>
      <c r="Q48" s="42"/>
    </row>
    <row r="49" customFormat="false" ht="12" hidden="false" customHeight="true" outlineLevel="0" collapsed="false">
      <c r="A49" s="42"/>
      <c r="B49" s="541"/>
      <c r="C49" s="227"/>
      <c r="D49" s="227"/>
      <c r="E49" s="228"/>
      <c r="F49" s="42"/>
      <c r="G49" s="42"/>
      <c r="H49" s="42" t="s">
        <v>0</v>
      </c>
      <c r="I49" s="42"/>
      <c r="J49" s="42"/>
      <c r="K49" s="42"/>
      <c r="L49" s="42"/>
      <c r="M49" s="42"/>
      <c r="N49" s="42"/>
      <c r="O49" s="42"/>
      <c r="P49" s="42"/>
      <c r="Q49" s="42"/>
    </row>
    <row r="50" customFormat="false" ht="12" hidden="false" customHeight="true" outlineLevel="0" collapsed="false">
      <c r="A50" s="42"/>
      <c r="B50" s="42"/>
      <c r="C50" s="42"/>
      <c r="D50" s="42"/>
      <c r="E50" s="42"/>
      <c r="F50" s="42"/>
      <c r="G50" s="42"/>
      <c r="H50" s="566"/>
      <c r="I50" s="42"/>
      <c r="J50" s="42"/>
      <c r="K50" s="42"/>
      <c r="L50" s="42"/>
      <c r="M50" s="42"/>
      <c r="N50" s="42"/>
      <c r="O50" s="42"/>
      <c r="P50" s="42"/>
      <c r="Q50" s="42"/>
    </row>
    <row r="51" customFormat="false" ht="12" hidden="false" customHeight="true" outlineLevel="0" collapsed="false">
      <c r="A51" s="42"/>
      <c r="B51" s="566" t="s">
        <v>675</v>
      </c>
      <c r="C51" s="42"/>
      <c r="D51" s="42"/>
      <c r="E51" s="42"/>
      <c r="F51" s="42"/>
      <c r="G51" s="42" t="s">
        <v>686</v>
      </c>
      <c r="H51" s="42"/>
      <c r="I51" s="42"/>
      <c r="J51" s="42"/>
      <c r="K51" s="42"/>
      <c r="L51" s="42"/>
      <c r="M51" s="42"/>
      <c r="N51" s="42"/>
      <c r="O51" s="42"/>
      <c r="P51" s="42"/>
      <c r="Q51" s="42"/>
    </row>
    <row r="52" customFormat="false" ht="12" hidden="false" customHeight="true" outlineLevel="0" collapsed="false">
      <c r="A52" s="42"/>
      <c r="B52" s="42" t="s">
        <v>687</v>
      </c>
      <c r="C52" s="42"/>
      <c r="D52" s="42"/>
      <c r="E52" s="42"/>
      <c r="F52" s="42"/>
      <c r="G52" s="42"/>
      <c r="H52" s="42"/>
      <c r="I52" s="42"/>
      <c r="J52" s="42"/>
      <c r="K52" s="42"/>
      <c r="L52" s="42"/>
      <c r="M52" s="42"/>
      <c r="N52" s="42"/>
      <c r="O52" s="42"/>
      <c r="P52" s="42"/>
      <c r="Q52" s="42"/>
      <c r="R52" s="42"/>
    </row>
    <row r="53" customFormat="false" ht="12" hidden="false" customHeight="true" outlineLevel="0" collapsed="false">
      <c r="A53" s="42"/>
      <c r="B53" s="42" t="s">
        <v>688</v>
      </c>
      <c r="C53" s="42"/>
      <c r="D53" s="42"/>
      <c r="E53" s="42"/>
      <c r="F53" s="42"/>
      <c r="G53" s="42"/>
      <c r="H53" s="42"/>
      <c r="I53" s="42"/>
      <c r="J53" s="42"/>
      <c r="K53" s="42"/>
      <c r="L53" s="42"/>
      <c r="M53" s="42"/>
      <c r="N53" s="42"/>
      <c r="O53" s="42"/>
      <c r="P53" s="42"/>
      <c r="Q53" s="42"/>
      <c r="R53" s="42"/>
    </row>
    <row r="54" customFormat="false" ht="12" hidden="false" customHeight="true" outlineLevel="0" collapsed="false">
      <c r="A54" s="42"/>
      <c r="B54" s="42" t="s">
        <v>689</v>
      </c>
      <c r="C54" s="42"/>
      <c r="D54" s="42"/>
      <c r="E54" s="42"/>
      <c r="F54" s="42"/>
      <c r="G54" s="42"/>
      <c r="H54" s="42"/>
      <c r="I54" s="42"/>
      <c r="J54" s="42"/>
      <c r="K54" s="42"/>
      <c r="L54" s="42"/>
      <c r="M54" s="42"/>
      <c r="N54" s="42"/>
      <c r="O54" s="42"/>
      <c r="P54" s="42"/>
      <c r="Q54" s="42"/>
      <c r="R54" s="42"/>
    </row>
    <row r="55" customFormat="false" ht="12" hidden="false" customHeight="true" outlineLevel="0" collapsed="false">
      <c r="A55" s="42"/>
      <c r="B55" s="42" t="s">
        <v>690</v>
      </c>
      <c r="C55" s="42"/>
      <c r="D55" s="42"/>
      <c r="E55" s="42"/>
      <c r="F55" s="42"/>
      <c r="G55" s="42"/>
      <c r="H55" s="42"/>
      <c r="I55" s="42"/>
      <c r="J55" s="42"/>
      <c r="K55" s="42"/>
      <c r="L55" s="42"/>
      <c r="M55" s="42"/>
      <c r="N55" s="42"/>
      <c r="O55" s="42"/>
      <c r="P55" s="42"/>
      <c r="Q55" s="42"/>
      <c r="R55" s="42"/>
    </row>
    <row r="56" customFormat="false" ht="12" hidden="false" customHeight="true" outlineLevel="0" collapsed="false">
      <c r="A56" s="42"/>
      <c r="B56" s="42"/>
      <c r="C56" s="42"/>
      <c r="D56" s="42"/>
      <c r="E56" s="42"/>
      <c r="F56" s="42"/>
      <c r="G56" s="42"/>
      <c r="H56" s="42"/>
      <c r="I56" s="42"/>
      <c r="J56" s="42"/>
      <c r="K56" s="42"/>
      <c r="L56" s="42"/>
      <c r="M56" s="42"/>
      <c r="N56" s="42"/>
      <c r="O56" s="42"/>
      <c r="P56" s="42"/>
      <c r="Q56" s="42"/>
      <c r="R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row>
    <row r="58" customFormat="false" ht="12" hidden="false" customHeight="true" outlineLevel="0" collapsed="false">
      <c r="A58" s="42"/>
      <c r="B58" s="42"/>
      <c r="C58" s="42"/>
      <c r="D58" s="42"/>
      <c r="E58" s="42"/>
      <c r="F58" s="42"/>
      <c r="G58" s="42"/>
      <c r="H58" s="42"/>
      <c r="I58" s="42"/>
      <c r="J58" s="42"/>
      <c r="K58" s="42"/>
      <c r="L58" s="42"/>
      <c r="M58" s="42"/>
      <c r="N58" s="42"/>
      <c r="O58" s="42"/>
      <c r="P58" s="42"/>
      <c r="Q58" s="42"/>
      <c r="R58" s="42"/>
    </row>
    <row r="59" customFormat="false" ht="12" hidden="false" customHeight="true" outlineLevel="0" collapsed="false">
      <c r="A59" s="42"/>
      <c r="B59" s="42"/>
      <c r="C59" s="42"/>
      <c r="D59" s="42"/>
      <c r="E59" s="42"/>
      <c r="F59" s="42"/>
      <c r="G59" s="42"/>
      <c r="H59" s="42"/>
      <c r="I59" s="42"/>
      <c r="J59" s="42"/>
      <c r="K59" s="42"/>
      <c r="L59" s="42"/>
      <c r="M59" s="42"/>
      <c r="N59" s="42"/>
      <c r="O59" s="42"/>
      <c r="P59" s="42"/>
      <c r="Q59" s="42"/>
      <c r="R59" s="42"/>
    </row>
    <row r="60" customFormat="false" ht="12" hidden="false" customHeight="true" outlineLevel="0" collapsed="false">
      <c r="A60" s="42"/>
      <c r="B60" s="42"/>
      <c r="C60" s="42"/>
      <c r="D60" s="42"/>
      <c r="E60" s="42"/>
      <c r="F60" s="42"/>
      <c r="G60" s="42"/>
      <c r="H60" s="42"/>
      <c r="I60" s="42"/>
      <c r="J60" s="42"/>
      <c r="K60" s="42"/>
      <c r="L60" s="42"/>
      <c r="M60" s="42"/>
      <c r="N60" s="42"/>
      <c r="O60" s="42"/>
      <c r="P60" s="42"/>
      <c r="Q60" s="42"/>
      <c r="R60" s="42"/>
    </row>
    <row r="61" customFormat="false" ht="12" hidden="false" customHeight="true" outlineLevel="0" collapsed="false">
      <c r="A61" s="42"/>
      <c r="B61" s="42"/>
      <c r="C61" s="42"/>
      <c r="D61" s="42"/>
      <c r="E61" s="42"/>
      <c r="F61" s="42"/>
      <c r="G61" s="42"/>
      <c r="H61" s="42"/>
      <c r="I61" s="42"/>
      <c r="J61" s="42"/>
      <c r="K61" s="42"/>
      <c r="L61" s="42"/>
      <c r="M61" s="42"/>
      <c r="N61" s="42"/>
      <c r="O61" s="42"/>
      <c r="P61" s="42"/>
      <c r="Q61" s="42"/>
      <c r="R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row>
    <row r="63" customFormat="false" ht="12" hidden="false" customHeight="true" outlineLevel="0" collapsed="false">
      <c r="A63" s="42"/>
      <c r="B63" s="42"/>
      <c r="C63" s="42"/>
      <c r="D63" s="42"/>
      <c r="E63" s="42"/>
      <c r="F63" s="42"/>
      <c r="G63" s="42"/>
      <c r="H63" s="42"/>
      <c r="I63" s="42"/>
      <c r="J63" s="42"/>
      <c r="K63" s="42"/>
      <c r="L63" s="42"/>
      <c r="M63" s="42"/>
      <c r="N63" s="42"/>
      <c r="O63" s="42"/>
      <c r="P63" s="42"/>
      <c r="Q63" s="42"/>
      <c r="R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row>
    <row r="65" customFormat="false" ht="12" hidden="false" customHeight="true" outlineLevel="0" collapsed="false">
      <c r="A65" s="42"/>
      <c r="B65" s="42"/>
      <c r="C65" s="42"/>
      <c r="D65" s="42"/>
      <c r="E65" s="42"/>
      <c r="F65" s="42"/>
      <c r="G65" s="42"/>
      <c r="H65" s="42"/>
      <c r="I65" s="42"/>
      <c r="J65" s="42"/>
      <c r="K65" s="42"/>
      <c r="L65" s="42"/>
      <c r="M65" s="42"/>
      <c r="N65" s="42"/>
      <c r="O65" s="42"/>
      <c r="P65" s="42"/>
      <c r="Q65" s="42"/>
      <c r="R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row>
    <row r="67" customFormat="false" ht="12" hidden="false" customHeight="true" outlineLevel="0" collapsed="false">
      <c r="A67" s="42"/>
      <c r="B67" s="42"/>
      <c r="C67" s="42"/>
      <c r="D67" s="42"/>
      <c r="E67" s="42"/>
      <c r="F67" s="42"/>
      <c r="G67" s="42"/>
      <c r="H67" s="42"/>
      <c r="I67" s="42"/>
      <c r="J67" s="42"/>
      <c r="K67" s="42"/>
      <c r="L67" s="42"/>
      <c r="M67" s="42"/>
      <c r="N67" s="42"/>
      <c r="O67" s="42"/>
      <c r="P67" s="42"/>
      <c r="Q67" s="42"/>
      <c r="R67" s="42"/>
    </row>
    <row r="68" customFormat="false" ht="12" hidden="false" customHeight="true" outlineLevel="0" collapsed="false">
      <c r="A68" s="42"/>
      <c r="B68" s="42"/>
      <c r="C68" s="42"/>
      <c r="D68" s="42"/>
      <c r="E68" s="42"/>
      <c r="F68" s="42"/>
      <c r="G68" s="42"/>
      <c r="H68" s="42"/>
      <c r="I68" s="42"/>
      <c r="J68" s="42"/>
      <c r="K68" s="42"/>
      <c r="L68" s="42"/>
      <c r="M68" s="42"/>
      <c r="N68" s="42"/>
      <c r="O68" s="42"/>
      <c r="P68" s="42"/>
      <c r="Q68" s="42"/>
      <c r="R68" s="42"/>
    </row>
    <row r="69" customFormat="false" ht="12" hidden="false" customHeight="true" outlineLevel="0" collapsed="false">
      <c r="A69" s="42"/>
      <c r="B69" s="42"/>
      <c r="C69" s="42"/>
      <c r="D69" s="42"/>
      <c r="E69" s="42"/>
      <c r="F69" s="42"/>
      <c r="G69" s="42"/>
      <c r="H69" s="42"/>
      <c r="I69" s="42"/>
      <c r="J69" s="42"/>
      <c r="K69" s="42"/>
      <c r="L69" s="42"/>
      <c r="M69" s="42"/>
      <c r="N69" s="42"/>
      <c r="O69" s="42"/>
      <c r="P69" s="42"/>
      <c r="Q69" s="42"/>
      <c r="R69" s="42"/>
    </row>
    <row r="70" customFormat="false" ht="12" hidden="false" customHeight="true" outlineLevel="0" collapsed="false">
      <c r="A70" s="42"/>
      <c r="B70" s="42"/>
      <c r="C70" s="42"/>
      <c r="D70" s="42"/>
      <c r="E70" s="42"/>
      <c r="F70" s="42"/>
      <c r="G70" s="42"/>
      <c r="H70" s="42"/>
      <c r="I70" s="42"/>
      <c r="J70" s="42"/>
      <c r="K70" s="42"/>
      <c r="L70" s="42"/>
      <c r="M70" s="42"/>
      <c r="N70" s="42"/>
      <c r="O70" s="42"/>
      <c r="P70" s="42"/>
      <c r="Q70" s="42"/>
      <c r="R70" s="42"/>
    </row>
    <row r="71" customFormat="false" ht="12" hidden="false" customHeight="true" outlineLevel="0" collapsed="false">
      <c r="A71" s="42"/>
      <c r="B71" s="42"/>
      <c r="C71" s="42"/>
      <c r="D71" s="42"/>
      <c r="E71" s="42"/>
      <c r="F71" s="42"/>
      <c r="G71" s="42"/>
      <c r="H71" s="42"/>
      <c r="I71" s="42"/>
      <c r="J71" s="42"/>
      <c r="K71" s="42"/>
      <c r="L71" s="42"/>
      <c r="M71" s="42"/>
      <c r="N71" s="42"/>
      <c r="O71" s="42"/>
      <c r="P71" s="42"/>
      <c r="Q71" s="42"/>
      <c r="R71" s="42"/>
    </row>
    <row r="72" customFormat="false" ht="12" hidden="false" customHeight="true" outlineLevel="0" collapsed="false">
      <c r="A72" s="42"/>
      <c r="B72" s="42"/>
      <c r="C72" s="42"/>
      <c r="D72" s="42"/>
      <c r="E72" s="42"/>
      <c r="F72" s="42"/>
      <c r="G72" s="42"/>
      <c r="H72" s="42"/>
      <c r="I72" s="42"/>
      <c r="J72" s="42"/>
      <c r="K72" s="42"/>
      <c r="L72" s="42"/>
      <c r="M72" s="42"/>
      <c r="N72" s="42"/>
      <c r="O72" s="42"/>
      <c r="P72" s="42"/>
      <c r="Q72" s="42"/>
      <c r="R72" s="42"/>
    </row>
    <row r="73" customFormat="false" ht="12" hidden="false" customHeight="true" outlineLevel="0" collapsed="false">
      <c r="A73" s="42"/>
      <c r="B73" s="42"/>
      <c r="C73" s="42"/>
      <c r="D73" s="42"/>
      <c r="E73" s="42"/>
      <c r="F73" s="42"/>
      <c r="G73" s="42"/>
      <c r="H73" s="42"/>
      <c r="I73" s="42"/>
      <c r="J73" s="42"/>
      <c r="K73" s="42"/>
      <c r="L73" s="42"/>
      <c r="M73" s="42"/>
      <c r="N73" s="42"/>
      <c r="O73" s="42"/>
      <c r="P73" s="42"/>
      <c r="Q73" s="42"/>
      <c r="R73" s="42"/>
    </row>
    <row r="74" customFormat="false" ht="12" hidden="false" customHeight="true" outlineLevel="0" collapsed="false">
      <c r="A74" s="42"/>
      <c r="B74" s="42"/>
      <c r="C74" s="42"/>
      <c r="D74" s="42"/>
      <c r="E74" s="42"/>
      <c r="F74" s="42"/>
      <c r="G74" s="42"/>
      <c r="H74" s="42"/>
      <c r="I74" s="42"/>
      <c r="J74" s="42"/>
      <c r="K74" s="42"/>
      <c r="L74" s="42"/>
      <c r="M74" s="42"/>
      <c r="N74" s="42"/>
      <c r="O74" s="42"/>
      <c r="P74" s="42"/>
      <c r="Q74" s="42"/>
      <c r="R74" s="42"/>
    </row>
    <row r="75" customFormat="false" ht="12" hidden="false" customHeight="true" outlineLevel="0" collapsed="false">
      <c r="A75" s="42"/>
      <c r="B75" s="327"/>
      <c r="C75" s="327"/>
      <c r="D75" s="327"/>
      <c r="E75" s="327"/>
      <c r="F75" s="42"/>
      <c r="G75" s="42"/>
      <c r="H75" s="42"/>
      <c r="I75" s="42"/>
      <c r="J75" s="42"/>
      <c r="K75" s="42"/>
      <c r="L75" s="42"/>
      <c r="M75" s="42"/>
      <c r="N75" s="42"/>
      <c r="O75" s="42"/>
      <c r="P75" s="42"/>
      <c r="Q75" s="42"/>
      <c r="R75" s="42"/>
    </row>
    <row r="76" customFormat="false" ht="12" hidden="false" customHeight="true" outlineLevel="0" collapsed="false">
      <c r="A76" s="42"/>
      <c r="B76" s="327"/>
      <c r="C76" s="327"/>
      <c r="D76" s="327"/>
      <c r="E76" s="327"/>
      <c r="F76" s="42"/>
      <c r="G76" s="42"/>
      <c r="H76" s="42"/>
      <c r="I76" s="42"/>
      <c r="J76" s="42"/>
      <c r="K76" s="42"/>
      <c r="L76" s="42"/>
      <c r="M76" s="42"/>
      <c r="N76" s="42"/>
      <c r="O76" s="42"/>
      <c r="P76" s="42"/>
      <c r="Q76" s="42"/>
      <c r="R76" s="42"/>
    </row>
    <row r="77" customFormat="false" ht="12" hidden="false" customHeight="true" outlineLevel="0" collapsed="false">
      <c r="A77" s="42"/>
      <c r="B77" s="327"/>
      <c r="C77" s="327"/>
      <c r="D77" s="327"/>
      <c r="E77" s="327"/>
      <c r="F77" s="42"/>
      <c r="G77" s="42"/>
      <c r="H77" s="42"/>
      <c r="I77" s="42"/>
      <c r="J77" s="42"/>
      <c r="K77" s="42"/>
      <c r="L77" s="42"/>
      <c r="M77" s="42"/>
      <c r="N77" s="42"/>
      <c r="O77" s="42"/>
      <c r="P77" s="42"/>
      <c r="Q77" s="42"/>
      <c r="R77" s="42"/>
    </row>
    <row r="78" customFormat="false" ht="12" hidden="false" customHeight="true" outlineLevel="0" collapsed="false">
      <c r="A78" s="42"/>
      <c r="B78" s="327"/>
      <c r="C78" s="327"/>
      <c r="D78" s="327"/>
      <c r="E78" s="327"/>
      <c r="F78" s="42"/>
      <c r="G78" s="42"/>
      <c r="H78" s="42"/>
      <c r="I78" s="42"/>
      <c r="J78" s="42"/>
      <c r="K78" s="42"/>
      <c r="L78" s="42"/>
      <c r="M78" s="42"/>
      <c r="N78" s="42"/>
      <c r="O78" s="42"/>
      <c r="P78" s="42"/>
      <c r="Q78" s="42"/>
      <c r="R78" s="42"/>
    </row>
    <row r="79" customFormat="false" ht="12" hidden="false" customHeight="true" outlineLevel="0" collapsed="false">
      <c r="A79" s="42"/>
      <c r="B79" s="327"/>
      <c r="C79" s="327"/>
      <c r="D79" s="327"/>
      <c r="E79" s="327"/>
      <c r="F79" s="42"/>
      <c r="G79" s="42"/>
      <c r="H79" s="42"/>
      <c r="I79" s="42"/>
      <c r="J79" s="42"/>
      <c r="K79" s="42"/>
      <c r="L79" s="42"/>
      <c r="M79" s="42"/>
      <c r="N79" s="42"/>
      <c r="O79" s="42"/>
      <c r="P79" s="42"/>
      <c r="Q79" s="42"/>
      <c r="R79" s="42"/>
    </row>
    <row r="80" customFormat="false" ht="12" hidden="false" customHeight="true" outlineLevel="0" collapsed="false">
      <c r="A80" s="42"/>
      <c r="B80" s="327"/>
      <c r="C80" s="327"/>
      <c r="D80" s="327"/>
      <c r="E80" s="327"/>
      <c r="F80" s="42"/>
      <c r="G80" s="42"/>
      <c r="H80" s="42"/>
      <c r="I80" s="42"/>
      <c r="J80" s="42"/>
      <c r="K80" s="42"/>
      <c r="L80" s="42"/>
      <c r="M80" s="42"/>
      <c r="N80" s="42"/>
      <c r="O80" s="42"/>
      <c r="P80" s="42"/>
      <c r="Q80" s="42"/>
      <c r="R80" s="42"/>
    </row>
    <row r="81" customFormat="false" ht="12" hidden="false" customHeight="true" outlineLevel="0" collapsed="false">
      <c r="A81" s="42"/>
      <c r="B81" s="327"/>
      <c r="C81" s="327"/>
      <c r="D81" s="327"/>
      <c r="E81" s="327"/>
      <c r="F81" s="42"/>
      <c r="G81" s="42"/>
      <c r="H81" s="42"/>
      <c r="I81" s="42"/>
      <c r="J81" s="42"/>
      <c r="K81" s="42"/>
      <c r="L81" s="42"/>
      <c r="M81" s="42"/>
      <c r="N81" s="42"/>
      <c r="O81" s="42"/>
      <c r="P81" s="42"/>
      <c r="Q81" s="42"/>
      <c r="R81" s="42"/>
    </row>
    <row r="82" customFormat="false" ht="12" hidden="false" customHeight="true" outlineLevel="0" collapsed="false">
      <c r="A82" s="42"/>
      <c r="B82" s="327"/>
      <c r="C82" s="327"/>
      <c r="D82" s="327"/>
      <c r="E82" s="327"/>
      <c r="F82" s="42"/>
      <c r="G82" s="42"/>
      <c r="H82" s="42"/>
      <c r="I82" s="42"/>
      <c r="J82" s="42"/>
      <c r="K82" s="42"/>
      <c r="L82" s="42"/>
      <c r="M82" s="42"/>
      <c r="N82" s="42"/>
      <c r="O82" s="42"/>
      <c r="P82" s="42"/>
      <c r="Q82" s="42"/>
      <c r="R82" s="42"/>
    </row>
    <row r="83" customFormat="false" ht="12" hidden="false" customHeight="true" outlineLevel="0" collapsed="false">
      <c r="A83" s="42"/>
      <c r="B83" s="327"/>
      <c r="C83" s="327"/>
      <c r="D83" s="327"/>
      <c r="E83" s="327"/>
      <c r="F83" s="42"/>
      <c r="G83" s="42"/>
      <c r="H83" s="42"/>
      <c r="I83" s="42"/>
      <c r="J83" s="42"/>
      <c r="K83" s="42"/>
      <c r="L83" s="42"/>
      <c r="M83" s="42"/>
      <c r="N83" s="42"/>
      <c r="O83" s="42"/>
      <c r="P83" s="42"/>
      <c r="Q83" s="42"/>
      <c r="R83" s="42"/>
    </row>
    <row r="84" customFormat="false" ht="12" hidden="false" customHeight="true" outlineLevel="0" collapsed="false">
      <c r="A84" s="42"/>
      <c r="B84" s="327"/>
      <c r="C84" s="327"/>
      <c r="D84" s="327"/>
      <c r="E84" s="327"/>
      <c r="F84" s="42"/>
      <c r="G84" s="42"/>
      <c r="H84" s="42"/>
      <c r="I84" s="42"/>
      <c r="J84" s="42"/>
      <c r="K84" s="42"/>
      <c r="L84" s="42"/>
      <c r="M84" s="42"/>
      <c r="N84" s="42"/>
      <c r="O84" s="42"/>
      <c r="P84" s="42"/>
      <c r="Q84" s="42"/>
      <c r="R84" s="42"/>
    </row>
    <row r="85" customFormat="false" ht="12" hidden="false" customHeight="true" outlineLevel="0" collapsed="false">
      <c r="A85" s="327"/>
      <c r="B85" s="327"/>
      <c r="C85" s="327"/>
      <c r="D85" s="327"/>
      <c r="E85" s="327"/>
      <c r="F85" s="327"/>
      <c r="G85" s="327"/>
      <c r="H85" s="327"/>
      <c r="I85" s="327"/>
      <c r="J85" s="327"/>
      <c r="K85" s="327"/>
      <c r="L85" s="327"/>
      <c r="M85" s="327"/>
      <c r="N85" s="327"/>
      <c r="O85" s="327"/>
      <c r="P85" s="327"/>
      <c r="Q85" s="327"/>
      <c r="R85" s="327"/>
    </row>
    <row r="86" customFormat="false" ht="12" hidden="false" customHeight="true" outlineLevel="0" collapsed="false">
      <c r="A86" s="327"/>
      <c r="B86" s="327"/>
      <c r="C86" s="327"/>
      <c r="D86" s="327"/>
      <c r="E86" s="327"/>
      <c r="F86" s="327"/>
      <c r="G86" s="327"/>
      <c r="H86" s="327"/>
      <c r="I86" s="327"/>
      <c r="J86" s="327"/>
      <c r="K86" s="327"/>
      <c r="L86" s="327"/>
      <c r="M86" s="327"/>
      <c r="N86" s="327"/>
      <c r="O86" s="327"/>
      <c r="P86" s="327"/>
      <c r="Q86" s="327"/>
      <c r="R86" s="327"/>
    </row>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CF305"/>
    <pageSetUpPr fitToPage="false"/>
  </sheetPr>
  <dimension ref="A1:U1000"/>
  <sheetViews>
    <sheetView showFormulas="false" showGridLines="true" showRowColHeaders="true" showZeros="true" rightToLeft="false" tabSelected="false" showOutlineSymbols="true" defaultGridColor="true" view="normal" topLeftCell="C1" colorId="64" zoomScale="120" zoomScaleNormal="120" zoomScalePageLayoutView="100" workbookViewId="0">
      <selection pane="topLeft" activeCell="G45" activeCellId="0" sqref="G45"/>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20.75"/>
    <col collapsed="false" customWidth="true" hidden="false" outlineLevel="0" max="4" min="4" style="1" width="47.77"/>
    <col collapsed="false" customWidth="true" hidden="false" outlineLevel="0" max="5" min="5" style="1" width="20.75"/>
    <col collapsed="false" customWidth="true" hidden="false" outlineLevel="0" max="6" min="6" style="1" width="23.88"/>
    <col collapsed="false" customWidth="true" hidden="false" outlineLevel="0" max="7" min="7" style="1" width="8.88"/>
    <col collapsed="false" customWidth="true" hidden="false" outlineLevel="0" max="8" min="8" style="1" width="9.88"/>
    <col collapsed="false" customWidth="true" hidden="false" outlineLevel="0" max="21" min="9" style="1" width="8.88"/>
    <col collapsed="false" customWidth="true" hidden="false" outlineLevel="0" max="26" min="22" style="1" width="14.38"/>
  </cols>
  <sheetData>
    <row r="1" customFormat="false" ht="18" hidden="false" customHeight="true" outlineLevel="0" collapsed="false">
      <c r="A1" s="504" t="s">
        <v>691</v>
      </c>
      <c r="B1" s="10"/>
      <c r="C1" s="10"/>
      <c r="D1" s="10"/>
      <c r="E1" s="328" t="str">
        <f aca="false">'Title Page'!F3</f>
        <v>Coconut Cubesat</v>
      </c>
      <c r="F1" s="10"/>
      <c r="G1" s="41" t="str">
        <f aca="false">'Title Page'!F23</f>
        <v>2025 June 06</v>
      </c>
      <c r="H1" s="10"/>
      <c r="I1" s="10"/>
      <c r="J1" s="10"/>
      <c r="K1" s="10"/>
      <c r="L1" s="10"/>
      <c r="M1" s="10"/>
      <c r="N1" s="10"/>
      <c r="O1" s="10"/>
      <c r="P1" s="10"/>
      <c r="Q1" s="10"/>
      <c r="R1" s="10"/>
      <c r="S1" s="10"/>
      <c r="T1" s="10"/>
      <c r="U1" s="10"/>
    </row>
    <row r="2" customFormat="false" ht="12.75" hidden="false" customHeight="true" outlineLevel="0" collapsed="false">
      <c r="A2" s="572" t="s">
        <v>692</v>
      </c>
      <c r="B2" s="573"/>
      <c r="C2" s="574" t="s">
        <v>0</v>
      </c>
      <c r="D2" s="19"/>
      <c r="E2" s="215" t="s">
        <v>693</v>
      </c>
      <c r="F2" s="19" t="s">
        <v>694</v>
      </c>
      <c r="G2" s="42" t="s">
        <v>695</v>
      </c>
      <c r="H2" s="42"/>
      <c r="I2" s="42"/>
      <c r="J2" s="42"/>
      <c r="K2" s="42"/>
      <c r="L2" s="42"/>
      <c r="M2" s="42"/>
      <c r="N2" s="42"/>
      <c r="O2" s="42"/>
      <c r="P2" s="42"/>
      <c r="Q2" s="42"/>
      <c r="R2" s="42"/>
      <c r="S2" s="42"/>
      <c r="T2" s="42"/>
      <c r="U2" s="42"/>
    </row>
    <row r="3" customFormat="false" ht="15.75" hidden="false" customHeight="true" outlineLevel="0" collapsed="false">
      <c r="A3" s="575" t="s">
        <v>696</v>
      </c>
      <c r="B3" s="576"/>
      <c r="C3" s="577" t="s">
        <v>697</v>
      </c>
      <c r="D3" s="578"/>
      <c r="E3" s="579" t="n">
        <v>18</v>
      </c>
      <c r="F3" s="580" t="str">
        <f aca="false" t="array" ref="F3:F3">INDEX(C6:C23,E3,1)</f>
        <v>LoRa</v>
      </c>
      <c r="G3" s="42"/>
      <c r="H3" s="581" t="s">
        <v>698</v>
      </c>
      <c r="I3" s="42"/>
      <c r="J3" s="42"/>
      <c r="K3" s="42"/>
      <c r="L3" s="42"/>
      <c r="M3" s="42"/>
      <c r="N3" s="42"/>
      <c r="O3" s="42"/>
      <c r="P3" s="42"/>
      <c r="Q3" s="42"/>
      <c r="R3" s="42"/>
      <c r="S3" s="42"/>
      <c r="T3" s="42"/>
      <c r="U3" s="42"/>
    </row>
    <row r="4" customFormat="false" ht="12.75" hidden="false" customHeight="true" outlineLevel="0" collapsed="false">
      <c r="A4" s="91" t="s">
        <v>699</v>
      </c>
      <c r="B4" s="19"/>
      <c r="C4" s="19"/>
      <c r="D4" s="19"/>
      <c r="E4" s="19"/>
      <c r="F4" s="19"/>
      <c r="G4" s="42"/>
      <c r="H4" s="582" t="s">
        <v>700</v>
      </c>
      <c r="I4" s="42"/>
      <c r="J4" s="42"/>
      <c r="K4" s="42"/>
      <c r="L4" s="42"/>
      <c r="M4" s="42"/>
      <c r="N4" s="42"/>
      <c r="O4" s="42"/>
      <c r="P4" s="42"/>
      <c r="Q4" s="42"/>
      <c r="R4" s="42"/>
      <c r="S4" s="42"/>
      <c r="T4" s="42"/>
      <c r="U4" s="42"/>
    </row>
    <row r="5" customFormat="false" ht="15" hidden="false" customHeight="true" outlineLevel="0" collapsed="false">
      <c r="A5" s="42"/>
      <c r="B5" s="583" t="s">
        <v>308</v>
      </c>
      <c r="C5" s="583" t="s">
        <v>701</v>
      </c>
      <c r="D5" s="583" t="s">
        <v>702</v>
      </c>
      <c r="E5" s="583" t="s">
        <v>703</v>
      </c>
      <c r="F5" s="583" t="s">
        <v>704</v>
      </c>
      <c r="G5" s="42"/>
      <c r="H5" s="584" t="n">
        <f aca="false" t="array" ref="H5:H5">INDEX(F6:F23,E3,1)+E25</f>
        <v>7.8</v>
      </c>
      <c r="I5" s="42"/>
      <c r="J5" s="42"/>
      <c r="K5" s="42"/>
      <c r="L5" s="42"/>
      <c r="M5" s="42"/>
      <c r="N5" s="42"/>
      <c r="O5" s="42"/>
      <c r="P5" s="42"/>
      <c r="Q5" s="42"/>
      <c r="R5" s="42"/>
      <c r="S5" s="42"/>
      <c r="T5" s="42"/>
      <c r="U5" s="42"/>
    </row>
    <row r="6" customFormat="false" ht="15.75" hidden="false" customHeight="true" outlineLevel="0" collapsed="false">
      <c r="A6" s="42"/>
      <c r="B6" s="585" t="n">
        <v>1</v>
      </c>
      <c r="C6" s="586" t="s">
        <v>705</v>
      </c>
      <c r="D6" s="586" t="s">
        <v>706</v>
      </c>
      <c r="E6" s="587" t="n">
        <v>0.0001</v>
      </c>
      <c r="F6" s="588" t="n">
        <v>21</v>
      </c>
      <c r="G6" s="42"/>
      <c r="H6" s="589" t="s">
        <v>258</v>
      </c>
      <c r="I6" s="42"/>
      <c r="J6" s="42"/>
      <c r="K6" s="42"/>
      <c r="L6" s="42"/>
      <c r="M6" s="42"/>
      <c r="N6" s="42"/>
      <c r="O6" s="42"/>
      <c r="P6" s="42"/>
      <c r="Q6" s="42"/>
      <c r="R6" s="42"/>
      <c r="S6" s="42"/>
      <c r="T6" s="42"/>
      <c r="U6" s="42"/>
    </row>
    <row r="7" customFormat="false" ht="15" hidden="false" customHeight="true" outlineLevel="0" collapsed="false">
      <c r="A7" s="42"/>
      <c r="B7" s="585" t="n">
        <v>2</v>
      </c>
      <c r="C7" s="586" t="s">
        <v>705</v>
      </c>
      <c r="D7" s="586" t="s">
        <v>706</v>
      </c>
      <c r="E7" s="587" t="n">
        <v>1E-005</v>
      </c>
      <c r="F7" s="588" t="n">
        <v>23.2</v>
      </c>
      <c r="G7" s="42"/>
      <c r="H7" s="42"/>
      <c r="I7" s="42"/>
      <c r="J7" s="42"/>
      <c r="K7" s="42"/>
      <c r="L7" s="42"/>
      <c r="M7" s="42"/>
      <c r="N7" s="42"/>
      <c r="O7" s="42"/>
      <c r="P7" s="42"/>
      <c r="Q7" s="42"/>
      <c r="R7" s="42"/>
      <c r="S7" s="42"/>
      <c r="T7" s="42"/>
      <c r="U7" s="42"/>
    </row>
    <row r="8" customFormat="false" ht="15" hidden="false" customHeight="true" outlineLevel="0" collapsed="false">
      <c r="A8" s="42"/>
      <c r="B8" s="585" t="n">
        <v>3</v>
      </c>
      <c r="C8" s="586" t="s">
        <v>707</v>
      </c>
      <c r="D8" s="586" t="s">
        <v>706</v>
      </c>
      <c r="E8" s="587" t="n">
        <v>0.0001</v>
      </c>
      <c r="F8" s="588" t="n">
        <v>16.7</v>
      </c>
      <c r="G8" s="42"/>
      <c r="H8" s="42"/>
      <c r="I8" s="42"/>
      <c r="J8" s="42"/>
      <c r="K8" s="42"/>
      <c r="L8" s="42"/>
      <c r="M8" s="42"/>
      <c r="N8" s="42"/>
      <c r="O8" s="42"/>
      <c r="P8" s="42"/>
      <c r="Q8" s="42"/>
      <c r="R8" s="42"/>
      <c r="S8" s="42"/>
      <c r="T8" s="42"/>
      <c r="U8" s="42"/>
    </row>
    <row r="9" customFormat="false" ht="15" hidden="false" customHeight="true" outlineLevel="0" collapsed="false">
      <c r="A9" s="42"/>
      <c r="B9" s="585" t="n">
        <v>4</v>
      </c>
      <c r="C9" s="586" t="s">
        <v>707</v>
      </c>
      <c r="D9" s="586" t="s">
        <v>706</v>
      </c>
      <c r="E9" s="587" t="n">
        <v>1E-005</v>
      </c>
      <c r="F9" s="588" t="n">
        <v>18</v>
      </c>
      <c r="G9" s="42"/>
      <c r="H9" s="42"/>
      <c r="I9" s="42"/>
      <c r="J9" s="42"/>
      <c r="K9" s="42"/>
      <c r="L9" s="42"/>
      <c r="M9" s="42"/>
      <c r="N9" s="42"/>
      <c r="O9" s="42"/>
      <c r="P9" s="42"/>
      <c r="Q9" s="42"/>
      <c r="R9" s="42"/>
      <c r="S9" s="42"/>
      <c r="T9" s="42"/>
      <c r="U9" s="42"/>
    </row>
    <row r="10" customFormat="false" ht="15" hidden="false" customHeight="true" outlineLevel="0" collapsed="false">
      <c r="A10" s="42"/>
      <c r="B10" s="585" t="n">
        <v>5</v>
      </c>
      <c r="C10" s="586" t="s">
        <v>708</v>
      </c>
      <c r="D10" s="586" t="s">
        <v>706</v>
      </c>
      <c r="E10" s="587" t="n">
        <v>0.0001</v>
      </c>
      <c r="F10" s="588" t="n">
        <v>13.4</v>
      </c>
      <c r="G10" s="42"/>
      <c r="H10" s="42"/>
      <c r="I10" s="42"/>
      <c r="J10" s="42"/>
      <c r="K10" s="42"/>
      <c r="L10" s="42"/>
      <c r="M10" s="42"/>
      <c r="N10" s="42"/>
      <c r="O10" s="42"/>
      <c r="P10" s="42"/>
      <c r="Q10" s="42"/>
      <c r="R10" s="42"/>
      <c r="S10" s="42"/>
      <c r="T10" s="42"/>
      <c r="U10" s="42"/>
    </row>
    <row r="11" customFormat="false" ht="15" hidden="false" customHeight="true" outlineLevel="0" collapsed="false">
      <c r="A11" s="42"/>
      <c r="B11" s="585" t="n">
        <v>6</v>
      </c>
      <c r="C11" s="586" t="s">
        <v>708</v>
      </c>
      <c r="D11" s="586" t="s">
        <v>706</v>
      </c>
      <c r="E11" s="587" t="n">
        <v>1E-005</v>
      </c>
      <c r="F11" s="588" t="n">
        <v>13.8</v>
      </c>
      <c r="G11" s="42"/>
      <c r="H11" s="42"/>
      <c r="I11" s="42"/>
      <c r="J11" s="42"/>
      <c r="K11" s="42"/>
      <c r="L11" s="42"/>
      <c r="M11" s="42"/>
      <c r="N11" s="42"/>
      <c r="O11" s="42"/>
      <c r="P11" s="42"/>
      <c r="Q11" s="42"/>
      <c r="R11" s="42"/>
      <c r="S11" s="42"/>
      <c r="T11" s="42"/>
      <c r="U11" s="42"/>
    </row>
    <row r="12" customFormat="false" ht="15" hidden="false" customHeight="true" outlineLevel="0" collapsed="false">
      <c r="A12" s="42"/>
      <c r="B12" s="585" t="n">
        <v>7</v>
      </c>
      <c r="C12" s="586" t="s">
        <v>709</v>
      </c>
      <c r="D12" s="586" t="s">
        <v>706</v>
      </c>
      <c r="E12" s="587" t="n">
        <v>0.0001</v>
      </c>
      <c r="F12" s="588" t="n">
        <v>10.5</v>
      </c>
      <c r="G12" s="42"/>
      <c r="H12" s="42"/>
      <c r="I12" s="42"/>
      <c r="J12" s="42"/>
      <c r="K12" s="42"/>
      <c r="L12" s="42"/>
      <c r="M12" s="42"/>
      <c r="N12" s="42"/>
      <c r="O12" s="42"/>
      <c r="P12" s="42"/>
      <c r="Q12" s="42"/>
      <c r="R12" s="42"/>
      <c r="S12" s="42"/>
      <c r="T12" s="42"/>
      <c r="U12" s="42"/>
    </row>
    <row r="13" customFormat="false" ht="15" hidden="false" customHeight="true" outlineLevel="0" collapsed="false">
      <c r="A13" s="42"/>
      <c r="B13" s="585" t="n">
        <v>8</v>
      </c>
      <c r="C13" s="586" t="s">
        <v>709</v>
      </c>
      <c r="D13" s="586" t="s">
        <v>706</v>
      </c>
      <c r="E13" s="587" t="n">
        <v>1E-005</v>
      </c>
      <c r="F13" s="588" t="n">
        <v>11.9</v>
      </c>
      <c r="G13" s="42"/>
      <c r="H13" s="42"/>
      <c r="I13" s="42"/>
      <c r="J13" s="42"/>
      <c r="K13" s="42"/>
      <c r="L13" s="42"/>
      <c r="M13" s="42"/>
      <c r="N13" s="42"/>
      <c r="O13" s="42"/>
      <c r="P13" s="42"/>
      <c r="Q13" s="42"/>
      <c r="R13" s="42"/>
      <c r="S13" s="42"/>
      <c r="T13" s="42"/>
      <c r="U13" s="42"/>
    </row>
    <row r="14" customFormat="false" ht="15" hidden="false" customHeight="true" outlineLevel="0" collapsed="false">
      <c r="A14" s="42"/>
      <c r="B14" s="585" t="n">
        <v>9</v>
      </c>
      <c r="C14" s="586" t="s">
        <v>710</v>
      </c>
      <c r="D14" s="586" t="s">
        <v>706</v>
      </c>
      <c r="E14" s="587" t="n">
        <v>0.0001</v>
      </c>
      <c r="F14" s="588" t="n">
        <v>8.4</v>
      </c>
      <c r="G14" s="42"/>
      <c r="H14" s="42"/>
      <c r="I14" s="42"/>
      <c r="J14" s="42"/>
      <c r="K14" s="42"/>
      <c r="L14" s="42"/>
      <c r="M14" s="42"/>
      <c r="N14" s="42"/>
      <c r="O14" s="42"/>
      <c r="P14" s="42"/>
      <c r="Q14" s="42"/>
      <c r="R14" s="42"/>
      <c r="S14" s="42"/>
      <c r="T14" s="42"/>
      <c r="U14" s="42"/>
    </row>
    <row r="15" customFormat="false" ht="15" hidden="false" customHeight="true" outlineLevel="0" collapsed="false">
      <c r="A15" s="42"/>
      <c r="B15" s="585" t="n">
        <v>10</v>
      </c>
      <c r="C15" s="586" t="s">
        <v>710</v>
      </c>
      <c r="D15" s="586" t="s">
        <v>706</v>
      </c>
      <c r="E15" s="587" t="n">
        <v>1E-005</v>
      </c>
      <c r="F15" s="588" t="n">
        <v>9.6</v>
      </c>
      <c r="G15" s="42"/>
      <c r="H15" s="42"/>
      <c r="I15" s="42"/>
      <c r="J15" s="42"/>
      <c r="K15" s="42"/>
      <c r="L15" s="42"/>
      <c r="M15" s="42"/>
      <c r="N15" s="42"/>
      <c r="O15" s="42"/>
      <c r="P15" s="42"/>
      <c r="Q15" s="42"/>
      <c r="R15" s="42"/>
      <c r="S15" s="42"/>
      <c r="T15" s="42"/>
      <c r="U15" s="42"/>
    </row>
    <row r="16" customFormat="false" ht="15" hidden="false" customHeight="true" outlineLevel="0" collapsed="false">
      <c r="A16" s="42"/>
      <c r="B16" s="585" t="n">
        <v>11</v>
      </c>
      <c r="C16" s="586" t="s">
        <v>711</v>
      </c>
      <c r="D16" s="586" t="s">
        <v>706</v>
      </c>
      <c r="E16" s="587" t="n">
        <v>1E-005</v>
      </c>
      <c r="F16" s="588" t="n">
        <v>9.6</v>
      </c>
      <c r="G16" s="42"/>
      <c r="H16" s="42"/>
      <c r="I16" s="42"/>
      <c r="J16" s="42"/>
      <c r="K16" s="42"/>
      <c r="L16" s="42"/>
      <c r="M16" s="42"/>
      <c r="N16" s="42"/>
      <c r="O16" s="42"/>
      <c r="P16" s="42"/>
      <c r="Q16" s="42"/>
      <c r="R16" s="42"/>
      <c r="S16" s="42"/>
      <c r="T16" s="42"/>
      <c r="U16" s="42"/>
    </row>
    <row r="17" customFormat="false" ht="15" hidden="false" customHeight="true" outlineLevel="0" collapsed="false">
      <c r="A17" s="42"/>
      <c r="B17" s="585" t="n">
        <v>12</v>
      </c>
      <c r="C17" s="586" t="s">
        <v>711</v>
      </c>
      <c r="D17" s="586" t="s">
        <v>706</v>
      </c>
      <c r="E17" s="587" t="n">
        <v>1E-006</v>
      </c>
      <c r="F17" s="588" t="n">
        <v>10.5</v>
      </c>
      <c r="G17" s="42"/>
      <c r="H17" s="42"/>
      <c r="I17" s="42"/>
      <c r="J17" s="42"/>
      <c r="K17" s="42"/>
      <c r="L17" s="42"/>
      <c r="M17" s="42"/>
      <c r="N17" s="42"/>
      <c r="O17" s="42"/>
      <c r="P17" s="42"/>
      <c r="Q17" s="42"/>
      <c r="R17" s="42"/>
      <c r="S17" s="42"/>
      <c r="T17" s="42"/>
      <c r="U17" s="42"/>
    </row>
    <row r="18" customFormat="false" ht="15" hidden="false" customHeight="true" outlineLevel="0" collapsed="false">
      <c r="A18" s="42"/>
      <c r="B18" s="585" t="n">
        <v>13</v>
      </c>
      <c r="C18" s="586" t="s">
        <v>712</v>
      </c>
      <c r="D18" s="586" t="s">
        <v>706</v>
      </c>
      <c r="E18" s="587" t="n">
        <v>1E-005</v>
      </c>
      <c r="F18" s="588" t="n">
        <v>9.6</v>
      </c>
      <c r="G18" s="42"/>
      <c r="H18" s="42"/>
      <c r="I18" s="42"/>
      <c r="J18" s="42"/>
      <c r="K18" s="42"/>
      <c r="L18" s="42"/>
      <c r="M18" s="42"/>
      <c r="N18" s="42"/>
      <c r="O18" s="42"/>
      <c r="P18" s="42"/>
      <c r="Q18" s="42"/>
      <c r="R18" s="42"/>
      <c r="S18" s="42"/>
      <c r="T18" s="42"/>
      <c r="U18" s="42"/>
    </row>
    <row r="19" customFormat="false" ht="15" hidden="false" customHeight="true" outlineLevel="0" collapsed="false">
      <c r="A19" s="42"/>
      <c r="B19" s="585" t="n">
        <v>14</v>
      </c>
      <c r="C19" s="586" t="s">
        <v>712</v>
      </c>
      <c r="D19" s="586" t="s">
        <v>706</v>
      </c>
      <c r="E19" s="587" t="n">
        <v>1E-006</v>
      </c>
      <c r="F19" s="588" t="n">
        <v>10.5</v>
      </c>
      <c r="G19" s="42"/>
      <c r="H19" s="42"/>
      <c r="I19" s="42"/>
      <c r="J19" s="42"/>
      <c r="K19" s="42"/>
      <c r="L19" s="42"/>
      <c r="M19" s="42"/>
      <c r="N19" s="42"/>
      <c r="O19" s="42"/>
      <c r="P19" s="42"/>
      <c r="Q19" s="42"/>
      <c r="R19" s="42"/>
      <c r="S19" s="42"/>
      <c r="T19" s="42"/>
      <c r="U19" s="42"/>
    </row>
    <row r="20" customFormat="false" ht="15" hidden="false" customHeight="true" outlineLevel="0" collapsed="false">
      <c r="A20" s="42"/>
      <c r="B20" s="585" t="n">
        <v>15</v>
      </c>
      <c r="C20" s="586" t="s">
        <v>711</v>
      </c>
      <c r="D20" s="586" t="s">
        <v>713</v>
      </c>
      <c r="E20" s="587" t="n">
        <v>1E-006</v>
      </c>
      <c r="F20" s="588" t="n">
        <v>4.8</v>
      </c>
      <c r="G20" s="42"/>
      <c r="H20" s="42"/>
      <c r="I20" s="42"/>
      <c r="J20" s="42"/>
      <c r="K20" s="42"/>
      <c r="L20" s="42"/>
      <c r="M20" s="42"/>
      <c r="N20" s="42"/>
      <c r="O20" s="42"/>
      <c r="P20" s="42"/>
      <c r="Q20" s="42"/>
      <c r="R20" s="42"/>
      <c r="S20" s="42"/>
      <c r="T20" s="42"/>
      <c r="U20" s="42"/>
    </row>
    <row r="21" customFormat="false" ht="15" hidden="false" customHeight="true" outlineLevel="0" collapsed="false">
      <c r="A21" s="42"/>
      <c r="B21" s="585" t="n">
        <v>16</v>
      </c>
      <c r="C21" s="586" t="s">
        <v>711</v>
      </c>
      <c r="D21" s="586" t="s">
        <v>714</v>
      </c>
      <c r="E21" s="587" t="n">
        <v>1E-006</v>
      </c>
      <c r="F21" s="588" t="n">
        <v>2.5</v>
      </c>
      <c r="G21" s="42"/>
      <c r="H21" s="42"/>
      <c r="I21" s="42"/>
      <c r="J21" s="42"/>
      <c r="K21" s="42"/>
      <c r="L21" s="42"/>
      <c r="M21" s="42"/>
      <c r="N21" s="42"/>
      <c r="O21" s="42"/>
      <c r="P21" s="42"/>
      <c r="Q21" s="42"/>
      <c r="R21" s="42"/>
      <c r="S21" s="42"/>
      <c r="T21" s="42"/>
      <c r="U21" s="42"/>
    </row>
    <row r="22" customFormat="false" ht="15" hidden="false" customHeight="true" outlineLevel="0" collapsed="false">
      <c r="A22" s="42"/>
      <c r="B22" s="585" t="n">
        <v>17</v>
      </c>
      <c r="C22" s="586" t="s">
        <v>711</v>
      </c>
      <c r="D22" s="586" t="s">
        <v>715</v>
      </c>
      <c r="E22" s="587" t="n">
        <v>1E-007</v>
      </c>
      <c r="F22" s="588" t="n">
        <v>0.8</v>
      </c>
      <c r="G22" s="42"/>
      <c r="H22" s="42"/>
      <c r="I22" s="42"/>
      <c r="J22" s="42"/>
      <c r="K22" s="42"/>
      <c r="L22" s="42"/>
      <c r="M22" s="42"/>
      <c r="N22" s="42"/>
      <c r="O22" s="42"/>
      <c r="P22" s="42"/>
      <c r="Q22" s="42"/>
      <c r="R22" s="42"/>
      <c r="S22" s="42"/>
      <c r="T22" s="42"/>
      <c r="U22" s="42"/>
    </row>
    <row r="23" customFormat="false" ht="15" hidden="false" customHeight="true" outlineLevel="0" collapsed="false">
      <c r="A23" s="42"/>
      <c r="B23" s="585" t="n">
        <v>18</v>
      </c>
      <c r="C23" s="590" t="s">
        <v>716</v>
      </c>
      <c r="D23" s="590" t="s">
        <v>717</v>
      </c>
      <c r="E23" s="587" t="n">
        <f aca="false">0.000001</f>
        <v>1E-006</v>
      </c>
      <c r="F23" s="591" t="n">
        <v>6.8</v>
      </c>
      <c r="G23" s="42"/>
      <c r="H23" s="42"/>
      <c r="I23" s="42"/>
      <c r="J23" s="42"/>
      <c r="K23" s="42"/>
      <c r="L23" s="42"/>
      <c r="M23" s="42"/>
      <c r="N23" s="42"/>
      <c r="O23" s="42"/>
      <c r="P23" s="42"/>
      <c r="Q23" s="42"/>
      <c r="R23" s="42"/>
      <c r="S23" s="42"/>
      <c r="T23" s="42"/>
      <c r="U23" s="42"/>
    </row>
    <row r="24" customFormat="false" ht="12.75" hidden="false" customHeight="true" outlineLevel="0" collapsed="false">
      <c r="A24" s="42"/>
      <c r="B24" s="42"/>
      <c r="C24" s="42"/>
      <c r="D24" s="566" t="s">
        <v>718</v>
      </c>
      <c r="E24" s="42"/>
      <c r="F24" s="55"/>
      <c r="G24" s="42"/>
      <c r="H24" s="42"/>
      <c r="I24" s="42"/>
      <c r="J24" s="42"/>
      <c r="K24" s="42"/>
      <c r="L24" s="42"/>
      <c r="M24" s="42"/>
      <c r="N24" s="42"/>
      <c r="O24" s="42"/>
      <c r="P24" s="42"/>
      <c r="Q24" s="42"/>
      <c r="R24" s="42"/>
      <c r="S24" s="42"/>
      <c r="T24" s="42"/>
      <c r="U24" s="42"/>
    </row>
    <row r="25" customFormat="false" ht="15.75" hidden="false" customHeight="true" outlineLevel="0" collapsed="false">
      <c r="A25" s="42"/>
      <c r="B25" s="23" t="s">
        <v>60</v>
      </c>
      <c r="C25" s="42"/>
      <c r="D25" s="592" t="s">
        <v>719</v>
      </c>
      <c r="E25" s="593" t="n">
        <v>1</v>
      </c>
      <c r="F25" s="594" t="s">
        <v>258</v>
      </c>
      <c r="G25" s="42"/>
      <c r="H25" s="42"/>
      <c r="I25" s="42"/>
      <c r="J25" s="42"/>
      <c r="K25" s="42"/>
      <c r="L25" s="42"/>
      <c r="M25" s="42"/>
      <c r="N25" s="42"/>
      <c r="O25" s="42"/>
      <c r="P25" s="42"/>
      <c r="Q25" s="42"/>
      <c r="R25" s="42"/>
      <c r="S25" s="42"/>
      <c r="T25" s="42"/>
      <c r="U25" s="42"/>
    </row>
    <row r="26" customFormat="false" ht="12.75" hidden="false" customHeight="true" outlineLevel="0" collapsed="false">
      <c r="A26" s="42"/>
      <c r="B26" s="42"/>
      <c r="C26" s="42"/>
      <c r="D26" s="42"/>
      <c r="E26" s="42"/>
      <c r="F26" s="42"/>
      <c r="G26" s="42"/>
      <c r="H26" s="42"/>
      <c r="I26" s="42"/>
      <c r="J26" s="42"/>
      <c r="K26" s="42"/>
      <c r="L26" s="42"/>
      <c r="M26" s="42"/>
      <c r="N26" s="42"/>
      <c r="O26" s="42"/>
      <c r="P26" s="42"/>
      <c r="Q26" s="42"/>
      <c r="R26" s="42"/>
      <c r="S26" s="42"/>
      <c r="T26" s="42"/>
      <c r="U26" s="42"/>
    </row>
    <row r="27" customFormat="false" ht="12.75" hidden="false" customHeight="true" outlineLevel="0" collapsed="false">
      <c r="A27" s="173"/>
      <c r="B27" s="8"/>
      <c r="C27" s="595" t="s">
        <v>278</v>
      </c>
      <c r="D27" s="8" t="s">
        <v>0</v>
      </c>
      <c r="E27" s="595" t="s">
        <v>280</v>
      </c>
      <c r="F27" s="8"/>
      <c r="G27" s="8"/>
      <c r="H27" s="8"/>
      <c r="I27" s="8"/>
      <c r="J27" s="8"/>
      <c r="K27" s="8"/>
      <c r="L27" s="8"/>
      <c r="M27" s="8"/>
      <c r="N27" s="8"/>
      <c r="O27" s="8"/>
      <c r="P27" s="8"/>
      <c r="Q27" s="8"/>
      <c r="R27" s="8"/>
      <c r="S27" s="8"/>
      <c r="T27" s="8"/>
      <c r="U27" s="7"/>
    </row>
    <row r="28" customFormat="false" ht="12" hidden="false" customHeight="true" outlineLevel="0" collapsed="false">
      <c r="A28" s="19"/>
      <c r="B28" s="19"/>
      <c r="C28" s="19"/>
      <c r="D28" s="19"/>
      <c r="E28" s="19"/>
      <c r="F28" s="19"/>
      <c r="G28" s="42"/>
      <c r="H28" s="42"/>
      <c r="I28" s="42"/>
      <c r="J28" s="42"/>
      <c r="K28" s="42"/>
      <c r="L28" s="42"/>
      <c r="M28" s="42"/>
      <c r="N28" s="42"/>
      <c r="O28" s="42"/>
      <c r="P28" s="42"/>
      <c r="Q28" s="42"/>
      <c r="R28" s="42"/>
      <c r="S28" s="42"/>
      <c r="T28" s="42"/>
      <c r="U28" s="42"/>
    </row>
    <row r="29" customFormat="false" ht="12.75" hidden="false" customHeight="true" outlineLevel="0" collapsed="false">
      <c r="A29" s="19"/>
      <c r="B29" s="19"/>
      <c r="C29" s="19"/>
      <c r="D29" s="19"/>
      <c r="E29" s="215" t="s">
        <v>693</v>
      </c>
      <c r="F29" s="19" t="s">
        <v>694</v>
      </c>
      <c r="G29" s="42" t="s">
        <v>695</v>
      </c>
      <c r="H29" s="42"/>
      <c r="I29" s="42"/>
      <c r="J29" s="42"/>
      <c r="K29" s="42"/>
      <c r="L29" s="42"/>
      <c r="M29" s="42"/>
      <c r="N29" s="42"/>
      <c r="O29" s="42"/>
      <c r="P29" s="42"/>
      <c r="Q29" s="42"/>
      <c r="R29" s="42"/>
      <c r="S29" s="42"/>
      <c r="T29" s="42"/>
      <c r="U29" s="42"/>
    </row>
    <row r="30" customFormat="false" ht="15.75" hidden="false" customHeight="true" outlineLevel="0" collapsed="false">
      <c r="A30" s="61" t="s">
        <v>720</v>
      </c>
      <c r="B30" s="62"/>
      <c r="C30" s="596" t="s">
        <v>697</v>
      </c>
      <c r="D30" s="578"/>
      <c r="E30" s="579" t="n">
        <v>19</v>
      </c>
      <c r="F30" s="580" t="str">
        <f aca="false" t="array" ref="F30:F30">INDEX(C33:C51,E30,1)</f>
        <v>LoRa</v>
      </c>
      <c r="G30" s="42"/>
      <c r="H30" s="581" t="s">
        <v>698</v>
      </c>
      <c r="I30" s="42"/>
      <c r="J30" s="42"/>
      <c r="K30" s="42"/>
      <c r="L30" s="42"/>
      <c r="M30" s="42"/>
      <c r="N30" s="42"/>
      <c r="O30" s="42"/>
      <c r="P30" s="42"/>
      <c r="Q30" s="42"/>
      <c r="R30" s="42"/>
      <c r="S30" s="42"/>
      <c r="T30" s="42"/>
      <c r="U30" s="42"/>
    </row>
    <row r="31" customFormat="false" ht="12.75" hidden="false" customHeight="true" outlineLevel="0" collapsed="false">
      <c r="A31" s="91" t="s">
        <v>721</v>
      </c>
      <c r="B31" s="19"/>
      <c r="C31" s="19"/>
      <c r="D31" s="19"/>
      <c r="E31" s="19"/>
      <c r="F31" s="19"/>
      <c r="G31" s="42"/>
      <c r="H31" s="582" t="s">
        <v>700</v>
      </c>
      <c r="I31" s="42"/>
      <c r="J31" s="42"/>
      <c r="K31" s="42"/>
      <c r="L31" s="42"/>
      <c r="M31" s="42"/>
      <c r="N31" s="42"/>
      <c r="O31" s="42"/>
      <c r="P31" s="42"/>
      <c r="Q31" s="42"/>
      <c r="R31" s="42"/>
      <c r="S31" s="42"/>
      <c r="T31" s="42"/>
      <c r="U31" s="42"/>
    </row>
    <row r="32" customFormat="false" ht="15" hidden="false" customHeight="true" outlineLevel="0" collapsed="false">
      <c r="A32" s="42"/>
      <c r="B32" s="583" t="s">
        <v>308</v>
      </c>
      <c r="C32" s="583" t="s">
        <v>701</v>
      </c>
      <c r="D32" s="583" t="s">
        <v>702</v>
      </c>
      <c r="E32" s="583" t="s">
        <v>703</v>
      </c>
      <c r="F32" s="583" t="s">
        <v>704</v>
      </c>
      <c r="G32" s="42"/>
      <c r="H32" s="584" t="n">
        <f aca="false" t="array" ref="H32:H32">INDEX(F33:F51,E30,1)+E53</f>
        <v>7.8</v>
      </c>
      <c r="I32" s="42"/>
      <c r="J32" s="42"/>
      <c r="K32" s="42"/>
      <c r="L32" s="42"/>
      <c r="M32" s="42"/>
      <c r="N32" s="42"/>
      <c r="O32" s="42"/>
      <c r="P32" s="42"/>
      <c r="Q32" s="42"/>
      <c r="R32" s="42"/>
      <c r="S32" s="42"/>
      <c r="T32" s="42"/>
      <c r="U32" s="42"/>
    </row>
    <row r="33" customFormat="false" ht="15.75" hidden="false" customHeight="true" outlineLevel="0" collapsed="false">
      <c r="A33" s="42"/>
      <c r="B33" s="585" t="n">
        <v>1</v>
      </c>
      <c r="C33" s="586" t="s">
        <v>705</v>
      </c>
      <c r="D33" s="586" t="s">
        <v>706</v>
      </c>
      <c r="E33" s="587" t="n">
        <v>0.0001</v>
      </c>
      <c r="F33" s="588" t="n">
        <v>21</v>
      </c>
      <c r="G33" s="42"/>
      <c r="H33" s="589" t="s">
        <v>258</v>
      </c>
      <c r="I33" s="42"/>
      <c r="J33" s="42"/>
      <c r="K33" s="42"/>
      <c r="L33" s="42"/>
      <c r="M33" s="42"/>
      <c r="N33" s="42"/>
      <c r="O33" s="42"/>
      <c r="P33" s="42"/>
      <c r="Q33" s="42"/>
      <c r="R33" s="42"/>
      <c r="S33" s="42"/>
      <c r="T33" s="42"/>
      <c r="U33" s="42"/>
    </row>
    <row r="34" customFormat="false" ht="15" hidden="false" customHeight="true" outlineLevel="0" collapsed="false">
      <c r="A34" s="42"/>
      <c r="B34" s="585" t="n">
        <v>2</v>
      </c>
      <c r="C34" s="586" t="s">
        <v>705</v>
      </c>
      <c r="D34" s="586" t="s">
        <v>706</v>
      </c>
      <c r="E34" s="587" t="n">
        <v>1E-005</v>
      </c>
      <c r="F34" s="588" t="n">
        <v>23.2</v>
      </c>
      <c r="G34" s="42"/>
      <c r="H34" s="42"/>
      <c r="I34" s="42"/>
      <c r="J34" s="42"/>
      <c r="K34" s="42"/>
      <c r="L34" s="42"/>
      <c r="M34" s="42"/>
      <c r="N34" s="42"/>
      <c r="O34" s="42"/>
      <c r="P34" s="42"/>
      <c r="Q34" s="42"/>
      <c r="R34" s="42"/>
      <c r="S34" s="42"/>
      <c r="T34" s="42"/>
      <c r="U34" s="42"/>
    </row>
    <row r="35" customFormat="false" ht="15" hidden="false" customHeight="true" outlineLevel="0" collapsed="false">
      <c r="A35" s="42"/>
      <c r="B35" s="585" t="n">
        <v>3</v>
      </c>
      <c r="C35" s="586" t="s">
        <v>707</v>
      </c>
      <c r="D35" s="586" t="s">
        <v>706</v>
      </c>
      <c r="E35" s="587" t="n">
        <v>0.0001</v>
      </c>
      <c r="F35" s="588" t="n">
        <v>16.7</v>
      </c>
      <c r="G35" s="42"/>
      <c r="H35" s="42"/>
      <c r="I35" s="42"/>
      <c r="J35" s="42"/>
      <c r="K35" s="42"/>
      <c r="L35" s="42"/>
      <c r="M35" s="42"/>
      <c r="N35" s="42"/>
      <c r="O35" s="42"/>
      <c r="P35" s="42"/>
      <c r="Q35" s="42"/>
      <c r="R35" s="42"/>
      <c r="S35" s="42"/>
      <c r="T35" s="42"/>
      <c r="U35" s="42"/>
    </row>
    <row r="36" customFormat="false" ht="15" hidden="false" customHeight="true" outlineLevel="0" collapsed="false">
      <c r="A36" s="42"/>
      <c r="B36" s="585" t="n">
        <v>4</v>
      </c>
      <c r="C36" s="586" t="s">
        <v>707</v>
      </c>
      <c r="D36" s="586" t="s">
        <v>706</v>
      </c>
      <c r="E36" s="587" t="n">
        <v>1E-005</v>
      </c>
      <c r="F36" s="588" t="n">
        <v>18</v>
      </c>
      <c r="G36" s="42"/>
      <c r="H36" s="42"/>
      <c r="I36" s="42"/>
      <c r="J36" s="42"/>
      <c r="K36" s="42"/>
      <c r="L36" s="42"/>
      <c r="M36" s="42"/>
      <c r="N36" s="42"/>
      <c r="O36" s="42"/>
      <c r="P36" s="42"/>
      <c r="Q36" s="42"/>
      <c r="R36" s="42"/>
      <c r="S36" s="42"/>
      <c r="T36" s="42"/>
      <c r="U36" s="42"/>
    </row>
    <row r="37" customFormat="false" ht="15" hidden="false" customHeight="true" outlineLevel="0" collapsed="false">
      <c r="A37" s="42"/>
      <c r="B37" s="585" t="n">
        <v>5</v>
      </c>
      <c r="C37" s="586" t="s">
        <v>708</v>
      </c>
      <c r="D37" s="586" t="s">
        <v>706</v>
      </c>
      <c r="E37" s="587" t="n">
        <v>0.0001</v>
      </c>
      <c r="F37" s="588" t="n">
        <v>13.4</v>
      </c>
      <c r="G37" s="42"/>
      <c r="H37" s="42"/>
      <c r="I37" s="42"/>
      <c r="J37" s="42"/>
      <c r="K37" s="42"/>
      <c r="L37" s="42"/>
      <c r="M37" s="42"/>
      <c r="N37" s="42"/>
      <c r="O37" s="42"/>
      <c r="P37" s="42"/>
      <c r="Q37" s="42"/>
      <c r="R37" s="42"/>
      <c r="S37" s="42"/>
      <c r="T37" s="42"/>
      <c r="U37" s="42"/>
    </row>
    <row r="38" customFormat="false" ht="15" hidden="false" customHeight="true" outlineLevel="0" collapsed="false">
      <c r="A38" s="42"/>
      <c r="B38" s="585" t="n">
        <v>6</v>
      </c>
      <c r="C38" s="586" t="s">
        <v>708</v>
      </c>
      <c r="D38" s="586" t="s">
        <v>706</v>
      </c>
      <c r="E38" s="587" t="n">
        <v>1E-005</v>
      </c>
      <c r="F38" s="588" t="n">
        <v>13.8</v>
      </c>
      <c r="G38" s="42"/>
      <c r="H38" s="42"/>
      <c r="I38" s="42"/>
      <c r="J38" s="42"/>
      <c r="K38" s="42"/>
      <c r="L38" s="42"/>
      <c r="M38" s="42"/>
      <c r="N38" s="42"/>
      <c r="O38" s="42"/>
      <c r="P38" s="42"/>
      <c r="Q38" s="42"/>
      <c r="R38" s="42"/>
      <c r="S38" s="42"/>
      <c r="T38" s="42"/>
      <c r="U38" s="42"/>
    </row>
    <row r="39" customFormat="false" ht="15" hidden="false" customHeight="true" outlineLevel="0" collapsed="false">
      <c r="A39" s="42"/>
      <c r="B39" s="585" t="n">
        <v>7</v>
      </c>
      <c r="C39" s="586" t="s">
        <v>709</v>
      </c>
      <c r="D39" s="586" t="s">
        <v>706</v>
      </c>
      <c r="E39" s="587" t="n">
        <v>0.0001</v>
      </c>
      <c r="F39" s="588" t="n">
        <v>10.5</v>
      </c>
      <c r="G39" s="42"/>
      <c r="H39" s="42"/>
      <c r="I39" s="42"/>
      <c r="J39" s="42"/>
      <c r="K39" s="42"/>
      <c r="L39" s="42"/>
      <c r="M39" s="42"/>
      <c r="N39" s="42"/>
      <c r="O39" s="42"/>
      <c r="P39" s="42"/>
      <c r="Q39" s="42"/>
      <c r="R39" s="42"/>
      <c r="S39" s="42"/>
      <c r="T39" s="42"/>
      <c r="U39" s="42"/>
    </row>
    <row r="40" customFormat="false" ht="15" hidden="false" customHeight="true" outlineLevel="0" collapsed="false">
      <c r="A40" s="42"/>
      <c r="B40" s="585" t="n">
        <v>8</v>
      </c>
      <c r="C40" s="586" t="s">
        <v>709</v>
      </c>
      <c r="D40" s="586" t="s">
        <v>706</v>
      </c>
      <c r="E40" s="587" t="n">
        <v>1E-005</v>
      </c>
      <c r="F40" s="588" t="n">
        <v>11.9</v>
      </c>
      <c r="G40" s="42"/>
      <c r="H40" s="42"/>
      <c r="I40" s="42"/>
      <c r="J40" s="42"/>
      <c r="K40" s="42"/>
      <c r="L40" s="42"/>
      <c r="M40" s="42"/>
      <c r="N40" s="42"/>
      <c r="O40" s="42"/>
      <c r="P40" s="42"/>
      <c r="Q40" s="42"/>
      <c r="R40" s="42"/>
      <c r="S40" s="42"/>
      <c r="T40" s="42"/>
      <c r="U40" s="42"/>
    </row>
    <row r="41" customFormat="false" ht="15" hidden="false" customHeight="true" outlineLevel="0" collapsed="false">
      <c r="A41" s="42"/>
      <c r="B41" s="585" t="n">
        <v>9</v>
      </c>
      <c r="C41" s="586" t="s">
        <v>710</v>
      </c>
      <c r="D41" s="586" t="s">
        <v>706</v>
      </c>
      <c r="E41" s="587" t="n">
        <v>0.0001</v>
      </c>
      <c r="F41" s="588" t="n">
        <v>8.4</v>
      </c>
      <c r="G41" s="42"/>
      <c r="H41" s="42"/>
      <c r="I41" s="42"/>
      <c r="J41" s="42"/>
      <c r="K41" s="42"/>
      <c r="L41" s="42"/>
      <c r="M41" s="42"/>
      <c r="N41" s="42"/>
      <c r="O41" s="42"/>
      <c r="P41" s="42"/>
      <c r="Q41" s="42"/>
      <c r="R41" s="42"/>
      <c r="S41" s="42"/>
      <c r="T41" s="42"/>
      <c r="U41" s="42"/>
    </row>
    <row r="42" customFormat="false" ht="15" hidden="false" customHeight="true" outlineLevel="0" collapsed="false">
      <c r="A42" s="42"/>
      <c r="B42" s="585" t="n">
        <v>10</v>
      </c>
      <c r="C42" s="586" t="s">
        <v>710</v>
      </c>
      <c r="D42" s="586" t="s">
        <v>706</v>
      </c>
      <c r="E42" s="587" t="n">
        <v>1E-005</v>
      </c>
      <c r="F42" s="588" t="n">
        <v>9.6</v>
      </c>
      <c r="G42" s="42"/>
      <c r="H42" s="42"/>
      <c r="I42" s="42"/>
      <c r="J42" s="42"/>
      <c r="K42" s="42"/>
      <c r="L42" s="42"/>
      <c r="M42" s="42"/>
      <c r="N42" s="42"/>
      <c r="O42" s="42"/>
      <c r="P42" s="42"/>
      <c r="Q42" s="42"/>
      <c r="R42" s="42"/>
      <c r="S42" s="42"/>
      <c r="T42" s="42"/>
      <c r="U42" s="42"/>
    </row>
    <row r="43" customFormat="false" ht="15" hidden="false" customHeight="true" outlineLevel="0" collapsed="false">
      <c r="A43" s="42"/>
      <c r="B43" s="585" t="n">
        <v>11</v>
      </c>
      <c r="C43" s="586" t="s">
        <v>711</v>
      </c>
      <c r="D43" s="586" t="s">
        <v>706</v>
      </c>
      <c r="E43" s="587" t="n">
        <v>1E-005</v>
      </c>
      <c r="F43" s="588" t="n">
        <v>9.6</v>
      </c>
      <c r="G43" s="42"/>
      <c r="H43" s="42"/>
      <c r="I43" s="42"/>
      <c r="J43" s="42"/>
      <c r="K43" s="42"/>
      <c r="L43" s="42"/>
      <c r="M43" s="42"/>
      <c r="N43" s="42"/>
      <c r="O43" s="42"/>
      <c r="P43" s="42"/>
      <c r="Q43" s="42"/>
      <c r="R43" s="42"/>
      <c r="S43" s="42"/>
      <c r="T43" s="42"/>
      <c r="U43" s="42"/>
    </row>
    <row r="44" customFormat="false" ht="15" hidden="false" customHeight="true" outlineLevel="0" collapsed="false">
      <c r="A44" s="42"/>
      <c r="B44" s="585" t="n">
        <v>12</v>
      </c>
      <c r="C44" s="586" t="s">
        <v>711</v>
      </c>
      <c r="D44" s="586" t="s">
        <v>706</v>
      </c>
      <c r="E44" s="587" t="n">
        <v>1E-006</v>
      </c>
      <c r="F44" s="588" t="n">
        <v>10.5</v>
      </c>
      <c r="G44" s="42"/>
      <c r="H44" s="42"/>
      <c r="I44" s="42"/>
      <c r="J44" s="42"/>
      <c r="K44" s="42"/>
      <c r="L44" s="42"/>
      <c r="M44" s="42"/>
      <c r="N44" s="42"/>
      <c r="O44" s="42"/>
      <c r="P44" s="42"/>
      <c r="Q44" s="42"/>
      <c r="R44" s="42"/>
      <c r="S44" s="42"/>
      <c r="T44" s="42"/>
      <c r="U44" s="42"/>
    </row>
    <row r="45" customFormat="false" ht="15" hidden="false" customHeight="true" outlineLevel="0" collapsed="false">
      <c r="A45" s="42"/>
      <c r="B45" s="585" t="n">
        <v>13</v>
      </c>
      <c r="C45" s="586" t="s">
        <v>712</v>
      </c>
      <c r="D45" s="586" t="s">
        <v>706</v>
      </c>
      <c r="E45" s="587" t="n">
        <v>1E-005</v>
      </c>
      <c r="F45" s="588" t="n">
        <v>9.6</v>
      </c>
      <c r="G45" s="42"/>
      <c r="H45" s="42"/>
      <c r="I45" s="42"/>
      <c r="J45" s="42"/>
      <c r="K45" s="42"/>
      <c r="L45" s="42"/>
      <c r="M45" s="42"/>
      <c r="N45" s="42"/>
      <c r="O45" s="42"/>
      <c r="P45" s="42"/>
      <c r="Q45" s="42"/>
      <c r="R45" s="42"/>
      <c r="S45" s="42"/>
      <c r="T45" s="42"/>
      <c r="U45" s="42"/>
    </row>
    <row r="46" customFormat="false" ht="15" hidden="false" customHeight="true" outlineLevel="0" collapsed="false">
      <c r="A46" s="42"/>
      <c r="B46" s="585" t="n">
        <v>14</v>
      </c>
      <c r="C46" s="586" t="s">
        <v>712</v>
      </c>
      <c r="D46" s="586" t="s">
        <v>706</v>
      </c>
      <c r="E46" s="587" t="n">
        <v>1E-006</v>
      </c>
      <c r="F46" s="588" t="n">
        <v>10.5</v>
      </c>
      <c r="G46" s="42"/>
      <c r="H46" s="42"/>
      <c r="I46" s="42"/>
      <c r="J46" s="42"/>
      <c r="K46" s="42"/>
      <c r="L46" s="42"/>
      <c r="M46" s="42"/>
      <c r="N46" s="42"/>
      <c r="O46" s="42"/>
      <c r="P46" s="42"/>
      <c r="Q46" s="42"/>
      <c r="R46" s="42"/>
      <c r="S46" s="42"/>
      <c r="T46" s="42"/>
      <c r="U46" s="42"/>
    </row>
    <row r="47" customFormat="false" ht="15" hidden="false" customHeight="true" outlineLevel="0" collapsed="false">
      <c r="A47" s="42"/>
      <c r="B47" s="585" t="n">
        <v>15</v>
      </c>
      <c r="C47" s="586" t="s">
        <v>711</v>
      </c>
      <c r="D47" s="586" t="s">
        <v>713</v>
      </c>
      <c r="E47" s="587" t="n">
        <v>1E-006</v>
      </c>
      <c r="F47" s="588" t="n">
        <v>4.8</v>
      </c>
      <c r="G47" s="42"/>
      <c r="H47" s="42"/>
      <c r="I47" s="42"/>
      <c r="J47" s="42"/>
      <c r="K47" s="42"/>
      <c r="L47" s="42"/>
      <c r="M47" s="42"/>
      <c r="N47" s="42"/>
      <c r="O47" s="42"/>
      <c r="P47" s="42"/>
      <c r="Q47" s="42"/>
      <c r="R47" s="42"/>
      <c r="S47" s="42"/>
      <c r="T47" s="42"/>
      <c r="U47" s="42"/>
    </row>
    <row r="48" customFormat="false" ht="15" hidden="false" customHeight="true" outlineLevel="0" collapsed="false">
      <c r="A48" s="42"/>
      <c r="B48" s="585" t="n">
        <v>16</v>
      </c>
      <c r="C48" s="586" t="s">
        <v>711</v>
      </c>
      <c r="D48" s="586" t="s">
        <v>714</v>
      </c>
      <c r="E48" s="587" t="n">
        <v>1E-006</v>
      </c>
      <c r="F48" s="588" t="n">
        <v>2.5</v>
      </c>
      <c r="G48" s="42"/>
      <c r="H48" s="42"/>
      <c r="I48" s="42"/>
      <c r="J48" s="42"/>
      <c r="K48" s="42"/>
      <c r="L48" s="42"/>
      <c r="M48" s="42"/>
      <c r="N48" s="42"/>
      <c r="O48" s="42"/>
      <c r="P48" s="42"/>
      <c r="Q48" s="42"/>
      <c r="R48" s="42"/>
      <c r="S48" s="42"/>
      <c r="T48" s="42"/>
      <c r="U48" s="42"/>
    </row>
    <row r="49" customFormat="false" ht="15" hidden="false" customHeight="true" outlineLevel="0" collapsed="false">
      <c r="A49" s="42"/>
      <c r="B49" s="585" t="n">
        <v>17</v>
      </c>
      <c r="C49" s="586" t="s">
        <v>711</v>
      </c>
      <c r="D49" s="586" t="s">
        <v>715</v>
      </c>
      <c r="E49" s="587" t="n">
        <v>1E-007</v>
      </c>
      <c r="F49" s="588" t="n">
        <v>0.8</v>
      </c>
      <c r="G49" s="42"/>
      <c r="H49" s="42"/>
      <c r="I49" s="42"/>
      <c r="J49" s="42"/>
      <c r="K49" s="42"/>
      <c r="L49" s="42"/>
      <c r="M49" s="42"/>
      <c r="N49" s="42"/>
      <c r="O49" s="42"/>
      <c r="P49" s="42"/>
      <c r="Q49" s="42"/>
      <c r="R49" s="42"/>
      <c r="S49" s="42"/>
      <c r="T49" s="42"/>
      <c r="U49" s="42"/>
    </row>
    <row r="50" customFormat="false" ht="15" hidden="false" customHeight="true" outlineLevel="0" collapsed="false">
      <c r="A50" s="42"/>
      <c r="B50" s="585" t="n">
        <v>18</v>
      </c>
      <c r="C50" s="586" t="s">
        <v>711</v>
      </c>
      <c r="D50" s="586" t="s">
        <v>722</v>
      </c>
      <c r="E50" s="587" t="n">
        <v>1E-006</v>
      </c>
      <c r="F50" s="597" t="n">
        <v>0.75</v>
      </c>
      <c r="G50" s="42"/>
      <c r="H50" s="42"/>
      <c r="I50" s="42"/>
      <c r="J50" s="42"/>
      <c r="K50" s="42"/>
      <c r="L50" s="42"/>
      <c r="M50" s="42"/>
      <c r="N50" s="42"/>
      <c r="O50" s="42"/>
      <c r="P50" s="42"/>
      <c r="Q50" s="42"/>
      <c r="R50" s="42"/>
      <c r="S50" s="42"/>
      <c r="T50" s="42"/>
      <c r="U50" s="42"/>
    </row>
    <row r="51" customFormat="false" ht="15" hidden="false" customHeight="true" outlineLevel="0" collapsed="false">
      <c r="A51" s="42"/>
      <c r="B51" s="585" t="n">
        <v>19</v>
      </c>
      <c r="C51" s="590" t="s">
        <v>716</v>
      </c>
      <c r="D51" s="590" t="s">
        <v>717</v>
      </c>
      <c r="E51" s="598" t="n">
        <v>1E-006</v>
      </c>
      <c r="F51" s="591" t="n">
        <v>6.8</v>
      </c>
      <c r="G51" s="42"/>
      <c r="H51" s="42"/>
      <c r="I51" s="42"/>
      <c r="J51" s="42"/>
      <c r="K51" s="42"/>
      <c r="L51" s="42"/>
      <c r="M51" s="42"/>
      <c r="N51" s="42"/>
      <c r="O51" s="42"/>
      <c r="P51" s="42"/>
      <c r="Q51" s="42"/>
      <c r="R51" s="42"/>
      <c r="S51" s="42"/>
      <c r="T51" s="42"/>
      <c r="U51" s="42"/>
    </row>
    <row r="52" customFormat="false" ht="12.75" hidden="false" customHeight="true" outlineLevel="0" collapsed="false">
      <c r="A52" s="42"/>
      <c r="B52" s="42"/>
      <c r="C52" s="42"/>
      <c r="D52" s="566" t="s">
        <v>718</v>
      </c>
      <c r="E52" s="42"/>
      <c r="F52" s="55"/>
      <c r="G52" s="42"/>
      <c r="H52" s="42"/>
      <c r="I52" s="42"/>
      <c r="J52" s="42"/>
      <c r="K52" s="42"/>
      <c r="L52" s="42"/>
      <c r="M52" s="42"/>
      <c r="N52" s="42"/>
      <c r="O52" s="42"/>
      <c r="P52" s="42"/>
      <c r="Q52" s="42"/>
      <c r="R52" s="42"/>
      <c r="S52" s="42"/>
      <c r="T52" s="42"/>
      <c r="U52" s="42"/>
    </row>
    <row r="53" customFormat="false" ht="15.75" hidden="false" customHeight="true" outlineLevel="0" collapsed="false">
      <c r="A53" s="42"/>
      <c r="B53" s="42"/>
      <c r="C53" s="42"/>
      <c r="D53" s="592" t="s">
        <v>719</v>
      </c>
      <c r="E53" s="593" t="n">
        <v>1</v>
      </c>
      <c r="F53" s="594" t="s">
        <v>258</v>
      </c>
      <c r="G53" s="42"/>
      <c r="H53" s="42"/>
      <c r="I53" s="42"/>
      <c r="J53" s="42"/>
      <c r="K53" s="42"/>
      <c r="L53" s="42"/>
      <c r="M53" s="42"/>
      <c r="N53" s="42"/>
      <c r="O53" s="42"/>
      <c r="P53" s="42"/>
      <c r="Q53" s="42"/>
      <c r="R53" s="42"/>
      <c r="S53" s="42"/>
      <c r="T53" s="42"/>
      <c r="U53" s="42"/>
    </row>
    <row r="54" customFormat="false" ht="12" hidden="false" customHeight="true" outlineLevel="0" collapsed="false">
      <c r="A54" s="42"/>
      <c r="B54" s="23" t="s">
        <v>60</v>
      </c>
      <c r="C54" s="42"/>
      <c r="D54" s="42"/>
      <c r="E54" s="42"/>
      <c r="F54" s="42"/>
      <c r="G54" s="42"/>
      <c r="H54" s="42"/>
      <c r="I54" s="42"/>
      <c r="J54" s="42"/>
      <c r="K54" s="42"/>
      <c r="L54" s="42"/>
      <c r="M54" s="42"/>
      <c r="N54" s="42"/>
      <c r="O54" s="42"/>
      <c r="P54" s="42"/>
      <c r="Q54" s="42"/>
      <c r="R54" s="42"/>
      <c r="S54" s="42"/>
      <c r="T54" s="42"/>
      <c r="U54" s="42"/>
    </row>
    <row r="55" customFormat="false" ht="12" hidden="false" customHeight="true" outlineLevel="0" collapsed="false">
      <c r="A55" s="42"/>
      <c r="B55" s="42"/>
      <c r="C55" s="42"/>
      <c r="D55" s="42"/>
      <c r="E55" s="42"/>
      <c r="F55" s="42"/>
      <c r="G55" s="42"/>
      <c r="H55" s="42"/>
      <c r="I55" s="42"/>
      <c r="J55" s="42"/>
      <c r="K55" s="42"/>
      <c r="L55" s="42"/>
      <c r="M55" s="42"/>
      <c r="N55" s="42"/>
      <c r="O55" s="42"/>
      <c r="P55" s="42"/>
      <c r="Q55" s="42"/>
      <c r="R55" s="42"/>
      <c r="S55" s="42"/>
      <c r="T55" s="42"/>
      <c r="U55" s="42"/>
    </row>
    <row r="56" customFormat="false" ht="12" hidden="false" customHeight="true" outlineLevel="0" collapsed="false">
      <c r="A56" s="42"/>
      <c r="B56" s="42"/>
      <c r="C56" s="42"/>
      <c r="D56" s="42"/>
      <c r="E56" s="42"/>
      <c r="F56" s="42"/>
      <c r="G56" s="42"/>
      <c r="H56" s="42"/>
      <c r="I56" s="42"/>
      <c r="J56" s="42"/>
      <c r="K56" s="42"/>
      <c r="L56" s="42"/>
      <c r="M56" s="42"/>
      <c r="N56" s="42"/>
      <c r="O56" s="42"/>
      <c r="P56" s="42"/>
      <c r="Q56" s="42"/>
      <c r="R56" s="42"/>
      <c r="S56" s="42"/>
      <c r="T56" s="42"/>
      <c r="U56" s="42"/>
    </row>
    <row r="57" customFormat="false" ht="12" hidden="false" customHeight="true" outlineLevel="0" collapsed="false">
      <c r="A57" s="42"/>
      <c r="B57" s="42"/>
      <c r="C57" s="42"/>
      <c r="D57" s="42"/>
      <c r="E57" s="42"/>
      <c r="F57" s="42"/>
      <c r="G57" s="42"/>
      <c r="H57" s="42"/>
      <c r="I57" s="42"/>
      <c r="J57" s="42"/>
      <c r="K57" s="42"/>
      <c r="L57" s="42"/>
      <c r="M57" s="42"/>
      <c r="N57" s="42"/>
      <c r="O57" s="42"/>
      <c r="P57" s="42"/>
      <c r="Q57" s="42"/>
      <c r="R57" s="42"/>
      <c r="S57" s="42"/>
      <c r="T57" s="42"/>
      <c r="U57" s="42"/>
    </row>
    <row r="58" customFormat="false" ht="12" hidden="false" customHeight="true" outlineLevel="0" collapsed="false">
      <c r="A58" s="42"/>
      <c r="B58" s="42"/>
      <c r="C58" s="42"/>
      <c r="D58" s="42"/>
      <c r="E58" s="42"/>
      <c r="F58" s="42"/>
      <c r="G58" s="42"/>
      <c r="H58" s="42"/>
      <c r="I58" s="42"/>
      <c r="J58" s="42"/>
      <c r="K58" s="42"/>
      <c r="L58" s="42"/>
      <c r="M58" s="42"/>
      <c r="N58" s="42"/>
      <c r="O58" s="42"/>
      <c r="P58" s="42"/>
      <c r="Q58" s="42"/>
      <c r="R58" s="42"/>
      <c r="S58" s="42"/>
      <c r="T58" s="42"/>
      <c r="U58" s="42"/>
    </row>
    <row r="59" customFormat="false" ht="12" hidden="false" customHeight="true" outlineLevel="0" collapsed="false">
      <c r="A59" s="42"/>
      <c r="B59" s="42"/>
      <c r="C59" s="42"/>
      <c r="D59" s="42"/>
      <c r="E59" s="42"/>
      <c r="F59" s="42"/>
      <c r="G59" s="42"/>
      <c r="H59" s="42"/>
      <c r="I59" s="42"/>
      <c r="J59" s="42"/>
      <c r="K59" s="42"/>
      <c r="L59" s="42"/>
      <c r="M59" s="42"/>
      <c r="N59" s="42"/>
      <c r="O59" s="42"/>
      <c r="P59" s="42"/>
      <c r="Q59" s="42"/>
      <c r="R59" s="42"/>
      <c r="S59" s="42"/>
      <c r="T59" s="42"/>
      <c r="U59" s="42"/>
    </row>
    <row r="60" customFormat="false" ht="12" hidden="false" customHeight="true" outlineLevel="0" collapsed="false">
      <c r="A60" s="42"/>
      <c r="B60" s="42"/>
      <c r="C60" s="42"/>
      <c r="D60" s="42"/>
      <c r="E60" s="42"/>
      <c r="F60" s="42"/>
      <c r="G60" s="42"/>
      <c r="H60" s="42"/>
      <c r="I60" s="42"/>
      <c r="J60" s="42"/>
      <c r="K60" s="42"/>
      <c r="L60" s="42"/>
      <c r="M60" s="42"/>
      <c r="N60" s="42"/>
      <c r="O60" s="42"/>
      <c r="P60" s="42"/>
      <c r="Q60" s="42"/>
      <c r="R60" s="42"/>
      <c r="S60" s="42"/>
      <c r="T60" s="42"/>
      <c r="U60" s="42"/>
    </row>
    <row r="61" customFormat="false" ht="12" hidden="false" customHeight="true" outlineLevel="0" collapsed="false">
      <c r="A61" s="42"/>
      <c r="B61" s="42"/>
      <c r="C61" s="42"/>
      <c r="D61" s="42" t="s">
        <v>0</v>
      </c>
      <c r="E61" s="42"/>
      <c r="F61" s="42"/>
      <c r="G61" s="42"/>
      <c r="H61" s="42"/>
      <c r="I61" s="42"/>
      <c r="J61" s="42"/>
      <c r="K61" s="42"/>
      <c r="L61" s="42"/>
      <c r="M61" s="42"/>
      <c r="N61" s="42"/>
      <c r="O61" s="42"/>
      <c r="P61" s="42"/>
      <c r="Q61" s="42"/>
      <c r="R61" s="42"/>
      <c r="S61" s="42"/>
      <c r="T61" s="42"/>
      <c r="U61" s="42"/>
    </row>
    <row r="62" customFormat="false" ht="12" hidden="false" customHeight="true" outlineLevel="0" collapsed="false">
      <c r="A62" s="42"/>
      <c r="B62" s="42"/>
      <c r="C62" s="42"/>
      <c r="D62" s="42"/>
      <c r="E62" s="42"/>
      <c r="F62" s="42"/>
      <c r="G62" s="42"/>
      <c r="H62" s="42"/>
      <c r="I62" s="42"/>
      <c r="J62" s="42"/>
      <c r="K62" s="42"/>
      <c r="L62" s="42"/>
      <c r="M62" s="42"/>
      <c r="N62" s="42"/>
      <c r="O62" s="42"/>
      <c r="P62" s="42"/>
      <c r="Q62" s="42"/>
      <c r="R62" s="42"/>
      <c r="S62" s="42"/>
      <c r="T62" s="42"/>
      <c r="U62" s="42"/>
    </row>
    <row r="63" customFormat="false" ht="12" hidden="false" customHeight="true" outlineLevel="0" collapsed="false">
      <c r="A63" s="42"/>
      <c r="B63" s="42"/>
      <c r="C63" s="42"/>
      <c r="D63" s="42"/>
      <c r="E63" s="42"/>
      <c r="F63" s="42"/>
      <c r="G63" s="42"/>
      <c r="H63" s="42"/>
      <c r="I63" s="42"/>
      <c r="J63" s="42"/>
      <c r="K63" s="42"/>
      <c r="L63" s="42"/>
      <c r="M63" s="42"/>
      <c r="N63" s="42"/>
      <c r="O63" s="42"/>
      <c r="P63" s="42"/>
      <c r="Q63" s="42"/>
      <c r="R63" s="42"/>
      <c r="S63" s="42"/>
      <c r="T63" s="42"/>
      <c r="U63" s="42"/>
    </row>
    <row r="64" customFormat="false" ht="12" hidden="false" customHeight="true" outlineLevel="0" collapsed="false">
      <c r="A64" s="42"/>
      <c r="B64" s="42"/>
      <c r="C64" s="42"/>
      <c r="D64" s="42"/>
      <c r="E64" s="42"/>
      <c r="F64" s="42"/>
      <c r="G64" s="42"/>
      <c r="H64" s="42"/>
      <c r="I64" s="42"/>
      <c r="J64" s="42"/>
      <c r="K64" s="42"/>
      <c r="L64" s="42"/>
      <c r="M64" s="42"/>
      <c r="N64" s="42"/>
      <c r="O64" s="42"/>
      <c r="P64" s="42"/>
      <c r="Q64" s="42"/>
      <c r="R64" s="42"/>
      <c r="S64" s="42"/>
      <c r="T64" s="42"/>
      <c r="U64" s="42"/>
    </row>
    <row r="65" customFormat="false" ht="12" hidden="false" customHeight="true" outlineLevel="0" collapsed="false">
      <c r="A65" s="42"/>
      <c r="B65" s="42"/>
      <c r="C65" s="42"/>
      <c r="D65" s="42"/>
      <c r="E65" s="42"/>
      <c r="F65" s="42"/>
      <c r="G65" s="42"/>
      <c r="H65" s="42"/>
      <c r="I65" s="42"/>
      <c r="J65" s="42"/>
      <c r="K65" s="42"/>
      <c r="L65" s="42"/>
      <c r="M65" s="42"/>
      <c r="N65" s="42"/>
      <c r="O65" s="42"/>
      <c r="P65" s="42"/>
      <c r="Q65" s="42"/>
      <c r="R65" s="42"/>
      <c r="S65" s="42"/>
      <c r="T65" s="42"/>
      <c r="U65" s="42"/>
    </row>
    <row r="66" customFormat="false" ht="12" hidden="false" customHeight="true" outlineLevel="0" collapsed="false">
      <c r="A66" s="42"/>
      <c r="B66" s="42"/>
      <c r="C66" s="42"/>
      <c r="D66" s="42"/>
      <c r="E66" s="42"/>
      <c r="F66" s="42"/>
      <c r="G66" s="42"/>
      <c r="H66" s="42"/>
      <c r="I66" s="42"/>
      <c r="J66" s="42"/>
      <c r="K66" s="42"/>
      <c r="L66" s="42"/>
      <c r="M66" s="42"/>
      <c r="N66" s="42"/>
      <c r="O66" s="42"/>
      <c r="P66" s="42"/>
      <c r="Q66" s="42"/>
      <c r="R66" s="42"/>
      <c r="S66" s="42"/>
      <c r="T66" s="42"/>
      <c r="U66" s="42"/>
    </row>
    <row r="67" customFormat="false" ht="12" hidden="false" customHeight="true" outlineLevel="0" collapsed="false">
      <c r="A67" s="42"/>
      <c r="B67" s="42"/>
      <c r="C67" s="42"/>
      <c r="D67" s="42"/>
      <c r="E67" s="42"/>
      <c r="F67" s="42"/>
      <c r="G67" s="42"/>
      <c r="H67" s="42"/>
    </row>
    <row r="68" customFormat="false" ht="12" hidden="false" customHeight="true" outlineLevel="0" collapsed="false">
      <c r="A68" s="42"/>
      <c r="B68" s="42"/>
      <c r="C68" s="42"/>
      <c r="D68" s="42"/>
      <c r="E68" s="42"/>
      <c r="F68" s="42"/>
      <c r="G68" s="42"/>
      <c r="H68" s="42"/>
    </row>
    <row r="69" customFormat="false" ht="12" hidden="false" customHeight="true" outlineLevel="0" collapsed="false">
      <c r="A69" s="42"/>
      <c r="B69" s="42"/>
      <c r="C69" s="42"/>
      <c r="D69" s="42"/>
      <c r="E69" s="42"/>
      <c r="F69" s="42"/>
      <c r="G69" s="42"/>
      <c r="H69" s="42"/>
    </row>
    <row r="70" customFormat="false" ht="12" hidden="false" customHeight="true" outlineLevel="0" collapsed="false">
      <c r="A70" s="42"/>
      <c r="B70" s="42"/>
      <c r="C70" s="42"/>
      <c r="D70" s="42"/>
      <c r="E70" s="42"/>
      <c r="F70" s="42"/>
      <c r="G70" s="42"/>
      <c r="H70" s="42"/>
    </row>
    <row r="71" customFormat="false" ht="12" hidden="false" customHeight="true" outlineLevel="0" collapsed="false">
      <c r="A71" s="42"/>
      <c r="B71" s="42"/>
      <c r="C71" s="42"/>
      <c r="D71" s="42"/>
      <c r="E71" s="42"/>
      <c r="F71" s="42"/>
      <c r="G71" s="42"/>
      <c r="H71" s="42"/>
    </row>
    <row r="72" customFormat="false" ht="12" hidden="false" customHeight="true" outlineLevel="0" collapsed="false">
      <c r="A72" s="42"/>
      <c r="B72" s="42"/>
      <c r="C72" s="42"/>
      <c r="D72" s="42"/>
      <c r="E72" s="42"/>
      <c r="F72" s="42"/>
      <c r="G72" s="42"/>
      <c r="H72" s="42"/>
    </row>
    <row r="73" customFormat="false" ht="12" hidden="false" customHeight="true" outlineLevel="0" collapsed="false">
      <c r="A73" s="42"/>
      <c r="B73" s="42"/>
      <c r="C73" s="42"/>
      <c r="D73" s="42"/>
      <c r="E73" s="42"/>
      <c r="F73" s="42"/>
      <c r="G73" s="42"/>
      <c r="H73" s="42"/>
    </row>
    <row r="74" customFormat="false" ht="12" hidden="false" customHeight="true" outlineLevel="0" collapsed="false">
      <c r="A74" s="42"/>
      <c r="B74" s="42"/>
      <c r="C74" s="42"/>
      <c r="D74" s="42"/>
      <c r="E74" s="42"/>
      <c r="F74" s="42"/>
      <c r="G74" s="42"/>
      <c r="H74" s="42"/>
    </row>
    <row r="75" customFormat="false" ht="12" hidden="false" customHeight="true" outlineLevel="0" collapsed="false">
      <c r="A75" s="42"/>
      <c r="B75" s="42"/>
      <c r="C75" s="42"/>
      <c r="D75" s="42"/>
      <c r="E75" s="42"/>
      <c r="F75" s="42"/>
      <c r="G75" s="42"/>
      <c r="H75" s="42"/>
    </row>
    <row r="76" customFormat="false" ht="12" hidden="false" customHeight="true" outlineLevel="0" collapsed="false">
      <c r="A76" s="42"/>
      <c r="B76" s="42"/>
      <c r="C76" s="42"/>
      <c r="D76" s="42"/>
      <c r="E76" s="42"/>
      <c r="F76" s="42"/>
      <c r="G76" s="42"/>
      <c r="H76" s="42"/>
    </row>
    <row r="77" customFormat="false" ht="12" hidden="false" customHeight="true" outlineLevel="0" collapsed="false">
      <c r="A77" s="42"/>
      <c r="B77" s="42"/>
      <c r="C77" s="42"/>
      <c r="D77" s="42"/>
      <c r="E77" s="42"/>
      <c r="F77" s="42"/>
      <c r="G77" s="42"/>
      <c r="H77" s="42"/>
    </row>
    <row r="78" customFormat="false" ht="12" hidden="false" customHeight="true" outlineLevel="0" collapsed="false">
      <c r="A78" s="42"/>
      <c r="B78" s="42"/>
      <c r="C78" s="42"/>
      <c r="D78" s="42"/>
      <c r="E78" s="42"/>
      <c r="F78" s="42"/>
      <c r="G78" s="42"/>
      <c r="H78" s="42"/>
    </row>
    <row r="79" customFormat="false" ht="12" hidden="false" customHeight="true" outlineLevel="0" collapsed="false">
      <c r="A79" s="42"/>
      <c r="B79" s="42"/>
      <c r="C79" s="42"/>
      <c r="D79" s="42"/>
      <c r="E79" s="42"/>
      <c r="F79" s="42"/>
      <c r="G79" s="42"/>
      <c r="H79" s="42"/>
    </row>
    <row r="80" customFormat="false" ht="12" hidden="false" customHeight="true" outlineLevel="0" collapsed="false">
      <c r="A80" s="42"/>
      <c r="B80" s="42"/>
      <c r="C80" s="42"/>
      <c r="D80" s="42"/>
      <c r="E80" s="42"/>
      <c r="F80" s="42"/>
      <c r="G80" s="42"/>
      <c r="H80" s="42"/>
    </row>
    <row r="81" customFormat="false" ht="12" hidden="false" customHeight="true" outlineLevel="0" collapsed="false">
      <c r="A81" s="42"/>
      <c r="B81" s="42"/>
      <c r="C81" s="42"/>
      <c r="D81" s="42"/>
      <c r="E81" s="42"/>
      <c r="F81" s="42"/>
      <c r="G81" s="42"/>
      <c r="H81" s="42"/>
    </row>
    <row r="82" customFormat="false" ht="12" hidden="false" customHeight="true" outlineLevel="0" collapsed="false">
      <c r="A82" s="42"/>
      <c r="B82" s="42"/>
      <c r="C82" s="42"/>
      <c r="D82" s="42"/>
      <c r="E82" s="42"/>
      <c r="F82" s="42"/>
      <c r="G82" s="42"/>
      <c r="H82" s="42"/>
    </row>
    <row r="83" customFormat="false" ht="12" hidden="false" customHeight="true" outlineLevel="0" collapsed="false">
      <c r="A83" s="42"/>
      <c r="B83" s="42"/>
      <c r="C83" s="42"/>
      <c r="D83" s="42"/>
      <c r="E83" s="42"/>
      <c r="F83" s="42"/>
      <c r="G83" s="42"/>
      <c r="H83" s="42"/>
    </row>
    <row r="84" customFormat="false" ht="12" hidden="false" customHeight="true" outlineLevel="0" collapsed="false">
      <c r="A84" s="42"/>
      <c r="B84" s="42"/>
      <c r="C84" s="42"/>
      <c r="D84" s="42"/>
      <c r="E84" s="42"/>
      <c r="F84" s="42"/>
      <c r="G84" s="42"/>
      <c r="H84" s="42"/>
    </row>
    <row r="85" customFormat="false" ht="12" hidden="false" customHeight="true" outlineLevel="0" collapsed="false">
      <c r="A85" s="42"/>
      <c r="B85" s="42"/>
      <c r="C85" s="42"/>
      <c r="D85" s="42"/>
      <c r="E85" s="42"/>
      <c r="F85" s="42"/>
      <c r="G85" s="42"/>
      <c r="H85" s="42"/>
    </row>
    <row r="86" customFormat="false" ht="12" hidden="false" customHeight="true" outlineLevel="0" collapsed="false">
      <c r="A86" s="42"/>
      <c r="B86" s="42"/>
      <c r="C86" s="42"/>
      <c r="D86" s="42"/>
      <c r="E86" s="42"/>
      <c r="F86" s="42"/>
      <c r="G86" s="42"/>
      <c r="H86" s="42"/>
    </row>
    <row r="87" customFormat="false" ht="12" hidden="false" customHeight="true" outlineLevel="0" collapsed="false">
      <c r="A87" s="42"/>
      <c r="B87" s="42"/>
      <c r="C87" s="42"/>
      <c r="D87" s="42"/>
      <c r="E87" s="42"/>
      <c r="F87" s="42"/>
      <c r="G87" s="42"/>
      <c r="H87" s="42"/>
    </row>
    <row r="88" customFormat="false" ht="12" hidden="false" customHeight="true" outlineLevel="0" collapsed="false">
      <c r="A88" s="42"/>
      <c r="B88" s="42"/>
      <c r="C88" s="42"/>
      <c r="D88" s="42"/>
      <c r="E88" s="42"/>
      <c r="F88" s="42"/>
      <c r="G88" s="42"/>
      <c r="H88" s="42"/>
    </row>
    <row r="89" customFormat="false" ht="12" hidden="false" customHeight="true" outlineLevel="0" collapsed="false">
      <c r="A89" s="42"/>
      <c r="B89" s="42"/>
      <c r="C89" s="42"/>
      <c r="D89" s="42"/>
      <c r="E89" s="42"/>
      <c r="F89" s="42"/>
      <c r="G89" s="42"/>
      <c r="H89" s="42"/>
    </row>
    <row r="90" customFormat="false" ht="12" hidden="false" customHeight="true" outlineLevel="0" collapsed="false">
      <c r="A90" s="42"/>
      <c r="B90" s="42"/>
      <c r="C90" s="42"/>
      <c r="D90" s="42"/>
      <c r="E90" s="42"/>
      <c r="F90" s="42"/>
      <c r="G90" s="42"/>
      <c r="H90" s="42"/>
    </row>
    <row r="91" customFormat="false" ht="12" hidden="false" customHeight="true" outlineLevel="0" collapsed="false">
      <c r="A91" s="42"/>
      <c r="B91" s="42"/>
      <c r="C91" s="42"/>
      <c r="D91" s="42"/>
      <c r="E91" s="42"/>
      <c r="F91" s="42"/>
      <c r="G91" s="42"/>
      <c r="H91" s="42"/>
    </row>
    <row r="92" customFormat="false" ht="12" hidden="false" customHeight="true" outlineLevel="0" collapsed="false">
      <c r="A92" s="42"/>
      <c r="B92" s="42"/>
      <c r="C92" s="42"/>
      <c r="D92" s="42"/>
      <c r="E92" s="42"/>
      <c r="F92" s="42"/>
      <c r="G92" s="42"/>
      <c r="H92" s="42"/>
    </row>
    <row r="93" customFormat="false" ht="12" hidden="false" customHeight="true" outlineLevel="0" collapsed="false">
      <c r="A93" s="42"/>
      <c r="B93" s="42"/>
      <c r="C93" s="42"/>
      <c r="D93" s="42"/>
      <c r="E93" s="42"/>
      <c r="F93" s="42"/>
      <c r="G93" s="42"/>
      <c r="H93" s="42"/>
    </row>
    <row r="94" customFormat="false" ht="12" hidden="false" customHeight="true" outlineLevel="0" collapsed="false">
      <c r="A94" s="42"/>
      <c r="B94" s="42"/>
      <c r="C94" s="42"/>
      <c r="D94" s="42"/>
      <c r="E94" s="42"/>
      <c r="F94" s="42"/>
      <c r="G94" s="42"/>
      <c r="H94" s="42"/>
    </row>
    <row r="95" customFormat="false" ht="12" hidden="false" customHeight="true" outlineLevel="0" collapsed="false">
      <c r="A95" s="42"/>
      <c r="B95" s="42"/>
      <c r="C95" s="42"/>
      <c r="D95" s="42"/>
      <c r="E95" s="42"/>
      <c r="F95" s="42"/>
      <c r="G95" s="42"/>
      <c r="H95" s="42"/>
    </row>
    <row r="96" customFormat="false" ht="12" hidden="false" customHeight="true" outlineLevel="0" collapsed="false">
      <c r="A96" s="42"/>
      <c r="B96" s="42"/>
      <c r="C96" s="42"/>
      <c r="D96" s="42"/>
      <c r="E96" s="42"/>
      <c r="F96" s="42"/>
      <c r="G96" s="42"/>
      <c r="H96" s="42"/>
    </row>
    <row r="97" customFormat="false" ht="12" hidden="false" customHeight="true" outlineLevel="0" collapsed="false">
      <c r="A97" s="42"/>
      <c r="B97" s="42"/>
      <c r="C97" s="42"/>
      <c r="D97" s="42"/>
      <c r="E97" s="42"/>
      <c r="F97" s="42"/>
      <c r="G97" s="42"/>
      <c r="H97" s="42"/>
    </row>
    <row r="98" customFormat="false" ht="12" hidden="false" customHeight="true" outlineLevel="0" collapsed="false">
      <c r="A98" s="42"/>
      <c r="B98" s="42"/>
      <c r="C98" s="42"/>
      <c r="D98" s="42"/>
      <c r="E98" s="42"/>
      <c r="F98" s="42"/>
      <c r="G98" s="42"/>
      <c r="H98" s="42"/>
    </row>
    <row r="99" customFormat="false" ht="12" hidden="false" customHeight="true" outlineLevel="0" collapsed="false">
      <c r="A99" s="42"/>
      <c r="B99" s="42"/>
      <c r="C99" s="42"/>
      <c r="D99" s="42"/>
      <c r="E99" s="42"/>
      <c r="F99" s="42"/>
      <c r="G99" s="42"/>
      <c r="H99" s="42"/>
    </row>
    <row r="100" customFormat="false" ht="12" hidden="false" customHeight="true" outlineLevel="0" collapsed="false">
      <c r="A100" s="42"/>
      <c r="B100" s="42"/>
      <c r="C100" s="42"/>
      <c r="D100" s="42"/>
      <c r="E100" s="42"/>
      <c r="F100" s="42"/>
      <c r="G100" s="42"/>
      <c r="H100" s="42"/>
    </row>
    <row r="101" customFormat="false" ht="12" hidden="false" customHeight="true" outlineLevel="0" collapsed="false">
      <c r="A101" s="42"/>
      <c r="B101" s="42"/>
      <c r="C101" s="42"/>
      <c r="D101" s="42"/>
      <c r="E101" s="42"/>
      <c r="F101" s="42"/>
      <c r="G101" s="42"/>
      <c r="H101" s="42"/>
    </row>
    <row r="102" customFormat="false" ht="12" hidden="false" customHeight="true" outlineLevel="0" collapsed="false">
      <c r="A102" s="42"/>
      <c r="B102" s="42"/>
      <c r="C102" s="42"/>
      <c r="D102" s="42"/>
      <c r="E102" s="42"/>
      <c r="F102" s="42"/>
      <c r="G102" s="42"/>
      <c r="H102" s="42"/>
    </row>
    <row r="103" customFormat="false" ht="12" hidden="false" customHeight="true" outlineLevel="0" collapsed="false">
      <c r="A103" s="42"/>
      <c r="B103" s="42"/>
      <c r="C103" s="42"/>
      <c r="D103" s="42"/>
      <c r="E103" s="42"/>
      <c r="F103" s="42"/>
      <c r="G103" s="42"/>
      <c r="H103" s="42"/>
    </row>
    <row r="104" customFormat="false" ht="12" hidden="false" customHeight="true" outlineLevel="0" collapsed="false">
      <c r="A104" s="42"/>
      <c r="B104" s="42"/>
      <c r="C104" s="42"/>
      <c r="D104" s="42"/>
      <c r="E104" s="42"/>
      <c r="F104" s="42"/>
      <c r="G104" s="42"/>
      <c r="H104" s="42"/>
    </row>
    <row r="105" customFormat="false" ht="12" hidden="false" customHeight="true" outlineLevel="0" collapsed="false">
      <c r="A105" s="42"/>
      <c r="B105" s="42"/>
      <c r="C105" s="42"/>
      <c r="D105" s="42"/>
      <c r="E105" s="42"/>
      <c r="F105" s="42"/>
      <c r="G105" s="42"/>
      <c r="H105" s="42"/>
    </row>
    <row r="106" customFormat="false" ht="12" hidden="false" customHeight="true" outlineLevel="0" collapsed="false">
      <c r="A106" s="42"/>
      <c r="B106" s="42"/>
      <c r="C106" s="42"/>
      <c r="D106" s="42"/>
      <c r="E106" s="42"/>
      <c r="F106" s="42"/>
      <c r="G106" s="42"/>
      <c r="H106" s="42"/>
    </row>
    <row r="107" customFormat="false" ht="12" hidden="false" customHeight="true" outlineLevel="0" collapsed="false">
      <c r="A107" s="42"/>
      <c r="B107" s="42"/>
      <c r="C107" s="42"/>
      <c r="D107" s="42"/>
      <c r="E107" s="42"/>
      <c r="F107" s="42"/>
      <c r="G107" s="42"/>
      <c r="H107" s="42"/>
    </row>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B714"/>
    <pageSetUpPr fitToPage="false"/>
  </sheetPr>
  <dimension ref="A1:R1000"/>
  <sheetViews>
    <sheetView showFormulas="false" showGridLines="true" showRowColHeaders="true" showZeros="true" rightToLeft="false" tabSelected="true" showOutlineSymbols="true" defaultGridColor="true" view="normal" topLeftCell="A13" colorId="64" zoomScale="120" zoomScaleNormal="120" zoomScalePageLayoutView="100" workbookViewId="0">
      <selection pane="topLeft" activeCell="D40" activeCellId="0" sqref="D40"/>
    </sheetView>
  </sheetViews>
  <sheetFormatPr defaultColWidth="12.6328125" defaultRowHeight="15" customHeight="true" zeroHeight="false" outlineLevelRow="1" outlineLevelCol="1"/>
  <cols>
    <col collapsed="false" customWidth="true" hidden="false" outlineLevel="0" max="1" min="1" style="1" width="41.25"/>
    <col collapsed="false" customWidth="true" hidden="false" outlineLevel="0" max="2" min="2" style="1" width="15"/>
    <col collapsed="false" customWidth="true" hidden="false" outlineLevel="0" max="3" min="3" style="1" width="8.88"/>
    <col collapsed="false" customWidth="true" hidden="false" outlineLevel="1" max="4" min="4" style="1" width="19.25"/>
    <col collapsed="false" customWidth="true" hidden="false" outlineLevel="1" max="7" min="5" style="1" width="9.13"/>
    <col collapsed="false" customWidth="true" hidden="false" outlineLevel="1" max="8" min="8" style="1" width="12"/>
    <col collapsed="false" customWidth="true" hidden="false" outlineLevel="1" max="9" min="9" style="1" width="38.13"/>
    <col collapsed="false" customWidth="true" hidden="false" outlineLevel="0" max="10" min="10" style="1" width="38"/>
    <col collapsed="false" customWidth="true" hidden="false" outlineLevel="0" max="18" min="11" style="1" width="8.88"/>
    <col collapsed="false" customWidth="true" hidden="false" outlineLevel="0" max="26" min="19" style="1" width="14.38"/>
  </cols>
  <sheetData>
    <row r="1" customFormat="false" ht="16.5" hidden="false" customHeight="true" outlineLevel="0" collapsed="false">
      <c r="A1" s="599" t="str">
        <f aca="false">'Title Page'!F3</f>
        <v>Coconut Cubesat</v>
      </c>
      <c r="B1" s="23" t="s">
        <v>60</v>
      </c>
      <c r="C1" s="16"/>
      <c r="D1" s="600" t="str">
        <f aca="false">'Title Page'!F3</f>
        <v>Coconut Cubesat</v>
      </c>
      <c r="E1" s="601" t="s">
        <v>0</v>
      </c>
      <c r="F1" s="601" t="s">
        <v>32</v>
      </c>
      <c r="G1" s="601"/>
      <c r="H1" s="601"/>
      <c r="I1" s="16"/>
      <c r="J1" s="16"/>
      <c r="K1" s="16"/>
      <c r="L1" s="16"/>
      <c r="M1" s="16"/>
      <c r="N1" s="16"/>
      <c r="O1" s="16"/>
      <c r="P1" s="16"/>
      <c r="Q1" s="16"/>
      <c r="R1" s="16"/>
    </row>
    <row r="2" customFormat="false" ht="18" hidden="false" customHeight="true" outlineLevel="0" collapsed="false">
      <c r="A2" s="12" t="s">
        <v>723</v>
      </c>
      <c r="B2" s="16"/>
      <c r="C2" s="16"/>
      <c r="D2" s="601" t="str">
        <f aca="false">'Title Page'!G1</f>
        <v> Version: 2.5.5</v>
      </c>
      <c r="E2" s="601"/>
      <c r="F2" s="602" t="str">
        <f aca="false">'Title Page'!F23</f>
        <v>2025 June 06</v>
      </c>
      <c r="G2" s="601"/>
      <c r="H2" s="601"/>
      <c r="I2" s="16"/>
      <c r="J2" s="16"/>
      <c r="K2" s="16"/>
      <c r="L2" s="16"/>
      <c r="M2" s="16"/>
      <c r="N2" s="16"/>
      <c r="O2" s="16"/>
      <c r="P2" s="16"/>
      <c r="Q2" s="16"/>
      <c r="R2" s="16"/>
    </row>
    <row r="3" customFormat="false" ht="12" hidden="false" customHeight="true" outlineLevel="0" collapsed="false">
      <c r="A3" s="16"/>
      <c r="B3" s="16"/>
      <c r="C3" s="16"/>
      <c r="D3" s="16"/>
      <c r="E3" s="16"/>
      <c r="F3" s="16"/>
      <c r="G3" s="16"/>
      <c r="H3" s="16"/>
      <c r="I3" s="16"/>
      <c r="J3" s="16"/>
      <c r="K3" s="16"/>
      <c r="L3" s="16"/>
      <c r="M3" s="16"/>
      <c r="N3" s="16"/>
      <c r="O3" s="16"/>
      <c r="P3" s="16"/>
      <c r="Q3" s="16"/>
      <c r="R3" s="16"/>
    </row>
    <row r="4" customFormat="false" ht="12" hidden="false" customHeight="true" outlineLevel="0" collapsed="false">
      <c r="A4" s="603" t="s">
        <v>206</v>
      </c>
      <c r="B4" s="603" t="s">
        <v>207</v>
      </c>
      <c r="C4" s="603" t="s">
        <v>724</v>
      </c>
      <c r="D4" s="603" t="s">
        <v>725</v>
      </c>
      <c r="E4" s="499"/>
      <c r="F4" s="499"/>
      <c r="G4" s="499"/>
      <c r="H4" s="499"/>
      <c r="I4" s="499"/>
      <c r="J4" s="499"/>
      <c r="K4" s="499"/>
      <c r="L4" s="499"/>
      <c r="M4" s="499"/>
      <c r="N4" s="499"/>
      <c r="O4" s="499"/>
      <c r="P4" s="499"/>
      <c r="Q4" s="499"/>
      <c r="R4" s="499"/>
    </row>
    <row r="5" customFormat="false" ht="12" hidden="false" customHeight="true" outlineLevel="0" collapsed="false">
      <c r="A5" s="604" t="s">
        <v>726</v>
      </c>
      <c r="B5" s="112"/>
      <c r="C5" s="112"/>
      <c r="D5" s="112"/>
      <c r="E5" s="112"/>
      <c r="F5" s="112"/>
      <c r="G5" s="112"/>
      <c r="H5" s="112"/>
      <c r="I5" s="112"/>
      <c r="J5" s="112"/>
      <c r="K5" s="112"/>
      <c r="L5" s="112"/>
      <c r="M5" s="112"/>
      <c r="N5" s="112"/>
      <c r="O5" s="112"/>
      <c r="P5" s="112"/>
      <c r="Q5" s="112"/>
      <c r="R5" s="112"/>
    </row>
    <row r="6" customFormat="false" ht="12" hidden="false" customHeight="true" outlineLevel="0" collapsed="false">
      <c r="A6" s="391" t="s">
        <v>727</v>
      </c>
      <c r="B6" s="475" t="n">
        <f aca="false">Transmitters!E16</f>
        <v>50</v>
      </c>
      <c r="C6" s="391" t="s">
        <v>728</v>
      </c>
      <c r="D6" s="49" t="s">
        <v>729</v>
      </c>
      <c r="E6" s="49"/>
      <c r="F6" s="49"/>
      <c r="G6" s="49"/>
      <c r="H6" s="49"/>
      <c r="I6" s="49"/>
      <c r="J6" s="605" t="s">
        <v>730</v>
      </c>
      <c r="K6" s="557"/>
      <c r="L6" s="546"/>
      <c r="M6" s="391"/>
      <c r="N6" s="391"/>
      <c r="O6" s="391"/>
      <c r="P6" s="391"/>
      <c r="Q6" s="391"/>
      <c r="R6" s="391"/>
    </row>
    <row r="7" customFormat="false" ht="12" hidden="false" customHeight="true" outlineLevel="0" collapsed="false">
      <c r="A7" s="521" t="s">
        <v>731</v>
      </c>
      <c r="B7" s="556" t="n">
        <f aca="false">10*LOG10(B6)</f>
        <v>16.9897000433602</v>
      </c>
      <c r="C7" s="391" t="s">
        <v>355</v>
      </c>
      <c r="D7" s="49" t="s">
        <v>732</v>
      </c>
      <c r="E7" s="49"/>
      <c r="F7" s="49"/>
      <c r="G7" s="49"/>
      <c r="H7" s="49"/>
      <c r="I7" s="49"/>
      <c r="J7" s="391"/>
      <c r="K7" s="391"/>
      <c r="L7" s="391"/>
      <c r="M7" s="391"/>
      <c r="N7" s="391"/>
      <c r="O7" s="391"/>
      <c r="P7" s="391"/>
      <c r="Q7" s="391"/>
      <c r="R7" s="391"/>
    </row>
    <row r="8" customFormat="false" ht="12" hidden="false" customHeight="true" outlineLevel="0" collapsed="false">
      <c r="A8" s="521" t="s">
        <v>733</v>
      </c>
      <c r="B8" s="297" t="n">
        <f aca="false">B7+30</f>
        <v>46.9897000433602</v>
      </c>
      <c r="C8" s="391" t="s">
        <v>333</v>
      </c>
      <c r="D8" s="49" t="s">
        <v>734</v>
      </c>
      <c r="E8" s="49"/>
      <c r="F8" s="49"/>
      <c r="G8" s="49"/>
      <c r="H8" s="49"/>
      <c r="I8" s="49"/>
      <c r="J8" s="391"/>
      <c r="K8" s="391"/>
      <c r="L8" s="391"/>
      <c r="M8" s="391"/>
      <c r="N8" s="391"/>
      <c r="O8" s="391"/>
      <c r="P8" s="391"/>
      <c r="Q8" s="391"/>
      <c r="R8" s="391"/>
    </row>
    <row r="9" customFormat="false" ht="12" hidden="false" customHeight="true" outlineLevel="0" collapsed="false">
      <c r="A9" s="391" t="s">
        <v>735</v>
      </c>
      <c r="B9" s="475" t="n">
        <f aca="false">Transmitters!I35</f>
        <v>2.33</v>
      </c>
      <c r="C9" s="391" t="s">
        <v>258</v>
      </c>
      <c r="D9" s="49" t="s">
        <v>736</v>
      </c>
      <c r="E9" s="49"/>
      <c r="F9" s="49"/>
      <c r="G9" s="49"/>
      <c r="H9" s="49"/>
      <c r="I9" s="49"/>
      <c r="J9" s="391"/>
      <c r="K9" s="391"/>
      <c r="L9" s="391"/>
      <c r="M9" s="391"/>
      <c r="N9" s="391"/>
      <c r="O9" s="391"/>
      <c r="P9" s="391"/>
      <c r="Q9" s="391"/>
      <c r="R9" s="391"/>
    </row>
    <row r="10" customFormat="false" ht="12" hidden="false" customHeight="true" outlineLevel="0" collapsed="false">
      <c r="A10" s="391" t="s">
        <v>737</v>
      </c>
      <c r="B10" s="475" t="n">
        <f aca="false" t="array" ref="B10:B10">INDEX('Antenna Gain'!N13:N16,'Antenna Gain'!E11,1)</f>
        <v>17.45</v>
      </c>
      <c r="C10" s="391" t="s">
        <v>514</v>
      </c>
      <c r="D10" s="49" t="s">
        <v>738</v>
      </c>
      <c r="E10" s="49"/>
      <c r="F10" s="49"/>
      <c r="G10" s="49"/>
      <c r="H10" s="49"/>
      <c r="I10" s="49"/>
      <c r="J10" s="391"/>
      <c r="K10" s="391"/>
      <c r="L10" s="391"/>
      <c r="M10" s="391"/>
      <c r="N10" s="391"/>
      <c r="O10" s="391"/>
      <c r="P10" s="391"/>
      <c r="Q10" s="391"/>
      <c r="R10" s="391"/>
    </row>
    <row r="11" customFormat="false" ht="12" hidden="false" customHeight="true" outlineLevel="0" collapsed="false">
      <c r="A11" s="391" t="s">
        <v>739</v>
      </c>
      <c r="B11" s="606" t="n">
        <f aca="false">B7-B9+B10</f>
        <v>32.1097000433602</v>
      </c>
      <c r="C11" s="391" t="s">
        <v>355</v>
      </c>
      <c r="D11" s="49" t="s">
        <v>740</v>
      </c>
      <c r="E11" s="49"/>
      <c r="F11" s="49"/>
      <c r="G11" s="49"/>
      <c r="H11" s="49"/>
      <c r="I11" s="49"/>
      <c r="J11" s="391"/>
      <c r="K11" s="391"/>
      <c r="L11" s="391"/>
      <c r="M11" s="391"/>
      <c r="N11" s="391"/>
      <c r="O11" s="391"/>
      <c r="P11" s="391"/>
      <c r="Q11" s="391"/>
      <c r="R11" s="391"/>
    </row>
    <row r="12" customFormat="false" ht="12" hidden="false" customHeight="true" outlineLevel="0" collapsed="false">
      <c r="A12" s="604" t="s">
        <v>741</v>
      </c>
      <c r="B12" s="164"/>
      <c r="C12" s="112"/>
      <c r="D12" s="112"/>
      <c r="E12" s="112"/>
      <c r="F12" s="112"/>
      <c r="G12" s="112"/>
      <c r="H12" s="112"/>
      <c r="I12" s="112"/>
      <c r="J12" s="112"/>
      <c r="K12" s="112"/>
      <c r="L12" s="112"/>
      <c r="M12" s="112"/>
      <c r="N12" s="112"/>
      <c r="O12" s="112"/>
      <c r="P12" s="112"/>
      <c r="Q12" s="112"/>
      <c r="R12" s="112"/>
    </row>
    <row r="13" customFormat="false" ht="12" hidden="false" customHeight="true" outlineLevel="0" collapsed="false">
      <c r="A13" s="391" t="s">
        <v>742</v>
      </c>
      <c r="B13" s="475" t="n">
        <f aca="false">'Antenna Pointing Losses'!K43</f>
        <v>0.393433713654516</v>
      </c>
      <c r="C13" s="391" t="s">
        <v>258</v>
      </c>
      <c r="D13" s="49" t="s">
        <v>743</v>
      </c>
      <c r="E13" s="49"/>
      <c r="F13" s="49"/>
      <c r="G13" s="49"/>
      <c r="H13" s="49"/>
      <c r="I13" s="49"/>
      <c r="J13" s="391"/>
      <c r="K13" s="391"/>
      <c r="L13" s="391"/>
      <c r="M13" s="391"/>
      <c r="N13" s="391"/>
      <c r="O13" s="391"/>
      <c r="P13" s="391"/>
      <c r="Q13" s="391"/>
      <c r="R13" s="391"/>
    </row>
    <row r="14" customFormat="false" ht="12" hidden="false" customHeight="true" outlineLevel="0" collapsed="false">
      <c r="A14" s="391" t="s">
        <v>744</v>
      </c>
      <c r="B14" s="475" t="n">
        <f aca="false">'Antenna Polarization Loss'!F40</f>
        <v>0.0574379076</v>
      </c>
      <c r="C14" s="391" t="s">
        <v>258</v>
      </c>
      <c r="D14" s="49" t="s">
        <v>745</v>
      </c>
      <c r="E14" s="49"/>
      <c r="F14" s="49"/>
      <c r="G14" s="49"/>
      <c r="H14" s="49"/>
      <c r="I14" s="49"/>
      <c r="J14" s="391"/>
      <c r="K14" s="391"/>
      <c r="L14" s="391"/>
      <c r="M14" s="391"/>
      <c r="N14" s="391"/>
      <c r="O14" s="391"/>
      <c r="P14" s="391"/>
      <c r="Q14" s="391"/>
      <c r="R14" s="391"/>
    </row>
    <row r="15" customFormat="false" ht="12" hidden="false" customHeight="true" outlineLevel="0" collapsed="false">
      <c r="A15" s="391" t="s">
        <v>311</v>
      </c>
      <c r="B15" s="475" t="n">
        <f aca="false">Frequency!M12</f>
        <v>147.032064728619</v>
      </c>
      <c r="C15" s="391" t="s">
        <v>258</v>
      </c>
      <c r="D15" s="49" t="s">
        <v>746</v>
      </c>
      <c r="E15" s="49"/>
      <c r="F15" s="49"/>
      <c r="G15" s="49"/>
      <c r="H15" s="49"/>
      <c r="I15" s="49"/>
      <c r="J15" s="391"/>
      <c r="K15" s="391"/>
      <c r="L15" s="391"/>
      <c r="M15" s="391"/>
      <c r="N15" s="391"/>
      <c r="O15" s="391"/>
      <c r="P15" s="391"/>
      <c r="Q15" s="391"/>
      <c r="R15" s="391"/>
    </row>
    <row r="16" customFormat="false" ht="12" hidden="false" customHeight="true" outlineLevel="0" collapsed="false">
      <c r="A16" s="391" t="s">
        <v>747</v>
      </c>
      <c r="B16" s="475" t="n">
        <f aca="false">'Atmos. &amp; Ionos. Losses'!D23</f>
        <v>1.1</v>
      </c>
      <c r="C16" s="391" t="s">
        <v>258</v>
      </c>
      <c r="D16" s="49" t="s">
        <v>748</v>
      </c>
      <c r="E16" s="49"/>
      <c r="F16" s="49"/>
      <c r="G16" s="49"/>
      <c r="H16" s="49"/>
      <c r="I16" s="49"/>
      <c r="J16" s="391"/>
      <c r="K16" s="391"/>
      <c r="L16" s="391"/>
      <c r="M16" s="391"/>
      <c r="N16" s="391"/>
      <c r="O16" s="391"/>
      <c r="P16" s="391"/>
      <c r="Q16" s="391"/>
      <c r="R16" s="391"/>
    </row>
    <row r="17" customFormat="false" ht="12" hidden="false" customHeight="true" outlineLevel="0" collapsed="false">
      <c r="A17" s="391" t="s">
        <v>749</v>
      </c>
      <c r="B17" s="475" t="n">
        <f aca="false" t="array" ref="B17:B17">INDEX('Atmos. &amp; Ionos. Losses'!D32:D35,Frequency!L10,1)</f>
        <v>0.4</v>
      </c>
      <c r="C17" s="391" t="s">
        <v>258</v>
      </c>
      <c r="D17" s="49" t="s">
        <v>750</v>
      </c>
      <c r="E17" s="49"/>
      <c r="F17" s="49"/>
      <c r="G17" s="49"/>
      <c r="H17" s="49"/>
      <c r="I17" s="49"/>
      <c r="J17" s="391"/>
      <c r="K17" s="391"/>
      <c r="L17" s="391"/>
      <c r="M17" s="391"/>
      <c r="N17" s="391"/>
      <c r="O17" s="391"/>
      <c r="P17" s="391"/>
      <c r="Q17" s="391"/>
      <c r="R17" s="391"/>
    </row>
    <row r="18" customFormat="false" ht="12" hidden="false" customHeight="true" outlineLevel="0" collapsed="false">
      <c r="A18" s="391" t="s">
        <v>751</v>
      </c>
      <c r="B18" s="607" t="n">
        <v>0</v>
      </c>
      <c r="C18" s="391" t="s">
        <v>258</v>
      </c>
      <c r="D18" s="49" t="s">
        <v>752</v>
      </c>
      <c r="E18" s="49"/>
      <c r="F18" s="49"/>
      <c r="G18" s="49"/>
      <c r="H18" s="49"/>
      <c r="I18" s="49"/>
      <c r="J18" s="391"/>
      <c r="K18" s="391"/>
      <c r="L18" s="391"/>
      <c r="M18" s="391"/>
      <c r="N18" s="391"/>
      <c r="O18" s="391"/>
      <c r="P18" s="391"/>
      <c r="Q18" s="391"/>
      <c r="R18" s="391"/>
    </row>
    <row r="19" customFormat="false" ht="12" hidden="false" customHeight="true" outlineLevel="0" collapsed="false">
      <c r="A19" s="391" t="s">
        <v>753</v>
      </c>
      <c r="B19" s="606" t="n">
        <f aca="false">B11-SUM(B13:B18)</f>
        <v>-116.873236306513</v>
      </c>
      <c r="C19" s="391" t="s">
        <v>355</v>
      </c>
      <c r="D19" s="49" t="s">
        <v>754</v>
      </c>
      <c r="E19" s="49"/>
      <c r="F19" s="49"/>
      <c r="G19" s="49"/>
      <c r="H19" s="49"/>
      <c r="I19" s="49"/>
      <c r="J19" s="391"/>
      <c r="K19" s="391"/>
      <c r="L19" s="391"/>
      <c r="M19" s="391"/>
      <c r="N19" s="391"/>
      <c r="O19" s="391"/>
      <c r="P19" s="391"/>
      <c r="Q19" s="391"/>
      <c r="R19" s="391"/>
    </row>
    <row r="20" customFormat="false" ht="12" hidden="false" customHeight="true" outlineLevel="0" collapsed="false">
      <c r="A20" s="604" t="s">
        <v>755</v>
      </c>
      <c r="B20" s="112"/>
      <c r="C20" s="112"/>
      <c r="D20" s="112"/>
      <c r="E20" s="112"/>
      <c r="F20" s="112"/>
      <c r="G20" s="112"/>
      <c r="H20" s="112"/>
      <c r="I20" s="112"/>
      <c r="J20" s="608"/>
      <c r="K20" s="609"/>
      <c r="L20" s="609"/>
      <c r="M20" s="609"/>
      <c r="N20" s="610"/>
      <c r="O20" s="531"/>
      <c r="P20" s="531"/>
      <c r="Q20" s="531"/>
      <c r="R20" s="112"/>
    </row>
    <row r="21" customFormat="false" ht="12" hidden="false" customHeight="true" outlineLevel="1" collapsed="false">
      <c r="A21" s="604" t="s">
        <v>756</v>
      </c>
      <c r="B21" s="112"/>
      <c r="C21" s="112"/>
      <c r="D21" s="112"/>
      <c r="E21" s="112"/>
      <c r="F21" s="112"/>
      <c r="G21" s="112"/>
      <c r="H21" s="112"/>
      <c r="I21" s="112"/>
      <c r="J21" s="608"/>
      <c r="K21" s="609"/>
      <c r="L21" s="609"/>
      <c r="M21" s="609"/>
      <c r="N21" s="610"/>
      <c r="O21" s="531"/>
      <c r="P21" s="531"/>
      <c r="Q21" s="531"/>
      <c r="R21" s="112"/>
    </row>
    <row r="22" customFormat="false" ht="12" hidden="false" customHeight="true" outlineLevel="1" collapsed="false">
      <c r="A22" s="477" t="s">
        <v>757</v>
      </c>
      <c r="B22" s="475" t="n">
        <f aca="false">'Antenna Pointing Losses'!K63</f>
        <v>0</v>
      </c>
      <c r="C22" s="391" t="s">
        <v>258</v>
      </c>
      <c r="D22" s="49" t="s">
        <v>758</v>
      </c>
      <c r="E22" s="49"/>
      <c r="F22" s="49"/>
      <c r="G22" s="49"/>
      <c r="H22" s="49"/>
      <c r="I22" s="49"/>
      <c r="J22" s="391"/>
      <c r="K22" s="475"/>
      <c r="L22" s="391"/>
      <c r="M22" s="391"/>
      <c r="N22" s="391"/>
      <c r="O22" s="391"/>
      <c r="P22" s="391"/>
      <c r="Q22" s="391"/>
      <c r="R22" s="391"/>
    </row>
    <row r="23" customFormat="false" ht="12" hidden="false" customHeight="true" outlineLevel="1" collapsed="false">
      <c r="A23" s="391" t="s">
        <v>759</v>
      </c>
      <c r="B23" s="475" t="n">
        <f aca="false" t="array" ref="B23:B23">INDEX('Antenna Gain'!H26:H32,'Antenna Gain'!E24,1)</f>
        <v>0</v>
      </c>
      <c r="C23" s="391" t="s">
        <v>514</v>
      </c>
      <c r="D23" s="49" t="s">
        <v>760</v>
      </c>
      <c r="E23" s="49"/>
      <c r="F23" s="49"/>
      <c r="G23" s="49"/>
      <c r="H23" s="49"/>
      <c r="I23" s="49"/>
      <c r="J23" s="391"/>
      <c r="K23" s="475"/>
      <c r="L23" s="391"/>
      <c r="M23" s="391"/>
      <c r="N23" s="391"/>
      <c r="O23" s="391"/>
      <c r="P23" s="391"/>
      <c r="Q23" s="391"/>
      <c r="R23" s="391"/>
    </row>
    <row r="24" customFormat="false" ht="12" hidden="false" customHeight="true" outlineLevel="1" collapsed="false">
      <c r="A24" s="391" t="s">
        <v>761</v>
      </c>
      <c r="B24" s="475" t="n">
        <f aca="false">Receivers!J53</f>
        <v>2.299</v>
      </c>
      <c r="C24" s="391" t="s">
        <v>258</v>
      </c>
      <c r="D24" s="49" t="s">
        <v>762</v>
      </c>
      <c r="E24" s="49"/>
      <c r="F24" s="49"/>
      <c r="G24" s="49"/>
      <c r="H24" s="49"/>
      <c r="I24" s="49"/>
      <c r="J24" s="391"/>
      <c r="K24" s="391"/>
      <c r="L24" s="391"/>
      <c r="M24" s="391"/>
      <c r="N24" s="391"/>
      <c r="O24" s="391"/>
      <c r="P24" s="391"/>
      <c r="Q24" s="391"/>
      <c r="R24" s="391"/>
    </row>
    <row r="25" customFormat="false" ht="12" hidden="false" customHeight="true" outlineLevel="1" collapsed="false">
      <c r="A25" s="391" t="s">
        <v>763</v>
      </c>
      <c r="B25" s="611" t="n">
        <f aca="false">Receivers!J68</f>
        <v>1027.57497006715</v>
      </c>
      <c r="C25" s="391" t="s">
        <v>412</v>
      </c>
      <c r="D25" s="49" t="s">
        <v>764</v>
      </c>
      <c r="E25" s="49"/>
      <c r="F25" s="49"/>
      <c r="G25" s="49"/>
      <c r="H25" s="49"/>
      <c r="I25" s="49"/>
      <c r="J25" s="391"/>
      <c r="K25" s="611"/>
      <c r="L25" s="391"/>
      <c r="M25" s="391"/>
      <c r="N25" s="391"/>
      <c r="O25" s="391"/>
      <c r="P25" s="391"/>
      <c r="Q25" s="391"/>
      <c r="R25" s="391"/>
    </row>
    <row r="26" customFormat="false" ht="12" hidden="false" customHeight="true" outlineLevel="1" collapsed="false">
      <c r="A26" s="391" t="s">
        <v>765</v>
      </c>
      <c r="B26" s="475" t="n">
        <f aca="false">B23-B24-10*LOG10(B25)</f>
        <v>-32.4171351706754</v>
      </c>
      <c r="C26" s="391" t="s">
        <v>766</v>
      </c>
      <c r="D26" s="49" t="s">
        <v>767</v>
      </c>
      <c r="E26" s="49"/>
      <c r="F26" s="49"/>
      <c r="G26" s="49"/>
      <c r="H26" s="49"/>
      <c r="I26" s="49"/>
      <c r="J26" s="391"/>
      <c r="K26" s="475"/>
      <c r="L26" s="391"/>
      <c r="M26" s="391"/>
      <c r="N26" s="391"/>
      <c r="O26" s="391"/>
      <c r="P26" s="391"/>
      <c r="Q26" s="391"/>
      <c r="R26" s="391"/>
    </row>
    <row r="27" customFormat="false" ht="12" hidden="false" customHeight="true" outlineLevel="1" collapsed="false">
      <c r="A27" s="391" t="s">
        <v>768</v>
      </c>
      <c r="B27" s="612" t="n">
        <f aca="false">B19-B22-F27+B26</f>
        <v>79.3096285228116</v>
      </c>
      <c r="C27" s="391" t="s">
        <v>769</v>
      </c>
      <c r="D27" s="613" t="s">
        <v>770</v>
      </c>
      <c r="E27" s="614"/>
      <c r="F27" s="614" t="n">
        <v>-228.6</v>
      </c>
      <c r="G27" s="615" t="s">
        <v>771</v>
      </c>
      <c r="H27" s="49"/>
      <c r="I27" s="49"/>
      <c r="J27" s="391"/>
      <c r="K27" s="475"/>
      <c r="L27" s="391"/>
      <c r="M27" s="391"/>
      <c r="N27" s="391"/>
      <c r="O27" s="391"/>
      <c r="P27" s="391"/>
      <c r="Q27" s="391"/>
      <c r="R27" s="391"/>
    </row>
    <row r="28" customFormat="false" ht="12" hidden="false" customHeight="true" outlineLevel="1" collapsed="false">
      <c r="A28" s="391" t="s">
        <v>772</v>
      </c>
      <c r="B28" s="616" t="n">
        <v>21875</v>
      </c>
      <c r="C28" s="391" t="s">
        <v>773</v>
      </c>
      <c r="D28" s="49" t="s">
        <v>774</v>
      </c>
      <c r="E28" s="49"/>
      <c r="F28" s="49"/>
      <c r="G28" s="49"/>
      <c r="H28" s="49"/>
      <c r="I28" s="49"/>
      <c r="J28" s="391"/>
      <c r="K28" s="617"/>
      <c r="L28" s="391"/>
      <c r="M28" s="391"/>
      <c r="N28" s="391"/>
      <c r="O28" s="391"/>
      <c r="P28" s="391"/>
      <c r="Q28" s="391"/>
      <c r="R28" s="391"/>
    </row>
    <row r="29" customFormat="false" ht="12" hidden="false" customHeight="true" outlineLevel="1" collapsed="false">
      <c r="A29" s="521" t="s">
        <v>775</v>
      </c>
      <c r="B29" s="618" t="n">
        <f aca="false">10*LOG10(B28)</f>
        <v>43.3994806169435</v>
      </c>
      <c r="C29" s="391" t="s">
        <v>769</v>
      </c>
      <c r="D29" s="49" t="s">
        <v>776</v>
      </c>
      <c r="E29" s="49"/>
      <c r="F29" s="49"/>
      <c r="G29" s="49"/>
      <c r="H29" s="49"/>
      <c r="I29" s="49"/>
      <c r="J29" s="391"/>
      <c r="K29" s="475"/>
      <c r="L29" s="391"/>
      <c r="M29" s="391"/>
      <c r="N29" s="391"/>
      <c r="O29" s="391"/>
      <c r="P29" s="391"/>
      <c r="Q29" s="391"/>
      <c r="R29" s="391"/>
    </row>
    <row r="30" customFormat="false" ht="12" hidden="false" customHeight="true" outlineLevel="1" collapsed="false">
      <c r="A30" s="391" t="s">
        <v>777</v>
      </c>
      <c r="B30" s="612" t="n">
        <f aca="false">B27-B29</f>
        <v>35.9101479058681</v>
      </c>
      <c r="C30" s="391" t="s">
        <v>258</v>
      </c>
      <c r="D30" s="49" t="s">
        <v>0</v>
      </c>
      <c r="E30" s="49"/>
      <c r="F30" s="49"/>
      <c r="G30" s="49"/>
      <c r="H30" s="49"/>
      <c r="I30" s="49"/>
      <c r="J30" s="391"/>
      <c r="K30" s="475"/>
      <c r="L30" s="391"/>
      <c r="M30" s="391"/>
      <c r="N30" s="391"/>
      <c r="O30" s="391"/>
      <c r="P30" s="391"/>
      <c r="Q30" s="391"/>
      <c r="R30" s="391"/>
    </row>
    <row r="31" customFormat="false" ht="12" hidden="false" customHeight="true" outlineLevel="1" collapsed="false">
      <c r="A31" s="391"/>
      <c r="B31" s="619"/>
      <c r="C31" s="391"/>
      <c r="D31" s="49"/>
      <c r="E31" s="49"/>
      <c r="F31" s="49"/>
      <c r="G31" s="49"/>
      <c r="H31" s="49"/>
      <c r="I31" s="49"/>
      <c r="J31" s="391"/>
      <c r="K31" s="475"/>
      <c r="L31" s="391"/>
      <c r="M31" s="391"/>
      <c r="N31" s="391"/>
      <c r="O31" s="391"/>
      <c r="P31" s="391"/>
      <c r="Q31" s="391"/>
      <c r="R31" s="391"/>
    </row>
    <row r="32" customFormat="false" ht="12" hidden="false" customHeight="true" outlineLevel="1" collapsed="false">
      <c r="A32" s="391" t="s">
        <v>778</v>
      </c>
      <c r="B32" s="620" t="str">
        <f aca="false" t="array" ref="B32:B32">INDEX('Modulation-Demodulation Method'!C6:C23,'Modulation-Demodulation Method'!E3,1)</f>
        <v>LoRa</v>
      </c>
      <c r="C32" s="426" t="s">
        <v>0</v>
      </c>
      <c r="D32" s="49" t="s">
        <v>779</v>
      </c>
      <c r="E32" s="49"/>
      <c r="F32" s="49"/>
      <c r="G32" s="49"/>
      <c r="H32" s="49"/>
      <c r="I32" s="49"/>
      <c r="J32" s="391"/>
      <c r="K32" s="475"/>
      <c r="L32" s="391"/>
      <c r="M32" s="391"/>
      <c r="N32" s="391"/>
      <c r="O32" s="391"/>
      <c r="P32" s="391"/>
      <c r="Q32" s="391"/>
      <c r="R32" s="391"/>
    </row>
    <row r="33" customFormat="false" ht="12" hidden="false" customHeight="true" outlineLevel="1" collapsed="false">
      <c r="A33" s="391" t="s">
        <v>780</v>
      </c>
      <c r="B33" s="621" t="str">
        <f aca="false" t="array" ref="B33:B33">INDEX('Modulation-Demodulation Method'!D6:D23,'Modulation-Demodulation Method'!E3,1)</f>
        <v>Spread Spectrum (SF 7, 500 kHz, CR 4:5)</v>
      </c>
      <c r="C33" s="622"/>
      <c r="D33" s="334" t="s">
        <v>781</v>
      </c>
      <c r="E33" s="49"/>
      <c r="F33" s="49"/>
      <c r="G33" s="49"/>
      <c r="H33" s="49"/>
      <c r="I33" s="49"/>
      <c r="J33" s="391"/>
      <c r="K33" s="475"/>
      <c r="L33" s="391"/>
      <c r="M33" s="391"/>
      <c r="N33" s="391"/>
      <c r="O33" s="391"/>
      <c r="P33" s="391"/>
      <c r="Q33" s="391"/>
      <c r="R33" s="391"/>
    </row>
    <row r="34" customFormat="false" ht="12" hidden="false" customHeight="true" outlineLevel="1" collapsed="false">
      <c r="A34" s="391"/>
      <c r="B34" s="619"/>
      <c r="C34" s="391"/>
      <c r="D34" s="49"/>
      <c r="E34" s="49"/>
      <c r="F34" s="49"/>
      <c r="G34" s="49"/>
      <c r="H34" s="49"/>
      <c r="I34" s="49"/>
      <c r="J34" s="391"/>
      <c r="K34" s="475"/>
      <c r="L34" s="391"/>
      <c r="M34" s="391"/>
      <c r="N34" s="391"/>
      <c r="O34" s="391"/>
      <c r="P34" s="391"/>
      <c r="Q34" s="391"/>
      <c r="R34" s="391"/>
    </row>
    <row r="35" customFormat="false" ht="12" hidden="false" customHeight="true" outlineLevel="1" collapsed="false">
      <c r="A35" s="391" t="s">
        <v>782</v>
      </c>
      <c r="B35" s="623" t="n">
        <f aca="false" t="array" ref="B35:B35">INDEX('Modulation-Demodulation Method'!E6:E23,'Modulation-Demodulation Method'!E3,1)</f>
        <v>1E-006</v>
      </c>
      <c r="C35" s="426"/>
      <c r="D35" s="334" t="s">
        <v>783</v>
      </c>
      <c r="E35" s="49"/>
      <c r="F35" s="49"/>
      <c r="G35" s="49"/>
      <c r="H35" s="49"/>
      <c r="I35" s="49"/>
      <c r="J35" s="391"/>
      <c r="K35" s="391"/>
      <c r="L35" s="391"/>
      <c r="M35" s="391"/>
      <c r="N35" s="391"/>
      <c r="O35" s="391"/>
      <c r="P35" s="391"/>
      <c r="Q35" s="391"/>
      <c r="R35" s="391"/>
    </row>
    <row r="36" customFormat="false" ht="12" hidden="false" customHeight="true" outlineLevel="1" collapsed="false">
      <c r="A36" s="391"/>
      <c r="B36" s="624"/>
      <c r="C36" s="426"/>
      <c r="D36" s="334"/>
      <c r="E36" s="49"/>
      <c r="F36" s="49"/>
      <c r="G36" s="49"/>
      <c r="H36" s="49"/>
      <c r="I36" s="49"/>
      <c r="J36" s="391"/>
      <c r="K36" s="391"/>
      <c r="L36" s="391"/>
      <c r="M36" s="391"/>
      <c r="N36" s="391"/>
      <c r="O36" s="391"/>
      <c r="P36" s="391"/>
      <c r="Q36" s="391"/>
      <c r="R36" s="391"/>
    </row>
    <row r="37" customFormat="false" ht="12" hidden="false" customHeight="true" outlineLevel="1" collapsed="false">
      <c r="A37" s="391" t="s">
        <v>784</v>
      </c>
      <c r="B37" s="618" t="n">
        <f aca="false">'Modulation-Demodulation Method'!E25</f>
        <v>1</v>
      </c>
      <c r="C37" s="391" t="s">
        <v>258</v>
      </c>
      <c r="D37" s="49" t="s">
        <v>785</v>
      </c>
      <c r="E37" s="49"/>
      <c r="F37" s="49"/>
      <c r="G37" s="49"/>
      <c r="H37" s="49"/>
      <c r="I37" s="49"/>
      <c r="J37" s="391"/>
      <c r="K37" s="391"/>
      <c r="L37" s="391"/>
      <c r="M37" s="391"/>
      <c r="N37" s="391"/>
      <c r="O37" s="391"/>
      <c r="P37" s="391"/>
      <c r="Q37" s="391"/>
      <c r="R37" s="391"/>
    </row>
    <row r="38" customFormat="false" ht="12" hidden="false" customHeight="true" outlineLevel="1" collapsed="false">
      <c r="A38" s="391"/>
      <c r="B38" s="618"/>
      <c r="C38" s="391"/>
      <c r="D38" s="49"/>
      <c r="E38" s="49"/>
      <c r="F38" s="49"/>
      <c r="G38" s="49"/>
      <c r="H38" s="49"/>
      <c r="I38" s="49"/>
      <c r="J38" s="391"/>
      <c r="K38" s="391"/>
      <c r="L38" s="391"/>
      <c r="M38" s="391"/>
      <c r="N38" s="391"/>
      <c r="O38" s="391"/>
      <c r="P38" s="391"/>
      <c r="Q38" s="391"/>
      <c r="R38" s="391"/>
    </row>
    <row r="39" customFormat="false" ht="12" hidden="false" customHeight="true" outlineLevel="1" collapsed="false">
      <c r="A39" s="391" t="s">
        <v>786</v>
      </c>
      <c r="B39" s="618" t="n">
        <f aca="false" t="array" ref="B39:B39">INDEX('Modulation-Demodulation Method'!F6:F23,'Modulation-Demodulation Method'!E3,1)</f>
        <v>6.8</v>
      </c>
      <c r="C39" s="391" t="s">
        <v>258</v>
      </c>
      <c r="D39" s="49" t="s">
        <v>787</v>
      </c>
      <c r="E39" s="49"/>
      <c r="F39" s="49"/>
      <c r="G39" s="49"/>
      <c r="H39" s="49"/>
      <c r="I39" s="49"/>
      <c r="J39" s="391"/>
      <c r="K39" s="475"/>
      <c r="L39" s="391"/>
      <c r="M39" s="391"/>
      <c r="N39" s="391"/>
      <c r="O39" s="391"/>
      <c r="P39" s="391"/>
      <c r="Q39" s="391"/>
      <c r="R39" s="391"/>
    </row>
    <row r="40" customFormat="false" ht="12" hidden="false" customHeight="true" outlineLevel="1" collapsed="false">
      <c r="A40" s="391"/>
      <c r="B40" s="426"/>
      <c r="C40" s="391"/>
      <c r="D40" s="49"/>
      <c r="E40" s="49"/>
      <c r="F40" s="49"/>
      <c r="G40" s="49"/>
      <c r="H40" s="49"/>
      <c r="I40" s="49"/>
      <c r="J40" s="391"/>
      <c r="K40" s="475"/>
      <c r="L40" s="391"/>
      <c r="M40" s="391"/>
      <c r="N40" s="391"/>
      <c r="O40" s="391"/>
      <c r="P40" s="391"/>
      <c r="Q40" s="391"/>
      <c r="R40" s="391"/>
    </row>
    <row r="41" customFormat="false" ht="12" hidden="false" customHeight="true" outlineLevel="1" collapsed="false">
      <c r="A41" s="391" t="s">
        <v>788</v>
      </c>
      <c r="B41" s="612" t="n">
        <f aca="false">'Modulation-Demodulation Method'!H5</f>
        <v>7.8</v>
      </c>
      <c r="C41" s="391" t="s">
        <v>258</v>
      </c>
      <c r="D41" s="49" t="s">
        <v>789</v>
      </c>
      <c r="E41" s="49"/>
      <c r="F41" s="49"/>
      <c r="G41" s="49"/>
      <c r="H41" s="49"/>
      <c r="I41" s="49"/>
      <c r="J41" s="391"/>
      <c r="K41" s="475"/>
      <c r="L41" s="391"/>
      <c r="M41" s="391"/>
      <c r="N41" s="391"/>
      <c r="O41" s="391"/>
      <c r="P41" s="391"/>
      <c r="Q41" s="391"/>
      <c r="R41" s="391"/>
    </row>
    <row r="42" customFormat="false" ht="12.75" hidden="false" customHeight="true" outlineLevel="1" collapsed="false">
      <c r="A42" s="391"/>
      <c r="B42" s="426"/>
      <c r="C42" s="391"/>
      <c r="D42" s="49"/>
      <c r="E42" s="49"/>
      <c r="F42" s="49"/>
      <c r="G42" s="49"/>
      <c r="H42" s="49"/>
      <c r="I42" s="49"/>
      <c r="J42" s="391"/>
      <c r="K42" s="475"/>
      <c r="L42" s="391"/>
      <c r="M42" s="391"/>
      <c r="N42" s="391"/>
      <c r="O42" s="391"/>
      <c r="P42" s="391"/>
      <c r="Q42" s="391"/>
      <c r="R42" s="391"/>
    </row>
    <row r="43" customFormat="false" ht="12.75" hidden="false" customHeight="true" outlineLevel="1" collapsed="false">
      <c r="A43" s="625" t="s">
        <v>790</v>
      </c>
      <c r="B43" s="203" t="n">
        <f aca="false">B30-B41</f>
        <v>28.1101479058681</v>
      </c>
      <c r="C43" s="391" t="s">
        <v>258</v>
      </c>
      <c r="D43" s="49"/>
      <c r="E43" s="49"/>
      <c r="F43" s="49"/>
      <c r="G43" s="49"/>
      <c r="H43" s="49"/>
      <c r="I43" s="49"/>
      <c r="J43" s="391"/>
      <c r="K43" s="475"/>
      <c r="L43" s="391"/>
      <c r="M43" s="391"/>
      <c r="N43" s="391"/>
      <c r="O43" s="391"/>
      <c r="P43" s="391"/>
      <c r="Q43" s="391"/>
      <c r="R43" s="391"/>
    </row>
    <row r="44" customFormat="false" ht="12" hidden="false" customHeight="true" outlineLevel="1" collapsed="false">
      <c r="A44" s="391"/>
      <c r="B44" s="391"/>
      <c r="C44" s="391"/>
      <c r="D44" s="49"/>
      <c r="E44" s="49"/>
      <c r="F44" s="49"/>
      <c r="G44" s="49"/>
      <c r="H44" s="49"/>
      <c r="I44" s="49"/>
      <c r="J44" s="391"/>
      <c r="K44" s="626"/>
      <c r="L44" s="391"/>
      <c r="M44" s="391"/>
      <c r="N44" s="391"/>
      <c r="O44" s="391"/>
      <c r="P44" s="391"/>
      <c r="Q44" s="391"/>
      <c r="R44" s="391"/>
    </row>
    <row r="45" customFormat="false" ht="12" hidden="false" customHeight="true" outlineLevel="1" collapsed="false">
      <c r="A45" s="391"/>
      <c r="B45" s="391"/>
      <c r="C45" s="391"/>
      <c r="D45" s="49"/>
      <c r="E45" s="49"/>
      <c r="F45" s="49"/>
      <c r="G45" s="49"/>
      <c r="H45" s="49"/>
      <c r="I45" s="49"/>
      <c r="J45" s="391"/>
      <c r="K45" s="391"/>
      <c r="L45" s="391"/>
      <c r="M45" s="391"/>
      <c r="N45" s="391"/>
      <c r="O45" s="391"/>
      <c r="P45" s="391"/>
      <c r="Q45" s="391"/>
      <c r="R45" s="391"/>
    </row>
    <row r="46" customFormat="false" ht="12" hidden="false" customHeight="true" outlineLevel="1" collapsed="false">
      <c r="A46" s="391"/>
      <c r="B46" s="391"/>
      <c r="C46" s="391"/>
      <c r="D46" s="49"/>
      <c r="E46" s="49"/>
      <c r="F46" s="49"/>
      <c r="G46" s="49"/>
      <c r="H46" s="49"/>
      <c r="I46" s="49"/>
      <c r="J46" s="391"/>
      <c r="K46" s="391"/>
      <c r="L46" s="391"/>
      <c r="M46" s="391"/>
      <c r="N46" s="391"/>
      <c r="O46" s="391"/>
      <c r="P46" s="391"/>
      <c r="Q46" s="391"/>
      <c r="R46" s="391"/>
    </row>
    <row r="47" customFormat="false" ht="12" hidden="false" customHeight="true" outlineLevel="0" collapsed="false">
      <c r="A47" s="627" t="s">
        <v>791</v>
      </c>
      <c r="B47" s="609"/>
      <c r="C47" s="609"/>
      <c r="D47" s="609"/>
      <c r="E47" s="628" t="s">
        <v>792</v>
      </c>
      <c r="F47" s="531"/>
      <c r="G47" s="531"/>
      <c r="H47" s="531"/>
      <c r="I47" s="112"/>
      <c r="J47" s="112"/>
      <c r="K47" s="112"/>
      <c r="L47" s="112"/>
      <c r="M47" s="112"/>
      <c r="N47" s="112"/>
      <c r="O47" s="112"/>
      <c r="P47" s="112"/>
      <c r="Q47" s="112"/>
      <c r="R47" s="112"/>
    </row>
    <row r="48" customFormat="false" ht="12" hidden="false" customHeight="true" outlineLevel="1" collapsed="false">
      <c r="A48" s="608" t="s">
        <v>793</v>
      </c>
      <c r="B48" s="609"/>
      <c r="C48" s="609"/>
      <c r="D48" s="609"/>
      <c r="E48" s="610"/>
      <c r="F48" s="531"/>
      <c r="G48" s="531"/>
      <c r="H48" s="531"/>
      <c r="I48" s="112"/>
      <c r="J48" s="112"/>
      <c r="K48" s="112"/>
      <c r="L48" s="112"/>
      <c r="M48" s="112"/>
      <c r="N48" s="112"/>
      <c r="O48" s="112"/>
      <c r="P48" s="112"/>
      <c r="Q48" s="112"/>
      <c r="R48" s="112"/>
    </row>
    <row r="49" customFormat="false" ht="12" hidden="false" customHeight="true" outlineLevel="1" collapsed="false">
      <c r="A49" s="391" t="s">
        <v>757</v>
      </c>
      <c r="B49" s="475" t="n">
        <f aca="false">'Antenna Pointing Losses'!K63</f>
        <v>0</v>
      </c>
      <c r="C49" s="391" t="s">
        <v>258</v>
      </c>
      <c r="D49" s="49" t="s">
        <v>758</v>
      </c>
      <c r="E49" s="49"/>
      <c r="F49" s="49"/>
      <c r="G49" s="49"/>
      <c r="H49" s="49"/>
      <c r="I49" s="49"/>
      <c r="J49" s="391"/>
      <c r="K49" s="391"/>
      <c r="L49" s="391"/>
      <c r="M49" s="391"/>
      <c r="N49" s="391"/>
      <c r="O49" s="391"/>
      <c r="P49" s="391"/>
      <c r="Q49" s="391"/>
      <c r="R49" s="391"/>
    </row>
    <row r="50" customFormat="false" ht="12" hidden="false" customHeight="true" outlineLevel="1" collapsed="false">
      <c r="A50" s="391" t="s">
        <v>759</v>
      </c>
      <c r="B50" s="475" t="n">
        <f aca="false" t="array" ref="B50:B50">INDEX('Antenna Gain'!H26:H32,'Antenna Gain'!E24,1)</f>
        <v>0</v>
      </c>
      <c r="C50" s="391" t="s">
        <v>514</v>
      </c>
      <c r="D50" s="49" t="s">
        <v>760</v>
      </c>
      <c r="E50" s="49"/>
      <c r="F50" s="49"/>
      <c r="G50" s="49"/>
      <c r="H50" s="49"/>
      <c r="I50" s="49"/>
      <c r="J50" s="391"/>
      <c r="K50" s="391"/>
      <c r="L50" s="391"/>
      <c r="M50" s="391"/>
      <c r="N50" s="391"/>
      <c r="O50" s="391"/>
      <c r="P50" s="391"/>
      <c r="Q50" s="391"/>
      <c r="R50" s="391"/>
    </row>
    <row r="51" customFormat="false" ht="12" hidden="false" customHeight="true" outlineLevel="1" collapsed="false">
      <c r="A51" s="391" t="s">
        <v>761</v>
      </c>
      <c r="B51" s="475" t="n">
        <f aca="false">Receivers!J53</f>
        <v>2.299</v>
      </c>
      <c r="C51" s="391" t="s">
        <v>258</v>
      </c>
      <c r="D51" s="49" t="s">
        <v>762</v>
      </c>
      <c r="E51" s="49"/>
      <c r="F51" s="49"/>
      <c r="G51" s="49"/>
      <c r="H51" s="49"/>
      <c r="I51" s="49"/>
      <c r="J51" s="391"/>
      <c r="K51" s="391"/>
      <c r="L51" s="391"/>
      <c r="M51" s="391"/>
      <c r="N51" s="391"/>
      <c r="O51" s="391"/>
      <c r="P51" s="391"/>
      <c r="Q51" s="391"/>
      <c r="R51" s="391"/>
    </row>
    <row r="52" customFormat="false" ht="12" hidden="false" customHeight="true" outlineLevel="1" collapsed="false">
      <c r="A52" s="391" t="s">
        <v>763</v>
      </c>
      <c r="B52" s="611" t="n">
        <f aca="false">Receivers!J68</f>
        <v>1027.57497006715</v>
      </c>
      <c r="C52" s="391" t="s">
        <v>412</v>
      </c>
      <c r="D52" s="49" t="s">
        <v>764</v>
      </c>
      <c r="E52" s="49"/>
      <c r="F52" s="49"/>
      <c r="G52" s="49"/>
      <c r="H52" s="49"/>
      <c r="I52" s="49"/>
      <c r="J52" s="391"/>
      <c r="K52" s="391"/>
      <c r="L52" s="391"/>
      <c r="M52" s="391"/>
      <c r="N52" s="391"/>
      <c r="O52" s="391"/>
      <c r="P52" s="391"/>
      <c r="Q52" s="391"/>
      <c r="R52" s="391"/>
    </row>
    <row r="53" customFormat="false" ht="12" hidden="false" customHeight="true" outlineLevel="1" collapsed="false">
      <c r="A53" s="391" t="s">
        <v>765</v>
      </c>
      <c r="B53" s="475" t="n">
        <f aca="false">B50-B51-10*LOG10(B52)</f>
        <v>-32.4171351706754</v>
      </c>
      <c r="C53" s="391" t="s">
        <v>766</v>
      </c>
      <c r="D53" s="49" t="s">
        <v>794</v>
      </c>
      <c r="E53" s="49"/>
      <c r="F53" s="49"/>
      <c r="G53" s="49"/>
      <c r="H53" s="49"/>
      <c r="I53" s="49"/>
      <c r="J53" s="391"/>
      <c r="K53" s="391"/>
      <c r="L53" s="391"/>
      <c r="M53" s="391"/>
      <c r="N53" s="391"/>
      <c r="O53" s="391"/>
      <c r="P53" s="391"/>
      <c r="Q53" s="391"/>
      <c r="R53" s="391"/>
    </row>
    <row r="54" customFormat="false" ht="12" hidden="false" customHeight="true" outlineLevel="1" collapsed="false">
      <c r="A54" s="391"/>
      <c r="B54" s="475"/>
      <c r="C54" s="391"/>
      <c r="D54" s="49"/>
      <c r="E54" s="49"/>
      <c r="F54" s="49"/>
      <c r="G54" s="49"/>
      <c r="H54" s="49"/>
      <c r="I54" s="49"/>
      <c r="J54" s="391"/>
      <c r="K54" s="391"/>
      <c r="L54" s="391"/>
      <c r="M54" s="391"/>
      <c r="N54" s="391"/>
      <c r="O54" s="391"/>
      <c r="P54" s="391"/>
      <c r="Q54" s="391"/>
      <c r="R54" s="391"/>
    </row>
    <row r="55" customFormat="false" ht="12" hidden="false" customHeight="true" outlineLevel="1" collapsed="false">
      <c r="A55" s="391" t="s">
        <v>795</v>
      </c>
      <c r="B55" s="297" t="n">
        <f aca="false">B19-B49+B50-B51</f>
        <v>-119.172236306513</v>
      </c>
      <c r="C55" s="391" t="s">
        <v>355</v>
      </c>
      <c r="D55" s="49" t="s">
        <v>796</v>
      </c>
      <c r="E55" s="49"/>
      <c r="F55" s="49"/>
      <c r="G55" s="49"/>
      <c r="H55" s="49"/>
      <c r="I55" s="49"/>
      <c r="J55" s="391"/>
      <c r="K55" s="391"/>
      <c r="L55" s="391"/>
      <c r="M55" s="391"/>
      <c r="N55" s="391"/>
      <c r="O55" s="391"/>
      <c r="P55" s="391"/>
      <c r="Q55" s="391"/>
      <c r="R55" s="391"/>
    </row>
    <row r="56" customFormat="false" ht="12" hidden="false" customHeight="true" outlineLevel="1" collapsed="false">
      <c r="A56" s="391"/>
      <c r="B56" s="475"/>
      <c r="C56" s="391"/>
      <c r="D56" s="49"/>
      <c r="E56" s="49"/>
      <c r="F56" s="49"/>
      <c r="G56" s="49"/>
      <c r="H56" s="49"/>
      <c r="I56" s="49"/>
      <c r="J56" s="391"/>
      <c r="K56" s="391"/>
      <c r="L56" s="391"/>
      <c r="M56" s="391"/>
      <c r="N56" s="391"/>
      <c r="O56" s="391"/>
      <c r="P56" s="391"/>
      <c r="Q56" s="391"/>
      <c r="R56" s="391"/>
    </row>
    <row r="57" customFormat="false" ht="12" hidden="false" customHeight="true" outlineLevel="1" collapsed="false">
      <c r="A57" s="391" t="s">
        <v>797</v>
      </c>
      <c r="B57" s="629" t="n">
        <v>500000</v>
      </c>
      <c r="C57" s="391" t="s">
        <v>798</v>
      </c>
      <c r="D57" s="49" t="s">
        <v>799</v>
      </c>
      <c r="E57" s="49"/>
      <c r="F57" s="49"/>
      <c r="G57" s="49"/>
      <c r="H57" s="628" t="s">
        <v>60</v>
      </c>
      <c r="I57" s="49"/>
      <c r="J57" s="391"/>
      <c r="K57" s="391"/>
      <c r="L57" s="391"/>
      <c r="M57" s="391"/>
      <c r="N57" s="391"/>
      <c r="O57" s="391"/>
      <c r="P57" s="391"/>
      <c r="Q57" s="391"/>
      <c r="R57" s="391"/>
    </row>
    <row r="58" customFormat="false" ht="12" hidden="false" customHeight="true" outlineLevel="1" collapsed="false">
      <c r="A58" s="391"/>
      <c r="B58" s="630"/>
      <c r="C58" s="391"/>
      <c r="D58" s="49"/>
      <c r="E58" s="49"/>
      <c r="F58" s="49"/>
      <c r="G58" s="49"/>
      <c r="H58" s="49"/>
      <c r="I58" s="49"/>
      <c r="J58" s="391"/>
      <c r="K58" s="391"/>
      <c r="L58" s="391"/>
      <c r="M58" s="391"/>
      <c r="N58" s="391"/>
      <c r="O58" s="391"/>
      <c r="P58" s="391"/>
      <c r="Q58" s="391"/>
      <c r="R58" s="391"/>
    </row>
    <row r="59" customFormat="false" ht="12" hidden="false" customHeight="true" outlineLevel="1" collapsed="false">
      <c r="A59" s="391" t="s">
        <v>800</v>
      </c>
      <c r="B59" s="297" t="n">
        <f aca="false">F27+10*LOG10(B52)+10*LOG10(B57)</f>
        <v>-141.492164785964</v>
      </c>
      <c r="C59" s="391" t="s">
        <v>355</v>
      </c>
      <c r="D59" s="49" t="s">
        <v>801</v>
      </c>
      <c r="E59" s="49"/>
      <c r="F59" s="49"/>
      <c r="G59" s="49"/>
      <c r="H59" s="49"/>
      <c r="I59" s="49"/>
      <c r="J59" s="391"/>
      <c r="K59" s="391"/>
      <c r="L59" s="391"/>
      <c r="M59" s="391"/>
      <c r="N59" s="391"/>
      <c r="O59" s="391"/>
      <c r="P59" s="391"/>
      <c r="Q59" s="391"/>
      <c r="R59" s="391"/>
    </row>
    <row r="60" customFormat="false" ht="12" hidden="false" customHeight="true" outlineLevel="1" collapsed="false">
      <c r="A60" s="391"/>
      <c r="B60" s="618"/>
      <c r="C60" s="391"/>
      <c r="D60" s="49"/>
      <c r="E60" s="49"/>
      <c r="F60" s="49"/>
      <c r="G60" s="49"/>
      <c r="H60" s="49"/>
      <c r="I60" s="49"/>
      <c r="J60" s="391"/>
      <c r="K60" s="391"/>
      <c r="L60" s="391"/>
      <c r="M60" s="391"/>
      <c r="N60" s="391"/>
      <c r="O60" s="391"/>
      <c r="P60" s="391"/>
      <c r="Q60" s="391"/>
      <c r="R60" s="391"/>
    </row>
    <row r="61" customFormat="false" ht="12" hidden="false" customHeight="true" outlineLevel="1" collapsed="false">
      <c r="A61" s="391" t="s">
        <v>802</v>
      </c>
      <c r="B61" s="612" t="n">
        <f aca="false">B55-B59</f>
        <v>22.3199284794514</v>
      </c>
      <c r="C61" s="391" t="s">
        <v>258</v>
      </c>
      <c r="D61" s="49" t="s">
        <v>803</v>
      </c>
      <c r="E61" s="49"/>
      <c r="F61" s="49"/>
      <c r="G61" s="49"/>
      <c r="H61" s="49"/>
      <c r="I61" s="49"/>
      <c r="J61" s="391"/>
      <c r="K61" s="391"/>
      <c r="L61" s="391"/>
      <c r="M61" s="391"/>
      <c r="N61" s="391"/>
      <c r="O61" s="391"/>
      <c r="P61" s="391"/>
      <c r="Q61" s="391"/>
      <c r="R61" s="391"/>
    </row>
    <row r="62" customFormat="false" ht="12" hidden="false" customHeight="true" outlineLevel="1" collapsed="false">
      <c r="A62" s="391"/>
      <c r="B62" s="475"/>
      <c r="C62" s="391"/>
      <c r="D62" s="49"/>
      <c r="E62" s="49"/>
      <c r="F62" s="49"/>
      <c r="G62" s="49"/>
      <c r="H62" s="49"/>
      <c r="I62" s="49"/>
      <c r="J62" s="391"/>
      <c r="K62" s="391"/>
      <c r="L62" s="391"/>
      <c r="M62" s="391"/>
      <c r="N62" s="391"/>
      <c r="O62" s="391"/>
      <c r="P62" s="391"/>
      <c r="Q62" s="391"/>
      <c r="R62" s="391"/>
    </row>
    <row r="63" customFormat="false" ht="12" hidden="false" customHeight="true" outlineLevel="1" collapsed="false">
      <c r="A63" s="391" t="s">
        <v>804</v>
      </c>
      <c r="B63" s="250" t="n">
        <v>-6</v>
      </c>
      <c r="C63" s="391" t="s">
        <v>258</v>
      </c>
      <c r="D63" s="49" t="s">
        <v>805</v>
      </c>
      <c r="E63" s="49"/>
      <c r="F63" s="49"/>
      <c r="G63" s="49"/>
      <c r="H63" s="49"/>
      <c r="I63" s="49"/>
      <c r="J63" s="391"/>
      <c r="K63" s="391"/>
      <c r="L63" s="391"/>
      <c r="M63" s="391"/>
      <c r="N63" s="391"/>
      <c r="O63" s="391"/>
      <c r="P63" s="391"/>
      <c r="Q63" s="391"/>
      <c r="R63" s="391"/>
    </row>
    <row r="64" customFormat="false" ht="12.75" hidden="false" customHeight="true" outlineLevel="1" collapsed="false">
      <c r="A64" s="391"/>
      <c r="B64" s="475"/>
      <c r="C64" s="391"/>
      <c r="D64" s="49"/>
      <c r="E64" s="49"/>
      <c r="F64" s="49"/>
      <c r="G64" s="49"/>
      <c r="H64" s="49"/>
      <c r="I64" s="49"/>
      <c r="J64" s="391"/>
      <c r="K64" s="391"/>
      <c r="L64" s="391"/>
      <c r="M64" s="391"/>
      <c r="N64" s="391"/>
      <c r="O64" s="391"/>
      <c r="P64" s="391"/>
      <c r="Q64" s="391"/>
      <c r="R64" s="391"/>
    </row>
    <row r="65" customFormat="false" ht="12.75" hidden="false" customHeight="true" outlineLevel="1" collapsed="false">
      <c r="A65" s="391" t="s">
        <v>806</v>
      </c>
      <c r="B65" s="203" t="n">
        <f aca="false">B61-B63</f>
        <v>28.3199284794514</v>
      </c>
      <c r="C65" s="391" t="s">
        <v>258</v>
      </c>
      <c r="D65" s="49"/>
      <c r="E65" s="49"/>
      <c r="F65" s="49"/>
      <c r="G65" s="49"/>
      <c r="H65" s="49"/>
      <c r="I65" s="49"/>
      <c r="J65" s="391"/>
      <c r="K65" s="391"/>
      <c r="L65" s="391"/>
      <c r="M65" s="391"/>
      <c r="N65" s="391"/>
      <c r="O65" s="391"/>
      <c r="P65" s="391"/>
      <c r="Q65" s="391"/>
      <c r="R65" s="391"/>
    </row>
    <row r="66" customFormat="false" ht="12" hidden="false" customHeight="true" outlineLevel="1" collapsed="false">
      <c r="A66" s="391"/>
      <c r="B66" s="391"/>
      <c r="C66" s="391"/>
      <c r="D66" s="49"/>
      <c r="E66" s="49"/>
      <c r="F66" s="49"/>
      <c r="G66" s="49"/>
      <c r="H66" s="49"/>
      <c r="I66" s="49"/>
      <c r="J66" s="391"/>
      <c r="K66" s="391"/>
      <c r="L66" s="391"/>
      <c r="M66" s="391"/>
      <c r="N66" s="391"/>
      <c r="O66" s="391"/>
      <c r="P66" s="391"/>
      <c r="Q66" s="391"/>
      <c r="R66" s="391"/>
    </row>
    <row r="67" customFormat="false" ht="12" hidden="false" customHeight="true" outlineLevel="1" collapsed="false">
      <c r="A67" s="391"/>
      <c r="B67" s="391"/>
      <c r="C67" s="391"/>
      <c r="D67" s="49"/>
      <c r="E67" s="49"/>
      <c r="F67" s="49"/>
      <c r="G67" s="49"/>
      <c r="H67" s="49"/>
      <c r="I67" s="49"/>
      <c r="J67" s="391"/>
      <c r="K67" s="391"/>
      <c r="L67" s="391"/>
      <c r="M67" s="391"/>
      <c r="N67" s="391"/>
      <c r="O67" s="391"/>
      <c r="P67" s="391"/>
      <c r="Q67" s="391"/>
      <c r="R67" s="391"/>
    </row>
    <row r="68" customFormat="false" ht="12" hidden="false" customHeight="true" outlineLevel="1" collapsed="false">
      <c r="A68" s="391"/>
      <c r="B68" s="391"/>
      <c r="C68" s="391"/>
      <c r="D68" s="49"/>
      <c r="E68" s="49"/>
      <c r="F68" s="49"/>
      <c r="G68" s="49"/>
      <c r="H68" s="49"/>
      <c r="I68" s="49"/>
      <c r="J68" s="391"/>
      <c r="K68" s="391"/>
      <c r="L68" s="391"/>
      <c r="M68" s="391"/>
      <c r="N68" s="391"/>
      <c r="O68" s="391"/>
      <c r="P68" s="391"/>
      <c r="Q68" s="391"/>
      <c r="R68" s="391"/>
    </row>
    <row r="69" customFormat="false" ht="12" hidden="false" customHeight="true" outlineLevel="0" collapsed="false">
      <c r="B69" s="631" t="s">
        <v>0</v>
      </c>
      <c r="C69" s="38" t="s">
        <v>0</v>
      </c>
    </row>
    <row r="70" customFormat="false" ht="12" hidden="false" customHeight="true" outlineLevel="0" collapsed="false">
      <c r="B70" s="631"/>
    </row>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FB714"/>
    <pageSetUpPr fitToPage="false"/>
  </sheetPr>
  <dimension ref="A1:S1000"/>
  <sheetViews>
    <sheetView showFormulas="false" showGridLines="true" showRowColHeaders="true" showZeros="true" rightToLeft="false" tabSelected="false" showOutlineSymbols="true" defaultGridColor="true" view="normal" topLeftCell="A7" colorId="64" zoomScale="120" zoomScaleNormal="120" zoomScalePageLayoutView="100" workbookViewId="0">
      <selection pane="topLeft" activeCell="C44" activeCellId="0" sqref="C44"/>
    </sheetView>
  </sheetViews>
  <sheetFormatPr defaultColWidth="12.6328125" defaultRowHeight="15" customHeight="true" zeroHeight="false" outlineLevelRow="1" outlineLevelCol="1"/>
  <cols>
    <col collapsed="false" customWidth="true" hidden="false" outlineLevel="0" max="1" min="1" style="1" width="40"/>
    <col collapsed="false" customWidth="true" hidden="false" outlineLevel="0" max="2" min="2" style="1" width="15.13"/>
    <col collapsed="false" customWidth="true" hidden="false" outlineLevel="0" max="3" min="3" style="1" width="12.25"/>
    <col collapsed="false" customWidth="true" hidden="false" outlineLevel="1" max="4" min="4" style="1" width="25.38"/>
    <col collapsed="false" customWidth="true" hidden="false" outlineLevel="1" max="6" min="5" style="1" width="9.13"/>
    <col collapsed="false" customWidth="true" hidden="false" outlineLevel="1" max="7" min="7" style="1" width="9.38"/>
    <col collapsed="false" customWidth="true" hidden="false" outlineLevel="1" max="8" min="8" style="1" width="9.13"/>
    <col collapsed="false" customWidth="true" hidden="false" outlineLevel="1" max="9" min="9" style="1" width="14.25"/>
    <col collapsed="false" customWidth="true" hidden="false" outlineLevel="1" max="10" min="10" style="1" width="22.38"/>
    <col collapsed="false" customWidth="true" hidden="false" outlineLevel="0" max="19" min="11" style="1" width="8.88"/>
    <col collapsed="false" customWidth="true" hidden="false" outlineLevel="0" max="26" min="20" style="1" width="14.38"/>
  </cols>
  <sheetData>
    <row r="1" customFormat="false" ht="16.5" hidden="false" customHeight="true" outlineLevel="0" collapsed="false">
      <c r="A1" s="599" t="str">
        <f aca="false">'Title Page'!F3</f>
        <v>Coconut Cubesat</v>
      </c>
      <c r="B1" s="23" t="s">
        <v>60</v>
      </c>
      <c r="C1" s="16" t="s">
        <v>0</v>
      </c>
      <c r="D1" s="600" t="str">
        <f aca="false">'Title Page'!F3</f>
        <v>Coconut Cubesat</v>
      </c>
      <c r="E1" s="601" t="s">
        <v>0</v>
      </c>
      <c r="F1" s="601" t="str">
        <f aca="false">'Title Page'!D23</f>
        <v>Date Data Last Modified:</v>
      </c>
      <c r="G1" s="601"/>
      <c r="H1" s="16"/>
      <c r="I1" s="16"/>
      <c r="J1" s="16"/>
      <c r="K1" s="16"/>
      <c r="L1" s="16"/>
      <c r="M1" s="16"/>
      <c r="N1" s="16"/>
      <c r="O1" s="16"/>
      <c r="P1" s="16"/>
      <c r="Q1" s="16"/>
      <c r="R1" s="16"/>
    </row>
    <row r="2" customFormat="false" ht="18" hidden="false" customHeight="true" outlineLevel="0" collapsed="false">
      <c r="A2" s="12" t="s">
        <v>807</v>
      </c>
      <c r="B2" s="16"/>
      <c r="C2" s="16"/>
      <c r="D2" s="601" t="str">
        <f aca="false">'Title Page'!G1</f>
        <v> Version: 2.5.5</v>
      </c>
      <c r="E2" s="601"/>
      <c r="F2" s="632" t="str">
        <f aca="false">'Title Page'!F23</f>
        <v>2025 June 06</v>
      </c>
      <c r="G2" s="601"/>
      <c r="H2" s="16"/>
      <c r="I2" s="16"/>
      <c r="J2" s="16"/>
      <c r="K2" s="16"/>
      <c r="L2" s="16"/>
      <c r="M2" s="16"/>
      <c r="N2" s="16"/>
      <c r="O2" s="16"/>
      <c r="P2" s="16"/>
      <c r="Q2" s="16"/>
      <c r="R2" s="16"/>
    </row>
    <row r="3" customFormat="false" ht="12" hidden="false" customHeight="true" outlineLevel="0" collapsed="false">
      <c r="A3" s="16"/>
      <c r="B3" s="16"/>
      <c r="C3" s="16"/>
      <c r="D3" s="601"/>
      <c r="E3" s="601"/>
      <c r="F3" s="601"/>
      <c r="G3" s="601"/>
      <c r="H3" s="16"/>
      <c r="I3" s="16"/>
      <c r="J3" s="16"/>
      <c r="K3" s="16"/>
      <c r="L3" s="16"/>
      <c r="M3" s="16"/>
      <c r="N3" s="16"/>
      <c r="O3" s="16"/>
      <c r="P3" s="16"/>
      <c r="Q3" s="16"/>
      <c r="R3" s="16"/>
    </row>
    <row r="4" customFormat="false" ht="12" hidden="false" customHeight="true" outlineLevel="0" collapsed="false">
      <c r="A4" s="603" t="s">
        <v>206</v>
      </c>
      <c r="B4" s="603" t="s">
        <v>207</v>
      </c>
      <c r="C4" s="603" t="s">
        <v>724</v>
      </c>
      <c r="D4" s="603" t="s">
        <v>725</v>
      </c>
      <c r="E4" s="499"/>
      <c r="F4" s="499"/>
      <c r="G4" s="499"/>
      <c r="H4" s="499"/>
      <c r="I4" s="499"/>
      <c r="J4" s="499"/>
      <c r="K4" s="499"/>
      <c r="L4" s="499"/>
      <c r="M4" s="499"/>
      <c r="N4" s="499"/>
      <c r="O4" s="499"/>
      <c r="P4" s="499"/>
      <c r="Q4" s="499"/>
      <c r="R4" s="499"/>
    </row>
    <row r="5" customFormat="false" ht="12" hidden="false" customHeight="true" outlineLevel="0" collapsed="false">
      <c r="A5" s="604" t="s">
        <v>519</v>
      </c>
      <c r="B5" s="112"/>
      <c r="C5" s="112"/>
      <c r="D5" s="112"/>
      <c r="E5" s="112"/>
      <c r="F5" s="112"/>
      <c r="G5" s="112"/>
      <c r="H5" s="112"/>
      <c r="I5" s="112"/>
      <c r="J5" s="112"/>
      <c r="K5" s="112"/>
      <c r="L5" s="112"/>
      <c r="M5" s="112"/>
      <c r="N5" s="112"/>
      <c r="O5" s="112"/>
      <c r="P5" s="112"/>
      <c r="Q5" s="112"/>
      <c r="R5" s="112"/>
    </row>
    <row r="6" customFormat="false" ht="12" hidden="false" customHeight="true" outlineLevel="0" collapsed="false">
      <c r="A6" s="391" t="s">
        <v>808</v>
      </c>
      <c r="B6" s="475" t="n">
        <f aca="false">Transmitters!E52</f>
        <v>1</v>
      </c>
      <c r="C6" s="391" t="s">
        <v>728</v>
      </c>
      <c r="D6" s="49" t="s">
        <v>809</v>
      </c>
      <c r="E6" s="49"/>
      <c r="F6" s="49"/>
      <c r="G6" s="49"/>
      <c r="H6" s="49"/>
      <c r="I6" s="49"/>
      <c r="J6" s="49"/>
      <c r="K6" s="391"/>
      <c r="L6" s="605" t="s">
        <v>810</v>
      </c>
      <c r="M6" s="557"/>
      <c r="N6" s="557"/>
      <c r="O6" s="557"/>
      <c r="P6" s="557"/>
      <c r="Q6" s="546"/>
      <c r="R6" s="391"/>
    </row>
    <row r="7" customFormat="false" ht="12" hidden="false" customHeight="true" outlineLevel="0" collapsed="false">
      <c r="A7" s="521" t="s">
        <v>731</v>
      </c>
      <c r="B7" s="556" t="n">
        <f aca="false">10*LOG10(B6)</f>
        <v>0</v>
      </c>
      <c r="C7" s="391" t="s">
        <v>355</v>
      </c>
      <c r="D7" s="49" t="s">
        <v>732</v>
      </c>
      <c r="E7" s="49"/>
      <c r="F7" s="49"/>
      <c r="G7" s="49"/>
      <c r="H7" s="49"/>
      <c r="I7" s="49"/>
      <c r="J7" s="49"/>
      <c r="K7" s="391"/>
      <c r="L7" s="391"/>
      <c r="M7" s="391"/>
      <c r="N7" s="391"/>
      <c r="O7" s="391"/>
      <c r="P7" s="391"/>
      <c r="Q7" s="391"/>
      <c r="R7" s="391"/>
    </row>
    <row r="8" customFormat="false" ht="12" hidden="false" customHeight="true" outlineLevel="0" collapsed="false">
      <c r="A8" s="521" t="s">
        <v>733</v>
      </c>
      <c r="B8" s="297" t="n">
        <f aca="false">B7+30</f>
        <v>30</v>
      </c>
      <c r="C8" s="391" t="s">
        <v>333</v>
      </c>
      <c r="D8" s="49" t="s">
        <v>734</v>
      </c>
      <c r="E8" s="49"/>
      <c r="F8" s="49"/>
      <c r="G8" s="49"/>
      <c r="H8" s="49"/>
      <c r="I8" s="49"/>
      <c r="J8" s="49"/>
      <c r="K8" s="391"/>
      <c r="L8" s="391"/>
      <c r="M8" s="391"/>
      <c r="N8" s="391"/>
      <c r="O8" s="391"/>
      <c r="P8" s="391"/>
      <c r="Q8" s="391"/>
      <c r="R8" s="391"/>
    </row>
    <row r="9" customFormat="false" ht="12" hidden="false" customHeight="true" outlineLevel="0" collapsed="false">
      <c r="A9" s="391" t="s">
        <v>761</v>
      </c>
      <c r="B9" s="475" t="n">
        <f aca="false">Transmitters!I71</f>
        <v>2.349</v>
      </c>
      <c r="C9" s="391" t="s">
        <v>258</v>
      </c>
      <c r="D9" s="49" t="s">
        <v>811</v>
      </c>
      <c r="E9" s="49"/>
      <c r="F9" s="49"/>
      <c r="G9" s="49"/>
      <c r="H9" s="49"/>
      <c r="I9" s="49"/>
      <c r="J9" s="49"/>
      <c r="K9" s="391"/>
      <c r="L9" s="391"/>
      <c r="M9" s="391"/>
      <c r="N9" s="391"/>
      <c r="O9" s="391"/>
      <c r="P9" s="391"/>
      <c r="Q9" s="391"/>
      <c r="R9" s="391"/>
    </row>
    <row r="10" customFormat="false" ht="12" hidden="false" customHeight="true" outlineLevel="0" collapsed="false">
      <c r="A10" s="391" t="s">
        <v>759</v>
      </c>
      <c r="B10" s="475" t="n">
        <f aca="false" t="array" ref="B10:B10">INDEX('Antenna Gain'!H43:H49,'Antenna Gain'!E41,1)</f>
        <v>0</v>
      </c>
      <c r="C10" s="391" t="s">
        <v>514</v>
      </c>
      <c r="D10" s="49" t="s">
        <v>812</v>
      </c>
      <c r="E10" s="49"/>
      <c r="F10" s="49"/>
      <c r="G10" s="49"/>
      <c r="H10" s="49"/>
      <c r="I10" s="49"/>
      <c r="J10" s="49"/>
      <c r="K10" s="391"/>
      <c r="L10" s="391"/>
      <c r="M10" s="391"/>
      <c r="N10" s="391"/>
      <c r="O10" s="391"/>
      <c r="P10" s="391"/>
      <c r="Q10" s="391"/>
      <c r="R10" s="391"/>
    </row>
    <row r="11" customFormat="false" ht="12" hidden="false" customHeight="true" outlineLevel="0" collapsed="false">
      <c r="A11" s="391" t="s">
        <v>813</v>
      </c>
      <c r="B11" s="556" t="n">
        <f aca="false">B7-B9+B10</f>
        <v>-2.349</v>
      </c>
      <c r="C11" s="391" t="s">
        <v>355</v>
      </c>
      <c r="D11" s="49" t="s">
        <v>814</v>
      </c>
      <c r="E11" s="49"/>
      <c r="F11" s="49"/>
      <c r="G11" s="49"/>
      <c r="H11" s="49"/>
      <c r="I11" s="49"/>
      <c r="J11" s="49"/>
      <c r="K11" s="391"/>
      <c r="L11" s="391"/>
      <c r="M11" s="391"/>
      <c r="N11" s="391"/>
      <c r="O11" s="391"/>
      <c r="P11" s="391"/>
      <c r="Q11" s="391"/>
      <c r="R11" s="391"/>
    </row>
    <row r="12" customFormat="false" ht="12" hidden="false" customHeight="true" outlineLevel="0" collapsed="false">
      <c r="A12" s="604" t="s">
        <v>815</v>
      </c>
      <c r="B12" s="164"/>
      <c r="C12" s="112"/>
      <c r="D12" s="112"/>
      <c r="E12" s="112"/>
      <c r="F12" s="112"/>
      <c r="G12" s="112"/>
      <c r="H12" s="112"/>
      <c r="I12" s="112"/>
      <c r="J12" s="112"/>
      <c r="K12" s="112"/>
      <c r="L12" s="112"/>
      <c r="M12" s="112"/>
      <c r="N12" s="112"/>
      <c r="O12" s="112"/>
      <c r="P12" s="112"/>
      <c r="Q12" s="112"/>
      <c r="R12" s="112"/>
    </row>
    <row r="13" customFormat="false" ht="12" hidden="false" customHeight="true" outlineLevel="0" collapsed="false">
      <c r="A13" s="391" t="s">
        <v>757</v>
      </c>
      <c r="B13" s="475" t="n">
        <f aca="false">'Antenna Pointing Losses'!K85</f>
        <v>0</v>
      </c>
      <c r="C13" s="391" t="s">
        <v>258</v>
      </c>
      <c r="D13" s="49" t="s">
        <v>816</v>
      </c>
      <c r="E13" s="49"/>
      <c r="F13" s="49"/>
      <c r="G13" s="49"/>
      <c r="H13" s="49"/>
      <c r="I13" s="49"/>
      <c r="J13" s="49"/>
      <c r="K13" s="391"/>
      <c r="L13" s="391"/>
      <c r="M13" s="391"/>
      <c r="N13" s="391"/>
      <c r="O13" s="391"/>
      <c r="P13" s="391"/>
      <c r="Q13" s="391"/>
      <c r="R13" s="391"/>
    </row>
    <row r="14" customFormat="false" ht="12" hidden="false" customHeight="true" outlineLevel="0" collapsed="false">
      <c r="A14" s="391" t="s">
        <v>817</v>
      </c>
      <c r="B14" s="475" t="n">
        <f aca="false">'Antenna Polarization Loss'!F60</f>
        <v>0.0574379076</v>
      </c>
      <c r="C14" s="391" t="s">
        <v>258</v>
      </c>
      <c r="D14" s="49" t="s">
        <v>818</v>
      </c>
      <c r="E14" s="49"/>
      <c r="F14" s="49"/>
      <c r="G14" s="49"/>
      <c r="H14" s="49"/>
      <c r="I14" s="49"/>
      <c r="J14" s="49"/>
      <c r="K14" s="391"/>
      <c r="L14" s="391"/>
      <c r="M14" s="391"/>
      <c r="N14" s="391"/>
      <c r="O14" s="391"/>
      <c r="P14" s="391"/>
      <c r="Q14" s="391"/>
      <c r="R14" s="391"/>
    </row>
    <row r="15" customFormat="false" ht="12" hidden="false" customHeight="true" outlineLevel="0" collapsed="false">
      <c r="A15" s="391" t="s">
        <v>311</v>
      </c>
      <c r="B15" s="475" t="n">
        <f aca="false">Frequency!M18</f>
        <v>147.031071998789</v>
      </c>
      <c r="C15" s="391" t="s">
        <v>258</v>
      </c>
      <c r="D15" s="49" t="s">
        <v>746</v>
      </c>
      <c r="E15" s="49"/>
      <c r="F15" s="49"/>
      <c r="G15" s="49"/>
      <c r="H15" s="49"/>
      <c r="I15" s="49"/>
      <c r="J15" s="49"/>
      <c r="K15" s="391"/>
      <c r="L15" s="391"/>
      <c r="M15" s="391"/>
      <c r="N15" s="391"/>
      <c r="O15" s="391"/>
      <c r="P15" s="391"/>
      <c r="Q15" s="391"/>
      <c r="R15" s="391"/>
    </row>
    <row r="16" customFormat="false" ht="12" hidden="false" customHeight="true" outlineLevel="0" collapsed="false">
      <c r="A16" s="391" t="s">
        <v>819</v>
      </c>
      <c r="B16" s="475" t="n">
        <f aca="false">'Atmos. &amp; Ionos. Losses'!D23</f>
        <v>1.1</v>
      </c>
      <c r="C16" s="391" t="s">
        <v>258</v>
      </c>
      <c r="D16" s="49" t="s">
        <v>748</v>
      </c>
      <c r="E16" s="49"/>
      <c r="F16" s="49"/>
      <c r="G16" s="49"/>
      <c r="H16" s="49"/>
      <c r="I16" s="49"/>
      <c r="J16" s="49"/>
      <c r="K16" s="391"/>
      <c r="L16" s="391"/>
      <c r="M16" s="391"/>
      <c r="N16" s="391"/>
      <c r="O16" s="391"/>
      <c r="P16" s="391"/>
      <c r="Q16" s="391"/>
      <c r="R16" s="391"/>
    </row>
    <row r="17" customFormat="false" ht="12" hidden="false" customHeight="true" outlineLevel="0" collapsed="false">
      <c r="A17" s="391" t="s">
        <v>820</v>
      </c>
      <c r="B17" s="475" t="n">
        <f aca="false" t="array" ref="B17:B17">INDEX('Atmos. &amp; Ionos. Losses'!D45:D48,Frequency!L16,1)</f>
        <v>0.4</v>
      </c>
      <c r="C17" s="391" t="s">
        <v>258</v>
      </c>
      <c r="D17" s="49" t="s">
        <v>750</v>
      </c>
      <c r="E17" s="49"/>
      <c r="F17" s="49"/>
      <c r="G17" s="49"/>
      <c r="H17" s="49"/>
      <c r="I17" s="49"/>
      <c r="J17" s="49"/>
      <c r="K17" s="391"/>
      <c r="L17" s="391"/>
      <c r="M17" s="391"/>
      <c r="N17" s="391"/>
      <c r="O17" s="391"/>
      <c r="P17" s="391"/>
      <c r="Q17" s="391"/>
      <c r="R17" s="391"/>
    </row>
    <row r="18" customFormat="false" ht="12" hidden="false" customHeight="true" outlineLevel="0" collapsed="false">
      <c r="A18" s="391" t="s">
        <v>821</v>
      </c>
      <c r="B18" s="607" t="n">
        <v>0</v>
      </c>
      <c r="C18" s="391" t="s">
        <v>258</v>
      </c>
      <c r="D18" s="49" t="s">
        <v>752</v>
      </c>
      <c r="E18" s="49"/>
      <c r="F18" s="49"/>
      <c r="G18" s="49"/>
      <c r="H18" s="49"/>
      <c r="I18" s="49"/>
      <c r="J18" s="49" t="s">
        <v>0</v>
      </c>
      <c r="K18" s="391"/>
      <c r="L18" s="391"/>
      <c r="M18" s="391"/>
      <c r="N18" s="391"/>
      <c r="O18" s="391"/>
      <c r="P18" s="391"/>
      <c r="Q18" s="391"/>
      <c r="R18" s="391"/>
    </row>
    <row r="19" customFormat="false" ht="12" hidden="false" customHeight="true" outlineLevel="0" collapsed="false">
      <c r="A19" s="391" t="s">
        <v>822</v>
      </c>
      <c r="B19" s="612" t="n">
        <f aca="false">B11-SUM(B13:B18)</f>
        <v>-150.937509906389</v>
      </c>
      <c r="C19" s="391" t="s">
        <v>355</v>
      </c>
      <c r="D19" s="49" t="s">
        <v>823</v>
      </c>
      <c r="E19" s="49"/>
      <c r="F19" s="49"/>
      <c r="G19" s="49"/>
      <c r="H19" s="49"/>
      <c r="I19" s="49"/>
      <c r="J19" s="49"/>
      <c r="K19" s="391"/>
      <c r="L19" s="391"/>
      <c r="M19" s="391"/>
      <c r="N19" s="391"/>
      <c r="O19" s="391"/>
      <c r="P19" s="391"/>
      <c r="Q19" s="391"/>
      <c r="R19" s="391"/>
    </row>
    <row r="20" customFormat="false" ht="12" hidden="false" customHeight="true" outlineLevel="0" collapsed="false">
      <c r="A20" s="604" t="s">
        <v>824</v>
      </c>
      <c r="B20" s="112"/>
      <c r="C20" s="112"/>
      <c r="D20" s="112"/>
      <c r="E20" s="112"/>
      <c r="F20" s="112"/>
      <c r="G20" s="112"/>
      <c r="H20" s="112"/>
      <c r="I20" s="112"/>
      <c r="J20" s="608" t="s">
        <v>0</v>
      </c>
      <c r="K20" s="609"/>
      <c r="L20" s="609"/>
      <c r="M20" s="609"/>
      <c r="N20" s="609"/>
      <c r="O20" s="112"/>
      <c r="P20" s="112"/>
      <c r="Q20" s="112"/>
      <c r="R20" s="112"/>
      <c r="S20" s="327"/>
    </row>
    <row r="21" customFormat="false" ht="12" hidden="false" customHeight="true" outlineLevel="1" collapsed="false">
      <c r="A21" s="604" t="s">
        <v>756</v>
      </c>
      <c r="B21" s="112"/>
      <c r="C21" s="112"/>
      <c r="D21" s="112"/>
      <c r="E21" s="112"/>
      <c r="F21" s="112"/>
      <c r="G21" s="112"/>
      <c r="H21" s="112"/>
      <c r="I21" s="112"/>
      <c r="J21" s="608" t="s">
        <v>0</v>
      </c>
      <c r="K21" s="609"/>
      <c r="L21" s="609"/>
      <c r="M21" s="609"/>
      <c r="N21" s="609"/>
      <c r="O21" s="112"/>
      <c r="P21" s="112"/>
      <c r="Q21" s="112"/>
      <c r="R21" s="112"/>
      <c r="S21" s="327"/>
    </row>
    <row r="22" customFormat="false" ht="12" hidden="false" customHeight="true" outlineLevel="1" collapsed="false">
      <c r="A22" s="477" t="s">
        <v>742</v>
      </c>
      <c r="B22" s="475" t="n">
        <f aca="false">'Antenna Pointing Losses'!K102</f>
        <v>0.393433713654516</v>
      </c>
      <c r="C22" s="391" t="s">
        <v>258</v>
      </c>
      <c r="D22" s="49" t="s">
        <v>825</v>
      </c>
      <c r="E22" s="49"/>
      <c r="F22" s="49"/>
      <c r="G22" s="49"/>
      <c r="H22" s="49"/>
      <c r="I22" s="49"/>
      <c r="J22" s="49"/>
      <c r="K22" s="475"/>
      <c r="L22" s="391"/>
      <c r="M22" s="391"/>
      <c r="N22" s="391"/>
      <c r="O22" s="391"/>
      <c r="P22" s="391"/>
      <c r="Q22" s="391"/>
      <c r="R22" s="391"/>
    </row>
    <row r="23" customFormat="false" ht="12" hidden="false" customHeight="true" outlineLevel="1" collapsed="false">
      <c r="A23" s="391" t="s">
        <v>826</v>
      </c>
      <c r="B23" s="475" t="n">
        <f aca="false" t="array" ref="B23:B23">INDEX('Antenna Gain'!N60:N63,'Antenna Gain'!E58,1)</f>
        <v>17.45</v>
      </c>
      <c r="C23" s="391" t="s">
        <v>514</v>
      </c>
      <c r="D23" s="49" t="s">
        <v>827</v>
      </c>
      <c r="E23" s="49"/>
      <c r="F23" s="49"/>
      <c r="G23" s="49"/>
      <c r="H23" s="49"/>
      <c r="I23" s="49"/>
      <c r="J23" s="49"/>
      <c r="K23" s="475"/>
      <c r="L23" s="391"/>
      <c r="M23" s="391"/>
      <c r="N23" s="391"/>
      <c r="O23" s="391"/>
      <c r="P23" s="391"/>
      <c r="Q23" s="391"/>
      <c r="R23" s="391"/>
    </row>
    <row r="24" customFormat="false" ht="12" hidden="false" customHeight="true" outlineLevel="1" collapsed="false">
      <c r="A24" s="391" t="s">
        <v>828</v>
      </c>
      <c r="B24" s="475" t="n">
        <f aca="false">Receivers!J124</f>
        <v>1.3495</v>
      </c>
      <c r="C24" s="391" t="s">
        <v>258</v>
      </c>
      <c r="D24" s="49" t="s">
        <v>829</v>
      </c>
      <c r="E24" s="49"/>
      <c r="F24" s="49"/>
      <c r="G24" s="49"/>
      <c r="H24" s="49"/>
      <c r="I24" s="49"/>
      <c r="J24" s="49"/>
      <c r="K24" s="391"/>
      <c r="L24" s="391"/>
      <c r="M24" s="391"/>
      <c r="N24" s="391"/>
      <c r="O24" s="391"/>
      <c r="P24" s="391"/>
      <c r="Q24" s="391"/>
      <c r="R24" s="391"/>
    </row>
    <row r="25" customFormat="false" ht="12" hidden="false" customHeight="true" outlineLevel="1" collapsed="false">
      <c r="A25" s="391" t="s">
        <v>830</v>
      </c>
      <c r="B25" s="611" t="n">
        <f aca="false">Receivers!J147</f>
        <v>502.538145690134</v>
      </c>
      <c r="C25" s="391" t="s">
        <v>412</v>
      </c>
      <c r="D25" s="49" t="s">
        <v>831</v>
      </c>
      <c r="E25" s="49"/>
      <c r="F25" s="49"/>
      <c r="G25" s="49"/>
      <c r="H25" s="49"/>
      <c r="I25" s="49"/>
      <c r="J25" s="49"/>
      <c r="K25" s="611"/>
      <c r="L25" s="391"/>
      <c r="M25" s="391"/>
      <c r="N25" s="391"/>
      <c r="O25" s="391"/>
      <c r="P25" s="391"/>
      <c r="Q25" s="391"/>
      <c r="R25" s="391"/>
    </row>
    <row r="26" customFormat="false" ht="12" hidden="false" customHeight="true" outlineLevel="1" collapsed="false">
      <c r="A26" s="391" t="s">
        <v>832</v>
      </c>
      <c r="B26" s="475" t="n">
        <f aca="false">B23-B24-10*LOG10(B25)</f>
        <v>-10.911190329263</v>
      </c>
      <c r="C26" s="391" t="s">
        <v>766</v>
      </c>
      <c r="D26" s="49" t="s">
        <v>767</v>
      </c>
      <c r="E26" s="49"/>
      <c r="F26" s="49"/>
      <c r="G26" s="49"/>
      <c r="H26" s="49"/>
      <c r="I26" s="49"/>
      <c r="J26" s="49"/>
      <c r="K26" s="475"/>
      <c r="L26" s="391"/>
      <c r="M26" s="391"/>
      <c r="N26" s="391"/>
      <c r="O26" s="391"/>
      <c r="P26" s="391"/>
      <c r="Q26" s="391"/>
      <c r="R26" s="391"/>
    </row>
    <row r="27" customFormat="false" ht="12" hidden="false" customHeight="true" outlineLevel="1" collapsed="false">
      <c r="A27" s="391" t="s">
        <v>833</v>
      </c>
      <c r="B27" s="612" t="n">
        <f aca="false">B19-B22-F27+B26</f>
        <v>66.3578660506938</v>
      </c>
      <c r="C27" s="391" t="s">
        <v>769</v>
      </c>
      <c r="D27" s="613" t="s">
        <v>770</v>
      </c>
      <c r="E27" s="614"/>
      <c r="F27" s="614" t="n">
        <v>-228.6</v>
      </c>
      <c r="G27" s="615" t="s">
        <v>771</v>
      </c>
      <c r="H27" s="271"/>
      <c r="I27" s="49"/>
      <c r="J27" s="49"/>
      <c r="K27" s="475"/>
      <c r="L27" s="391"/>
      <c r="M27" s="391"/>
      <c r="N27" s="391"/>
      <c r="O27" s="391"/>
      <c r="P27" s="391"/>
      <c r="Q27" s="391"/>
      <c r="R27" s="391"/>
    </row>
    <row r="28" customFormat="false" ht="12" hidden="false" customHeight="true" outlineLevel="1" collapsed="false">
      <c r="A28" s="391" t="s">
        <v>772</v>
      </c>
      <c r="B28" s="616" t="n">
        <v>21875</v>
      </c>
      <c r="C28" s="391" t="s">
        <v>773</v>
      </c>
      <c r="D28" s="49" t="s">
        <v>774</v>
      </c>
      <c r="E28" s="49"/>
      <c r="F28" s="49"/>
      <c r="G28" s="49"/>
      <c r="H28" s="49"/>
      <c r="I28" s="49"/>
      <c r="J28" s="49"/>
      <c r="K28" s="617"/>
      <c r="L28" s="391"/>
      <c r="M28" s="391"/>
      <c r="N28" s="391"/>
      <c r="O28" s="391"/>
      <c r="P28" s="391"/>
      <c r="Q28" s="391"/>
      <c r="R28" s="391"/>
    </row>
    <row r="29" customFormat="false" ht="12" hidden="false" customHeight="true" outlineLevel="1" collapsed="false">
      <c r="A29" s="521" t="s">
        <v>775</v>
      </c>
      <c r="B29" s="618" t="n">
        <f aca="false">10*LOG10(B28)</f>
        <v>43.3994806169435</v>
      </c>
      <c r="C29" s="391" t="s">
        <v>769</v>
      </c>
      <c r="D29" s="49" t="s">
        <v>776</v>
      </c>
      <c r="E29" s="49"/>
      <c r="F29" s="49"/>
      <c r="G29" s="49"/>
      <c r="H29" s="49"/>
      <c r="I29" s="49"/>
      <c r="J29" s="49"/>
      <c r="K29" s="475"/>
      <c r="L29" s="391"/>
      <c r="M29" s="391"/>
      <c r="N29" s="391"/>
      <c r="O29" s="391"/>
      <c r="P29" s="391"/>
      <c r="Q29" s="391"/>
      <c r="R29" s="391"/>
    </row>
    <row r="30" customFormat="false" ht="12" hidden="false" customHeight="true" outlineLevel="1" collapsed="false">
      <c r="A30" s="391" t="s">
        <v>834</v>
      </c>
      <c r="B30" s="612" t="n">
        <f aca="false">B27-B29</f>
        <v>22.9583854337503</v>
      </c>
      <c r="C30" s="391" t="s">
        <v>258</v>
      </c>
      <c r="D30" s="49" t="s">
        <v>0</v>
      </c>
      <c r="E30" s="49"/>
      <c r="F30" s="49"/>
      <c r="G30" s="49"/>
      <c r="H30" s="49"/>
      <c r="I30" s="49"/>
      <c r="J30" s="49"/>
      <c r="K30" s="475"/>
      <c r="L30" s="391"/>
      <c r="M30" s="391"/>
      <c r="N30" s="391"/>
      <c r="O30" s="391"/>
      <c r="P30" s="391"/>
      <c r="Q30" s="391"/>
      <c r="R30" s="391"/>
    </row>
    <row r="31" customFormat="false" ht="12" hidden="false" customHeight="true" outlineLevel="1" collapsed="false">
      <c r="A31" s="391"/>
      <c r="B31" s="633"/>
      <c r="C31" s="391"/>
      <c r="D31" s="49"/>
      <c r="E31" s="49"/>
      <c r="F31" s="49"/>
      <c r="G31" s="49"/>
      <c r="H31" s="49"/>
      <c r="I31" s="49"/>
      <c r="J31" s="49"/>
      <c r="K31" s="475"/>
      <c r="L31" s="391"/>
      <c r="M31" s="391"/>
      <c r="N31" s="391"/>
      <c r="O31" s="391"/>
      <c r="P31" s="391"/>
      <c r="Q31" s="391"/>
      <c r="R31" s="391"/>
    </row>
    <row r="32" customFormat="false" ht="12" hidden="false" customHeight="true" outlineLevel="1" collapsed="false">
      <c r="A32" s="391" t="s">
        <v>778</v>
      </c>
      <c r="B32" s="620" t="str">
        <f aca="false" t="array" ref="B32:B32">INDEX('Modulation-Demodulation Method'!C33:C51,'Modulation-Demodulation Method'!E30,1)</f>
        <v>LoRa</v>
      </c>
      <c r="C32" s="426" t="s">
        <v>0</v>
      </c>
      <c r="D32" s="49" t="s">
        <v>835</v>
      </c>
      <c r="E32" s="49"/>
      <c r="F32" s="49"/>
      <c r="G32" s="49"/>
      <c r="H32" s="49"/>
      <c r="I32" s="49"/>
      <c r="J32" s="314"/>
      <c r="K32" s="391"/>
      <c r="L32" s="391"/>
      <c r="M32" s="391"/>
      <c r="N32" s="391"/>
      <c r="O32" s="391"/>
      <c r="P32" s="391"/>
      <c r="Q32" s="391"/>
      <c r="R32" s="391"/>
    </row>
    <row r="33" customFormat="false" ht="12" hidden="false" customHeight="true" outlineLevel="1" collapsed="false">
      <c r="A33" s="391" t="s">
        <v>780</v>
      </c>
      <c r="B33" s="621" t="str">
        <f aca="false" t="array" ref="B33:B33">INDEX('Modulation-Demodulation Method'!D33:D51,'Modulation-Demodulation Method'!E30,1)</f>
        <v>Spread Spectrum (SF 7, 500 kHz, CR 4:5)</v>
      </c>
      <c r="C33" s="622"/>
      <c r="D33" s="334" t="s">
        <v>836</v>
      </c>
      <c r="E33" s="634"/>
      <c r="F33" s="49"/>
      <c r="G33" s="49"/>
      <c r="H33" s="49"/>
      <c r="I33" s="49"/>
      <c r="J33" s="49"/>
      <c r="K33" s="475"/>
      <c r="L33" s="391"/>
      <c r="M33" s="391"/>
      <c r="N33" s="391"/>
      <c r="O33" s="391"/>
      <c r="P33" s="391"/>
      <c r="Q33" s="391"/>
      <c r="R33" s="391"/>
    </row>
    <row r="34" customFormat="false" ht="12" hidden="false" customHeight="true" outlineLevel="1" collapsed="false">
      <c r="A34" s="391"/>
      <c r="B34" s="635"/>
      <c r="C34" s="426"/>
      <c r="D34" s="636"/>
      <c r="E34" s="634"/>
      <c r="F34" s="49"/>
      <c r="G34" s="49"/>
      <c r="H34" s="49"/>
      <c r="I34" s="49"/>
      <c r="J34" s="49"/>
      <c r="K34" s="475"/>
      <c r="L34" s="391"/>
      <c r="M34" s="391"/>
      <c r="N34" s="391"/>
      <c r="O34" s="391"/>
      <c r="P34" s="391"/>
      <c r="Q34" s="391"/>
      <c r="R34" s="391"/>
    </row>
    <row r="35" customFormat="false" ht="12" hidden="false" customHeight="true" outlineLevel="1" collapsed="false">
      <c r="A35" s="391" t="s">
        <v>782</v>
      </c>
      <c r="B35" s="623" t="n">
        <f aca="false" t="array" ref="B35:B35">INDEX('Modulation-Demodulation Method'!E33:E51,'Modulation-Demodulation Method'!E30,1)</f>
        <v>1E-006</v>
      </c>
      <c r="C35" s="426"/>
      <c r="D35" s="334" t="s">
        <v>837</v>
      </c>
      <c r="E35" s="634"/>
      <c r="F35" s="49"/>
      <c r="G35" s="49"/>
      <c r="H35" s="49"/>
      <c r="I35" s="49"/>
      <c r="J35" s="49"/>
      <c r="K35" s="475"/>
      <c r="L35" s="391"/>
      <c r="M35" s="391"/>
      <c r="N35" s="391"/>
      <c r="O35" s="391"/>
      <c r="P35" s="391"/>
      <c r="Q35" s="391"/>
      <c r="R35" s="391"/>
    </row>
    <row r="36" customFormat="false" ht="12" hidden="false" customHeight="true" outlineLevel="1" collapsed="false">
      <c r="A36" s="391"/>
      <c r="B36" s="635"/>
      <c r="C36" s="426"/>
      <c r="D36" s="636"/>
      <c r="E36" s="634"/>
      <c r="F36" s="49"/>
      <c r="G36" s="49"/>
      <c r="H36" s="49"/>
      <c r="I36" s="49"/>
      <c r="J36" s="49"/>
      <c r="K36" s="475"/>
      <c r="L36" s="391"/>
      <c r="M36" s="391"/>
      <c r="N36" s="391"/>
      <c r="O36" s="391"/>
      <c r="P36" s="391"/>
      <c r="Q36" s="391"/>
      <c r="R36" s="391"/>
    </row>
    <row r="37" customFormat="false" ht="12" hidden="false" customHeight="true" outlineLevel="1" collapsed="false">
      <c r="A37" s="391" t="s">
        <v>784</v>
      </c>
      <c r="B37" s="637" t="n">
        <f aca="false">'Modulation-Demodulation Method'!E53</f>
        <v>1</v>
      </c>
      <c r="C37" s="391" t="s">
        <v>258</v>
      </c>
      <c r="D37" s="49" t="s">
        <v>838</v>
      </c>
      <c r="E37" s="49"/>
      <c r="F37" s="49"/>
      <c r="G37" s="49"/>
      <c r="H37" s="49"/>
      <c r="I37" s="49"/>
      <c r="J37" s="49"/>
      <c r="K37" s="391"/>
      <c r="L37" s="391"/>
      <c r="M37" s="391"/>
      <c r="N37" s="391"/>
      <c r="O37" s="391"/>
      <c r="P37" s="391"/>
      <c r="Q37" s="391"/>
      <c r="R37" s="391"/>
    </row>
    <row r="38" customFormat="false" ht="12" hidden="false" customHeight="true" outlineLevel="1" collapsed="false">
      <c r="A38" s="391"/>
      <c r="B38" s="391"/>
      <c r="C38" s="391"/>
      <c r="D38" s="49"/>
      <c r="E38" s="49"/>
      <c r="F38" s="49"/>
      <c r="G38" s="49"/>
      <c r="H38" s="49"/>
      <c r="I38" s="49"/>
      <c r="J38" s="49"/>
      <c r="K38" s="391"/>
      <c r="L38" s="391"/>
      <c r="M38" s="391"/>
      <c r="N38" s="391"/>
      <c r="O38" s="391"/>
      <c r="P38" s="391"/>
      <c r="Q38" s="391"/>
      <c r="R38" s="391"/>
    </row>
    <row r="39" customFormat="false" ht="12" hidden="false" customHeight="true" outlineLevel="1" collapsed="false">
      <c r="A39" s="391" t="s">
        <v>786</v>
      </c>
      <c r="B39" s="618" t="n">
        <f aca="false" t="array" ref="B39:B39">INDEX('Modulation-Demodulation Method'!F33:F51,'Modulation-Demodulation Method'!E30,1)</f>
        <v>6.8</v>
      </c>
      <c r="C39" s="391" t="s">
        <v>258</v>
      </c>
      <c r="D39" s="49" t="s">
        <v>839</v>
      </c>
      <c r="E39" s="49"/>
      <c r="F39" s="49"/>
      <c r="G39" s="49"/>
      <c r="H39" s="49"/>
      <c r="I39" s="49"/>
      <c r="J39" s="49"/>
      <c r="K39" s="475"/>
      <c r="L39" s="391"/>
      <c r="M39" s="391"/>
      <c r="N39" s="391"/>
      <c r="O39" s="391"/>
      <c r="P39" s="391"/>
      <c r="Q39" s="391"/>
      <c r="R39" s="391"/>
    </row>
    <row r="40" customFormat="false" ht="12" hidden="false" customHeight="true" outlineLevel="1" collapsed="false">
      <c r="A40" s="391"/>
      <c r="B40" s="391"/>
      <c r="C40" s="391"/>
      <c r="D40" s="49"/>
      <c r="E40" s="49"/>
      <c r="F40" s="49"/>
      <c r="G40" s="49"/>
      <c r="H40" s="49"/>
      <c r="I40" s="49"/>
      <c r="J40" s="49"/>
      <c r="K40" s="475"/>
      <c r="L40" s="391"/>
      <c r="M40" s="391"/>
      <c r="N40" s="391"/>
      <c r="O40" s="391"/>
      <c r="P40" s="391"/>
      <c r="Q40" s="391"/>
      <c r="R40" s="391"/>
    </row>
    <row r="41" customFormat="false" ht="12" hidden="false" customHeight="true" outlineLevel="1" collapsed="false">
      <c r="A41" s="391" t="s">
        <v>788</v>
      </c>
      <c r="B41" s="612" t="n">
        <f aca="false">'Modulation-Demodulation Method'!H32</f>
        <v>7.8</v>
      </c>
      <c r="C41" s="391" t="s">
        <v>258</v>
      </c>
      <c r="D41" s="49" t="s">
        <v>789</v>
      </c>
      <c r="E41" s="49"/>
      <c r="F41" s="49"/>
      <c r="G41" s="49"/>
      <c r="H41" s="49"/>
      <c r="I41" s="49"/>
      <c r="J41" s="49"/>
      <c r="K41" s="475"/>
      <c r="L41" s="391"/>
      <c r="M41" s="391"/>
      <c r="N41" s="391"/>
      <c r="O41" s="391"/>
      <c r="P41" s="391"/>
      <c r="Q41" s="391"/>
      <c r="R41" s="391"/>
    </row>
    <row r="42" customFormat="false" ht="12.75" hidden="false" customHeight="true" outlineLevel="1" collapsed="false">
      <c r="A42" s="391"/>
      <c r="B42" s="391"/>
      <c r="C42" s="391"/>
      <c r="D42" s="49"/>
      <c r="E42" s="49"/>
      <c r="F42" s="49"/>
      <c r="G42" s="49"/>
      <c r="H42" s="49"/>
      <c r="I42" s="49"/>
      <c r="J42" s="49"/>
      <c r="K42" s="475"/>
      <c r="L42" s="391"/>
      <c r="M42" s="391"/>
      <c r="N42" s="391"/>
      <c r="O42" s="391"/>
      <c r="P42" s="391"/>
      <c r="Q42" s="391"/>
      <c r="R42" s="391"/>
    </row>
    <row r="43" customFormat="false" ht="12.75" hidden="false" customHeight="true" outlineLevel="1" collapsed="false">
      <c r="A43" s="625" t="s">
        <v>790</v>
      </c>
      <c r="B43" s="203" t="n">
        <f aca="false">B30-B41</f>
        <v>15.1583854337503</v>
      </c>
      <c r="C43" s="391" t="s">
        <v>258</v>
      </c>
      <c r="D43" s="49"/>
      <c r="E43" s="49"/>
      <c r="F43" s="49"/>
      <c r="G43" s="49"/>
      <c r="H43" s="49"/>
      <c r="I43" s="49"/>
      <c r="J43" s="49"/>
      <c r="K43" s="391"/>
      <c r="L43" s="391"/>
      <c r="M43" s="391"/>
      <c r="N43" s="391"/>
      <c r="O43" s="391"/>
      <c r="P43" s="391"/>
      <c r="Q43" s="391"/>
      <c r="R43" s="391"/>
    </row>
    <row r="44" customFormat="false" ht="12" hidden="false" customHeight="true" outlineLevel="1" collapsed="false">
      <c r="A44" s="391"/>
      <c r="B44" s="391"/>
      <c r="C44" s="391"/>
      <c r="D44" s="49"/>
      <c r="E44" s="49"/>
      <c r="F44" s="49"/>
      <c r="G44" s="49"/>
      <c r="H44" s="49"/>
      <c r="I44" s="49"/>
      <c r="J44" s="49"/>
      <c r="K44" s="626"/>
      <c r="L44" s="391"/>
      <c r="M44" s="391"/>
      <c r="N44" s="391"/>
      <c r="O44" s="391"/>
      <c r="P44" s="391"/>
      <c r="Q44" s="391"/>
      <c r="R44" s="391"/>
    </row>
    <row r="45" customFormat="false" ht="12" hidden="false" customHeight="true" outlineLevel="1" collapsed="false">
      <c r="A45" s="391"/>
      <c r="B45" s="391"/>
      <c r="C45" s="391"/>
      <c r="D45" s="49" t="s">
        <v>0</v>
      </c>
      <c r="E45" s="49"/>
      <c r="F45" s="49"/>
      <c r="G45" s="49"/>
      <c r="H45" s="49"/>
      <c r="I45" s="49"/>
      <c r="J45" s="49"/>
      <c r="K45" s="391"/>
      <c r="L45" s="391"/>
      <c r="M45" s="391"/>
      <c r="N45" s="391"/>
      <c r="O45" s="391"/>
      <c r="P45" s="391"/>
      <c r="Q45" s="391"/>
      <c r="R45" s="391"/>
      <c r="S45" s="327"/>
    </row>
    <row r="46" customFormat="false" ht="12" hidden="false" customHeight="true" outlineLevel="0" collapsed="false">
      <c r="A46" s="627" t="s">
        <v>840</v>
      </c>
      <c r="B46" s="609"/>
      <c r="C46" s="609"/>
      <c r="D46" s="609"/>
      <c r="E46" s="609"/>
      <c r="F46" s="112"/>
      <c r="G46" s="112"/>
      <c r="H46" s="112"/>
      <c r="I46" s="112"/>
      <c r="J46" s="112"/>
      <c r="K46" s="112"/>
      <c r="L46" s="112"/>
      <c r="M46" s="112"/>
      <c r="N46" s="112"/>
      <c r="O46" s="112"/>
      <c r="P46" s="112"/>
      <c r="Q46" s="112"/>
      <c r="R46" s="112"/>
    </row>
    <row r="47" customFormat="false" ht="12" hidden="false" customHeight="true" outlineLevel="1" collapsed="false">
      <c r="A47" s="608" t="s">
        <v>793</v>
      </c>
      <c r="B47" s="609"/>
      <c r="C47" s="609"/>
      <c r="D47" s="609"/>
      <c r="E47" s="609"/>
      <c r="F47" s="112"/>
      <c r="G47" s="112"/>
      <c r="H47" s="112"/>
      <c r="I47" s="112"/>
      <c r="J47" s="112"/>
      <c r="K47" s="112"/>
      <c r="L47" s="112"/>
      <c r="M47" s="112"/>
      <c r="N47" s="112"/>
      <c r="O47" s="112"/>
      <c r="P47" s="112"/>
      <c r="Q47" s="112"/>
      <c r="R47" s="112"/>
    </row>
    <row r="48" customFormat="false" ht="12" hidden="false" customHeight="true" outlineLevel="1" collapsed="false">
      <c r="A48" s="391" t="s">
        <v>742</v>
      </c>
      <c r="B48" s="475" t="n">
        <f aca="false">'Antenna Pointing Losses'!K102</f>
        <v>0.393433713654516</v>
      </c>
      <c r="C48" s="391" t="s">
        <v>258</v>
      </c>
      <c r="D48" s="49" t="s">
        <v>825</v>
      </c>
      <c r="E48" s="49"/>
      <c r="F48" s="49"/>
      <c r="G48" s="49"/>
      <c r="H48" s="49"/>
      <c r="I48" s="49"/>
      <c r="J48" s="49"/>
      <c r="K48" s="391"/>
      <c r="L48" s="391"/>
      <c r="M48" s="391"/>
      <c r="N48" s="391"/>
      <c r="O48" s="391"/>
      <c r="P48" s="391"/>
      <c r="Q48" s="391"/>
      <c r="R48" s="391"/>
    </row>
    <row r="49" customFormat="false" ht="12" hidden="false" customHeight="true" outlineLevel="1" collapsed="false">
      <c r="A49" s="391" t="s">
        <v>826</v>
      </c>
      <c r="B49" s="475" t="n">
        <f aca="false" t="array" ref="B49:B49">INDEX('Antenna Gain'!N60:N63,'Antenna Gain'!E58,1)</f>
        <v>17.45</v>
      </c>
      <c r="C49" s="391" t="s">
        <v>514</v>
      </c>
      <c r="D49" s="49" t="s">
        <v>827</v>
      </c>
      <c r="E49" s="49"/>
      <c r="F49" s="49"/>
      <c r="G49" s="49"/>
      <c r="H49" s="49"/>
      <c r="I49" s="49"/>
      <c r="J49" s="49"/>
      <c r="K49" s="391"/>
      <c r="L49" s="391"/>
      <c r="M49" s="391"/>
      <c r="N49" s="391"/>
      <c r="O49" s="391"/>
      <c r="P49" s="391"/>
      <c r="Q49" s="391"/>
      <c r="R49" s="391"/>
    </row>
    <row r="50" customFormat="false" ht="12" hidden="false" customHeight="true" outlineLevel="1" collapsed="false">
      <c r="A50" s="391" t="s">
        <v>828</v>
      </c>
      <c r="B50" s="475" t="n">
        <f aca="false">Receivers!J124</f>
        <v>1.3495</v>
      </c>
      <c r="C50" s="391" t="s">
        <v>258</v>
      </c>
      <c r="D50" s="49" t="s">
        <v>829</v>
      </c>
      <c r="E50" s="49"/>
      <c r="F50" s="49"/>
      <c r="G50" s="49"/>
      <c r="H50" s="49"/>
      <c r="I50" s="49"/>
      <c r="J50" s="49"/>
      <c r="K50" s="391"/>
      <c r="L50" s="391"/>
      <c r="M50" s="391"/>
      <c r="N50" s="391"/>
      <c r="O50" s="391"/>
      <c r="P50" s="391"/>
      <c r="Q50" s="391"/>
      <c r="R50" s="391"/>
    </row>
    <row r="51" customFormat="false" ht="12" hidden="false" customHeight="true" outlineLevel="1" collapsed="false">
      <c r="A51" s="391" t="s">
        <v>830</v>
      </c>
      <c r="B51" s="611" t="n">
        <f aca="false">Receivers!J147</f>
        <v>502.538145690134</v>
      </c>
      <c r="C51" s="391" t="s">
        <v>412</v>
      </c>
      <c r="D51" s="49" t="s">
        <v>831</v>
      </c>
      <c r="E51" s="49"/>
      <c r="F51" s="49"/>
      <c r="G51" s="49"/>
      <c r="H51" s="49"/>
      <c r="I51" s="49"/>
      <c r="J51" s="49"/>
      <c r="K51" s="391"/>
      <c r="L51" s="391"/>
      <c r="M51" s="391"/>
      <c r="N51" s="391"/>
      <c r="O51" s="391"/>
      <c r="P51" s="391"/>
      <c r="Q51" s="391"/>
      <c r="R51" s="391"/>
    </row>
    <row r="52" customFormat="false" ht="12" hidden="false" customHeight="true" outlineLevel="1" collapsed="false">
      <c r="A52" s="391" t="s">
        <v>832</v>
      </c>
      <c r="B52" s="475" t="n">
        <f aca="false">B49-B50-10*LOG10(B51)</f>
        <v>-10.911190329263</v>
      </c>
      <c r="C52" s="391" t="s">
        <v>766</v>
      </c>
      <c r="D52" s="49" t="s">
        <v>794</v>
      </c>
      <c r="E52" s="49"/>
      <c r="F52" s="49"/>
      <c r="G52" s="49"/>
      <c r="H52" s="49"/>
      <c r="I52" s="49"/>
      <c r="J52" s="49"/>
      <c r="K52" s="391"/>
      <c r="L52" s="391"/>
      <c r="M52" s="391"/>
      <c r="N52" s="391"/>
      <c r="O52" s="391"/>
      <c r="P52" s="391"/>
      <c r="Q52" s="391"/>
      <c r="R52" s="391"/>
    </row>
    <row r="53" customFormat="false" ht="12" hidden="false" customHeight="true" outlineLevel="1" collapsed="false">
      <c r="A53" s="391"/>
      <c r="B53" s="475"/>
      <c r="C53" s="391"/>
      <c r="D53" s="49"/>
      <c r="E53" s="49"/>
      <c r="F53" s="49"/>
      <c r="G53" s="49"/>
      <c r="H53" s="49"/>
      <c r="I53" s="49"/>
      <c r="J53" s="49"/>
      <c r="K53" s="391"/>
      <c r="L53" s="391"/>
      <c r="M53" s="391"/>
      <c r="N53" s="391"/>
      <c r="O53" s="391"/>
      <c r="P53" s="391"/>
      <c r="Q53" s="391"/>
      <c r="R53" s="391"/>
    </row>
    <row r="54" customFormat="false" ht="12" hidden="false" customHeight="true" outlineLevel="1" collapsed="false">
      <c r="A54" s="391" t="s">
        <v>841</v>
      </c>
      <c r="B54" s="297" t="n">
        <f aca="false">B19+B49-B48-B50</f>
        <v>-135.230443620043</v>
      </c>
      <c r="C54" s="391" t="s">
        <v>355</v>
      </c>
      <c r="D54" s="49" t="s">
        <v>796</v>
      </c>
      <c r="E54" s="49"/>
      <c r="F54" s="49"/>
      <c r="G54" s="49"/>
      <c r="H54" s="49"/>
      <c r="I54" s="49"/>
      <c r="J54" s="49"/>
      <c r="K54" s="391"/>
      <c r="L54" s="391"/>
      <c r="M54" s="391"/>
      <c r="N54" s="391"/>
      <c r="O54" s="391"/>
      <c r="P54" s="391"/>
      <c r="Q54" s="391"/>
      <c r="R54" s="391"/>
    </row>
    <row r="55" customFormat="false" ht="12" hidden="false" customHeight="true" outlineLevel="1" collapsed="false">
      <c r="A55" s="391"/>
      <c r="B55" s="618"/>
      <c r="C55" s="391"/>
      <c r="D55" s="49"/>
      <c r="E55" s="49"/>
      <c r="F55" s="49"/>
      <c r="G55" s="49"/>
      <c r="H55" s="49"/>
      <c r="I55" s="49"/>
      <c r="J55" s="49"/>
      <c r="K55" s="391"/>
      <c r="L55" s="391"/>
      <c r="M55" s="391"/>
      <c r="N55" s="391"/>
      <c r="O55" s="391"/>
      <c r="P55" s="391"/>
      <c r="Q55" s="391"/>
      <c r="R55" s="391"/>
    </row>
    <row r="56" customFormat="false" ht="12" hidden="false" customHeight="true" outlineLevel="1" collapsed="false">
      <c r="A56" s="391" t="s">
        <v>842</v>
      </c>
      <c r="B56" s="629" t="n">
        <v>500000</v>
      </c>
      <c r="C56" s="391" t="s">
        <v>798</v>
      </c>
      <c r="D56" s="49" t="s">
        <v>843</v>
      </c>
      <c r="E56" s="49"/>
      <c r="F56" s="49"/>
      <c r="G56" s="49"/>
      <c r="H56" s="628" t="s">
        <v>60</v>
      </c>
      <c r="I56" s="49"/>
      <c r="J56" s="49"/>
      <c r="K56" s="391"/>
      <c r="L56" s="391"/>
      <c r="M56" s="391"/>
      <c r="N56" s="391"/>
      <c r="O56" s="391"/>
      <c r="P56" s="391"/>
      <c r="Q56" s="391"/>
      <c r="R56" s="391"/>
    </row>
    <row r="57" customFormat="false" ht="12" hidden="false" customHeight="true" outlineLevel="1" collapsed="false">
      <c r="A57" s="391"/>
      <c r="B57" s="630"/>
      <c r="C57" s="391"/>
      <c r="D57" s="49"/>
      <c r="E57" s="49"/>
      <c r="F57" s="49"/>
      <c r="G57" s="49"/>
      <c r="H57" s="49"/>
      <c r="I57" s="49"/>
      <c r="J57" s="49"/>
      <c r="K57" s="391"/>
      <c r="L57" s="391"/>
      <c r="M57" s="391"/>
      <c r="N57" s="391"/>
      <c r="O57" s="391"/>
      <c r="P57" s="391"/>
      <c r="Q57" s="391"/>
      <c r="R57" s="391"/>
    </row>
    <row r="58" customFormat="false" ht="12" hidden="false" customHeight="true" outlineLevel="1" collapsed="false">
      <c r="A58" s="391" t="s">
        <v>844</v>
      </c>
      <c r="B58" s="297" t="n">
        <f aca="false">F27+10*LOG10(B51)+10*LOG10(B56)</f>
        <v>-144.598609627377</v>
      </c>
      <c r="C58" s="391" t="s">
        <v>355</v>
      </c>
      <c r="D58" s="49" t="s">
        <v>801</v>
      </c>
      <c r="E58" s="49"/>
      <c r="F58" s="49"/>
      <c r="G58" s="49"/>
      <c r="H58" s="49"/>
      <c r="I58" s="49"/>
      <c r="J58" s="49"/>
      <c r="K58" s="391"/>
      <c r="L58" s="391"/>
      <c r="M58" s="391"/>
      <c r="N58" s="391"/>
      <c r="O58" s="391"/>
      <c r="P58" s="391"/>
      <c r="Q58" s="391"/>
      <c r="R58" s="391"/>
    </row>
    <row r="59" customFormat="false" ht="12" hidden="false" customHeight="true" outlineLevel="1" collapsed="false">
      <c r="A59" s="391"/>
      <c r="B59" s="618"/>
      <c r="C59" s="391"/>
      <c r="D59" s="49"/>
      <c r="E59" s="49"/>
      <c r="F59" s="49"/>
      <c r="G59" s="49"/>
      <c r="H59" s="49"/>
      <c r="I59" s="49"/>
      <c r="J59" s="49"/>
      <c r="K59" s="391"/>
      <c r="L59" s="391"/>
      <c r="M59" s="391"/>
      <c r="N59" s="391"/>
      <c r="O59" s="391"/>
      <c r="P59" s="391"/>
      <c r="Q59" s="391"/>
      <c r="R59" s="391"/>
    </row>
    <row r="60" customFormat="false" ht="12" hidden="false" customHeight="true" outlineLevel="1" collapsed="false">
      <c r="A60" s="391" t="s">
        <v>802</v>
      </c>
      <c r="B60" s="612" t="n">
        <f aca="false">B54-B58</f>
        <v>9.36816600733357</v>
      </c>
      <c r="C60" s="391" t="s">
        <v>258</v>
      </c>
      <c r="D60" s="49" t="s">
        <v>803</v>
      </c>
      <c r="E60" s="49"/>
      <c r="F60" s="49"/>
      <c r="G60" s="49"/>
      <c r="H60" s="49"/>
      <c r="I60" s="49"/>
      <c r="J60" s="49"/>
      <c r="K60" s="391"/>
      <c r="L60" s="391"/>
      <c r="M60" s="391"/>
      <c r="N60" s="391"/>
      <c r="O60" s="391"/>
      <c r="P60" s="391"/>
      <c r="Q60" s="391"/>
      <c r="R60" s="391"/>
    </row>
    <row r="61" customFormat="false" ht="12" hidden="false" customHeight="true" outlineLevel="1" collapsed="false">
      <c r="A61" s="391"/>
      <c r="B61" s="475"/>
      <c r="C61" s="391"/>
      <c r="D61" s="49"/>
      <c r="E61" s="49"/>
      <c r="F61" s="49"/>
      <c r="G61" s="49"/>
      <c r="H61" s="49"/>
      <c r="I61" s="49"/>
      <c r="J61" s="49"/>
      <c r="K61" s="391"/>
      <c r="L61" s="391"/>
      <c r="M61" s="391"/>
      <c r="N61" s="391"/>
      <c r="O61" s="391"/>
      <c r="P61" s="391"/>
      <c r="Q61" s="391"/>
      <c r="R61" s="391"/>
    </row>
    <row r="62" customFormat="false" ht="12" hidden="false" customHeight="true" outlineLevel="1" collapsed="false">
      <c r="A62" s="391" t="s">
        <v>804</v>
      </c>
      <c r="B62" s="250" t="n">
        <v>-6</v>
      </c>
      <c r="C62" s="391" t="s">
        <v>258</v>
      </c>
      <c r="D62" s="49" t="s">
        <v>805</v>
      </c>
      <c r="E62" s="49"/>
      <c r="F62" s="49"/>
      <c r="G62" s="49"/>
      <c r="H62" s="49"/>
      <c r="I62" s="49"/>
      <c r="J62" s="49"/>
      <c r="K62" s="391"/>
      <c r="L62" s="391"/>
      <c r="M62" s="391"/>
      <c r="N62" s="391"/>
      <c r="O62" s="391"/>
      <c r="P62" s="391"/>
      <c r="Q62" s="391"/>
      <c r="R62" s="391"/>
    </row>
    <row r="63" customFormat="false" ht="12.75" hidden="false" customHeight="true" outlineLevel="1" collapsed="false">
      <c r="A63" s="391"/>
      <c r="B63" s="475"/>
      <c r="C63" s="391"/>
      <c r="D63" s="49"/>
      <c r="E63" s="49"/>
      <c r="F63" s="49"/>
      <c r="G63" s="49"/>
      <c r="H63" s="49"/>
      <c r="I63" s="49"/>
      <c r="J63" s="49"/>
      <c r="K63" s="391"/>
      <c r="L63" s="391"/>
      <c r="M63" s="391"/>
      <c r="N63" s="391"/>
      <c r="O63" s="391"/>
      <c r="P63" s="391"/>
      <c r="Q63" s="391"/>
      <c r="R63" s="391"/>
    </row>
    <row r="64" customFormat="false" ht="12.75" hidden="false" customHeight="true" outlineLevel="1" collapsed="false">
      <c r="A64" s="391" t="s">
        <v>806</v>
      </c>
      <c r="B64" s="203" t="n">
        <f aca="false">B60-B62</f>
        <v>15.3681660073336</v>
      </c>
      <c r="C64" s="391" t="s">
        <v>258</v>
      </c>
      <c r="D64" s="49"/>
      <c r="E64" s="49"/>
      <c r="F64" s="49"/>
      <c r="G64" s="49"/>
      <c r="H64" s="49"/>
      <c r="I64" s="49"/>
      <c r="J64" s="49"/>
      <c r="K64" s="391"/>
      <c r="L64" s="391"/>
      <c r="M64" s="391"/>
      <c r="N64" s="391"/>
      <c r="O64" s="391"/>
      <c r="P64" s="391"/>
      <c r="Q64" s="391"/>
      <c r="R64" s="391"/>
    </row>
    <row r="65" customFormat="false" ht="12" hidden="false" customHeight="true" outlineLevel="1" collapsed="false">
      <c r="A65" s="391"/>
      <c r="B65" s="391"/>
      <c r="C65" s="391"/>
      <c r="D65" s="49"/>
      <c r="E65" s="49"/>
      <c r="F65" s="49"/>
      <c r="G65" s="49"/>
      <c r="H65" s="49"/>
      <c r="I65" s="49"/>
      <c r="J65" s="49"/>
      <c r="K65" s="391"/>
      <c r="L65" s="391"/>
      <c r="M65" s="391"/>
      <c r="N65" s="391"/>
      <c r="O65" s="391"/>
      <c r="P65" s="391"/>
      <c r="Q65" s="391"/>
      <c r="R65" s="391"/>
    </row>
    <row r="66" customFormat="false" ht="12" hidden="false" customHeight="true" outlineLevel="1" collapsed="false">
      <c r="A66" s="391"/>
      <c r="B66" s="391"/>
      <c r="C66" s="391"/>
      <c r="D66" s="49"/>
      <c r="E66" s="49"/>
      <c r="F66" s="49"/>
      <c r="G66" s="49"/>
      <c r="H66" s="49"/>
      <c r="I66" s="49"/>
      <c r="J66" s="49"/>
      <c r="K66" s="391"/>
      <c r="L66" s="391"/>
      <c r="M66" s="391"/>
      <c r="N66" s="391"/>
      <c r="O66" s="391"/>
      <c r="P66" s="391"/>
      <c r="Q66" s="391"/>
      <c r="R66" s="391"/>
    </row>
    <row r="67" customFormat="false" ht="12" hidden="false" customHeight="true" outlineLevel="0" collapsed="false">
      <c r="D67" s="38" t="s">
        <v>0</v>
      </c>
    </row>
    <row r="68" customFormat="false" ht="12" hidden="false" customHeight="true" outlineLevel="0" collapsed="false"/>
    <row r="69" customFormat="false" ht="12" hidden="false" customHeight="true" outlineLevel="0" collapsed="false">
      <c r="D69" s="327"/>
      <c r="E69" s="327"/>
      <c r="F69" s="327"/>
    </row>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c r="G78" s="327"/>
      <c r="H78" s="327"/>
      <c r="I78" s="327"/>
    </row>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c r="B92" s="38" t="s">
        <v>0</v>
      </c>
    </row>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00D4"/>
    <pageSetUpPr fitToPage="false"/>
  </sheetPr>
  <dimension ref="A1:R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12.75"/>
    <col collapsed="false" customWidth="true" hidden="false" outlineLevel="0" max="2" min="2" style="1" width="8.88"/>
    <col collapsed="false" customWidth="true" hidden="false" outlineLevel="0" max="3" min="3" style="1" width="9.25"/>
    <col collapsed="false" customWidth="true" hidden="false" outlineLevel="0" max="4" min="4" style="1" width="10.25"/>
    <col collapsed="false" customWidth="true" hidden="false" outlineLevel="0" max="5" min="5" style="1" width="10.13"/>
    <col collapsed="false" customWidth="true" hidden="false" outlineLevel="0" max="6" min="6" style="1" width="12.38"/>
    <col collapsed="false" customWidth="true" hidden="false" outlineLevel="0" max="7" min="7" style="1" width="10.25"/>
    <col collapsed="false" customWidth="true" hidden="false" outlineLevel="0" max="8" min="8" style="1" width="3.75"/>
    <col collapsed="false" customWidth="true" hidden="false" outlineLevel="0" max="9" min="9" style="1" width="3.88"/>
    <col collapsed="false" customWidth="true" hidden="false" outlineLevel="0" max="10" min="10" style="1" width="9.38"/>
    <col collapsed="false" customWidth="true" hidden="false" outlineLevel="0" max="11" min="11" style="1" width="10.38"/>
    <col collapsed="false" customWidth="true" hidden="false" outlineLevel="0" max="12" min="12" style="1" width="9.75"/>
    <col collapsed="false" customWidth="true" hidden="false" outlineLevel="0" max="13" min="13" style="1" width="10.25"/>
    <col collapsed="false" customWidth="true" hidden="false" outlineLevel="0" max="14" min="14" style="1" width="12.13"/>
    <col collapsed="false" customWidth="true" hidden="false" outlineLevel="0" max="15" min="15" style="1" width="10.25"/>
    <col collapsed="false" customWidth="true" hidden="false" outlineLevel="0" max="17" min="16" style="1" width="8.88"/>
    <col collapsed="false" customWidth="true" hidden="false" outlineLevel="0" max="18" min="18" style="1" width="14"/>
    <col collapsed="false" customWidth="true" hidden="false" outlineLevel="0" max="26" min="19" style="1" width="14.38"/>
  </cols>
  <sheetData>
    <row r="1" customFormat="false" ht="18" hidden="false" customHeight="true" outlineLevel="0" collapsed="false">
      <c r="A1" s="39" t="s">
        <v>845</v>
      </c>
      <c r="B1" s="10"/>
      <c r="C1" s="10"/>
      <c r="D1" s="10"/>
      <c r="E1" s="10"/>
      <c r="F1" s="10"/>
      <c r="G1" s="328" t="str">
        <f aca="false">'Title Page'!F3</f>
        <v>Coconut Cubesat</v>
      </c>
      <c r="H1" s="10"/>
      <c r="I1" s="499"/>
      <c r="J1" s="499"/>
      <c r="K1" s="499"/>
      <c r="L1" s="638" t="str">
        <f aca="false">'Title Page'!F23</f>
        <v>2025 June 06</v>
      </c>
      <c r="M1" s="499"/>
      <c r="N1" s="499"/>
      <c r="O1" s="499"/>
      <c r="P1" s="499"/>
      <c r="Q1" s="499"/>
      <c r="R1" s="499"/>
    </row>
    <row r="2" customFormat="false" ht="12" hidden="false" customHeight="true" outlineLevel="0" collapsed="false">
      <c r="A2" s="639"/>
      <c r="B2" s="640" t="s">
        <v>846</v>
      </c>
      <c r="C2" s="641"/>
      <c r="D2" s="641"/>
      <c r="E2" s="641"/>
      <c r="F2" s="641"/>
      <c r="G2" s="641" t="s">
        <v>0</v>
      </c>
      <c r="H2" s="642"/>
      <c r="I2" s="643"/>
      <c r="J2" s="640" t="s">
        <v>847</v>
      </c>
      <c r="K2" s="641"/>
      <c r="L2" s="641"/>
      <c r="M2" s="641"/>
      <c r="N2" s="641"/>
      <c r="O2" s="641"/>
      <c r="P2" s="641"/>
      <c r="Q2" s="641"/>
      <c r="R2" s="642"/>
    </row>
    <row r="3" customFormat="false" ht="15" hidden="false" customHeight="true" outlineLevel="0" collapsed="false">
      <c r="A3" s="513"/>
      <c r="B3" s="44" t="s">
        <v>848</v>
      </c>
      <c r="C3" s="644"/>
      <c r="D3" s="19"/>
      <c r="E3" s="645" t="s">
        <v>309</v>
      </c>
      <c r="F3" s="646" t="n">
        <f aca="false">Frequency!M10</f>
        <v>437.5</v>
      </c>
      <c r="G3" s="19"/>
      <c r="H3" s="517"/>
      <c r="I3" s="513"/>
      <c r="J3" s="61" t="s">
        <v>849</v>
      </c>
      <c r="K3" s="62"/>
      <c r="L3" s="19"/>
      <c r="M3" s="645" t="s">
        <v>309</v>
      </c>
      <c r="N3" s="647" t="n">
        <f aca="false">Frequency!M16</f>
        <v>437.45</v>
      </c>
      <c r="O3" s="19"/>
      <c r="P3" s="19"/>
      <c r="Q3" s="19"/>
      <c r="R3" s="517"/>
    </row>
    <row r="4" customFormat="false" ht="12.75" hidden="false" customHeight="true" outlineLevel="0" collapsed="false">
      <c r="A4" s="513"/>
      <c r="B4" s="19"/>
      <c r="C4" s="19"/>
      <c r="D4" s="19"/>
      <c r="E4" s="19"/>
      <c r="F4" s="19"/>
      <c r="G4" s="19"/>
      <c r="H4" s="517"/>
      <c r="I4" s="513"/>
      <c r="J4" s="19"/>
      <c r="K4" s="19"/>
      <c r="L4" s="19"/>
      <c r="M4" s="19"/>
      <c r="N4" s="19"/>
      <c r="O4" s="19"/>
      <c r="P4" s="19"/>
      <c r="Q4" s="19"/>
      <c r="R4" s="517"/>
    </row>
    <row r="5" customFormat="false" ht="12.75" hidden="false" customHeight="true" outlineLevel="0" collapsed="false">
      <c r="A5" s="513" t="s">
        <v>850</v>
      </c>
      <c r="B5" s="605" t="s">
        <v>851</v>
      </c>
      <c r="C5" s="648" t="n">
        <f aca="false">'Uplink Budget'!B30</f>
        <v>35.9101479058681</v>
      </c>
      <c r="D5" s="19"/>
      <c r="E5" s="649" t="s">
        <v>852</v>
      </c>
      <c r="F5" s="650" t="n">
        <f aca="false">'Uplink Budget'!B43</f>
        <v>28.1101479058681</v>
      </c>
      <c r="G5" s="651" t="str">
        <f aca="false">IF(F5&lt;0,"NO LINK !",IF(F5&lt;6,"MARGINAL LINK",IF(F5&gt;6,"LINK CLOSES")))</f>
        <v>LINK CLOSES</v>
      </c>
      <c r="H5" s="517"/>
      <c r="I5" s="513"/>
      <c r="J5" s="19"/>
      <c r="K5" s="605" t="s">
        <v>853</v>
      </c>
      <c r="L5" s="652" t="n">
        <f aca="false">'Downlink Budget'!B28</f>
        <v>21875</v>
      </c>
      <c r="M5" s="19"/>
      <c r="N5" s="19"/>
      <c r="O5" s="19"/>
      <c r="P5" s="19"/>
      <c r="Q5" s="19"/>
      <c r="R5" s="517"/>
    </row>
    <row r="6" customFormat="false" ht="12.75" hidden="false" customHeight="true" outlineLevel="0" collapsed="false">
      <c r="A6" s="513"/>
      <c r="B6" s="19"/>
      <c r="C6" s="19"/>
      <c r="D6" s="19"/>
      <c r="E6" s="19"/>
      <c r="F6" s="19"/>
      <c r="G6" s="98" t="s">
        <v>0</v>
      </c>
      <c r="H6" s="517"/>
      <c r="I6" s="513"/>
      <c r="J6" s="19"/>
      <c r="K6" s="19"/>
      <c r="L6" s="19"/>
      <c r="M6" s="19"/>
      <c r="N6" s="653" t="s">
        <v>854</v>
      </c>
      <c r="O6" s="654"/>
      <c r="P6" s="19"/>
      <c r="Q6" s="19"/>
      <c r="R6" s="517"/>
    </row>
    <row r="7" customFormat="false" ht="12.75" hidden="false" customHeight="true" outlineLevel="0" collapsed="false">
      <c r="A7" s="513" t="s">
        <v>855</v>
      </c>
      <c r="B7" s="605" t="s">
        <v>856</v>
      </c>
      <c r="C7" s="648" t="n">
        <f aca="false">'Uplink Budget'!B61</f>
        <v>22.3199284794514</v>
      </c>
      <c r="D7" s="19"/>
      <c r="E7" s="649" t="s">
        <v>852</v>
      </c>
      <c r="F7" s="650" t="n">
        <f aca="false">'Uplink Budget'!B65</f>
        <v>28.3199284794514</v>
      </c>
      <c r="G7" s="651" t="str">
        <f aca="false">IF(F7&lt;0,"NO LINK !",IF(F7&lt;6,"MARGINAL LINK",IF(F7&gt;6,"LINK CLOSES")))</f>
        <v>LINK CLOSES</v>
      </c>
      <c r="H7" s="517"/>
      <c r="I7" s="513"/>
      <c r="J7" s="19"/>
      <c r="K7" s="19"/>
      <c r="L7" s="19"/>
      <c r="M7" s="19"/>
      <c r="N7" s="655" t="str">
        <f aca="false">'Downlink Budget'!B32</f>
        <v>LoRa</v>
      </c>
      <c r="O7" s="656"/>
      <c r="P7" s="19"/>
      <c r="Q7" s="19"/>
      <c r="R7" s="517"/>
    </row>
    <row r="8" customFormat="false" ht="12" hidden="false" customHeight="true" outlineLevel="0" collapsed="false">
      <c r="A8" s="513"/>
      <c r="B8" s="19"/>
      <c r="C8" s="657"/>
      <c r="D8" s="19"/>
      <c r="E8" s="19"/>
      <c r="F8" s="658"/>
      <c r="G8" s="19"/>
      <c r="H8" s="517"/>
      <c r="I8" s="513"/>
      <c r="J8" s="19"/>
      <c r="K8" s="19"/>
      <c r="L8" s="19"/>
      <c r="M8" s="19"/>
      <c r="N8" s="19"/>
      <c r="O8" s="19"/>
      <c r="P8" s="19"/>
      <c r="Q8" s="19"/>
      <c r="R8" s="517"/>
    </row>
    <row r="9" customFormat="false" ht="12" hidden="false" customHeight="true" outlineLevel="0" collapsed="false">
      <c r="A9" s="23" t="s">
        <v>60</v>
      </c>
      <c r="B9" s="19"/>
      <c r="C9" s="657"/>
      <c r="D9" s="19"/>
      <c r="E9" s="19"/>
      <c r="F9" s="658"/>
      <c r="G9" s="19"/>
      <c r="H9" s="517"/>
      <c r="I9" s="513"/>
      <c r="J9" s="19"/>
      <c r="K9" s="19"/>
      <c r="L9" s="19"/>
      <c r="M9" s="19"/>
      <c r="N9" s="659" t="s">
        <v>857</v>
      </c>
      <c r="O9" s="654"/>
      <c r="P9" s="19"/>
      <c r="Q9" s="19"/>
      <c r="R9" s="517"/>
    </row>
    <row r="10" customFormat="false" ht="12" hidden="false" customHeight="true" outlineLevel="0" collapsed="false">
      <c r="A10" s="513"/>
      <c r="B10" s="19"/>
      <c r="C10" s="605" t="s">
        <v>853</v>
      </c>
      <c r="D10" s="652" t="n">
        <f aca="false">'Uplink Budget'!B28</f>
        <v>21875</v>
      </c>
      <c r="E10" s="19"/>
      <c r="F10" s="19"/>
      <c r="G10" s="19"/>
      <c r="H10" s="517"/>
      <c r="I10" s="513"/>
      <c r="J10" s="19"/>
      <c r="K10" s="19"/>
      <c r="L10" s="19"/>
      <c r="M10" s="19"/>
      <c r="N10" s="660" t="str">
        <f aca="false">'Downlink Budget'!B33</f>
        <v>Spread Spectrum (SF 7, 500 kHz, CR 4:5)</v>
      </c>
      <c r="O10" s="656"/>
      <c r="P10" s="19"/>
      <c r="Q10" s="19"/>
      <c r="R10" s="517"/>
    </row>
    <row r="11" customFormat="false" ht="12" hidden="false" customHeight="true" outlineLevel="0" collapsed="false">
      <c r="A11" s="513"/>
      <c r="B11" s="19"/>
      <c r="C11" s="19"/>
      <c r="D11" s="19"/>
      <c r="E11" s="19"/>
      <c r="F11" s="19"/>
      <c r="G11" s="19"/>
      <c r="H11" s="517"/>
      <c r="I11" s="513"/>
      <c r="J11" s="19"/>
      <c r="K11" s="19"/>
      <c r="L11" s="19"/>
      <c r="M11" s="19"/>
      <c r="N11" s="19"/>
      <c r="O11" s="19"/>
      <c r="P11" s="19"/>
      <c r="Q11" s="19"/>
      <c r="R11" s="517"/>
    </row>
    <row r="12" customFormat="false" ht="13.5" hidden="false" customHeight="true" outlineLevel="0" collapsed="false">
      <c r="A12" s="513"/>
      <c r="B12" s="19"/>
      <c r="C12" s="19"/>
      <c r="D12" s="19"/>
      <c r="E12" s="19"/>
      <c r="F12" s="19"/>
      <c r="G12" s="19"/>
      <c r="H12" s="517"/>
      <c r="I12" s="513"/>
      <c r="J12" s="19"/>
      <c r="K12" s="19"/>
      <c r="L12" s="19"/>
      <c r="M12" s="19"/>
      <c r="N12" s="661" t="s">
        <v>858</v>
      </c>
      <c r="O12" s="662" t="n">
        <v>0.4</v>
      </c>
      <c r="P12" s="19"/>
      <c r="Q12" s="19"/>
      <c r="R12" s="517"/>
    </row>
    <row r="13" customFormat="false" ht="12" hidden="false" customHeight="true" outlineLevel="0" collapsed="false">
      <c r="A13" s="513"/>
      <c r="B13" s="19"/>
      <c r="C13" s="19"/>
      <c r="D13" s="19" t="s">
        <v>0</v>
      </c>
      <c r="E13" s="19"/>
      <c r="F13" s="659" t="s">
        <v>859</v>
      </c>
      <c r="G13" s="654"/>
      <c r="H13" s="517"/>
      <c r="I13" s="513"/>
      <c r="J13" s="19"/>
      <c r="K13" s="19"/>
      <c r="L13" s="19"/>
      <c r="M13" s="19"/>
      <c r="N13" s="19"/>
      <c r="O13" s="19"/>
      <c r="P13" s="19"/>
      <c r="Q13" s="19"/>
      <c r="R13" s="517"/>
    </row>
    <row r="14" customFormat="false" ht="12" hidden="false" customHeight="true" outlineLevel="0" collapsed="false">
      <c r="A14" s="513"/>
      <c r="B14" s="19"/>
      <c r="C14" s="19"/>
      <c r="D14" s="19"/>
      <c r="E14" s="19"/>
      <c r="F14" s="660" t="str">
        <f aca="false">'Uplink Budget'!B33</f>
        <v>Spread Spectrum (SF 7, 500 kHz, CR 4:5)</v>
      </c>
      <c r="G14" s="656"/>
      <c r="H14" s="517"/>
      <c r="I14" s="513"/>
      <c r="J14" s="19"/>
      <c r="K14" s="19"/>
      <c r="L14" s="19"/>
      <c r="M14" s="19"/>
      <c r="N14" s="663" t="s">
        <v>860</v>
      </c>
      <c r="O14" s="664" t="n">
        <f aca="false">O18/O12</f>
        <v>2.5</v>
      </c>
      <c r="P14" s="19"/>
      <c r="Q14" s="19"/>
      <c r="R14" s="517"/>
    </row>
    <row r="15" customFormat="false" ht="12" hidden="false" customHeight="true" outlineLevel="0" collapsed="false">
      <c r="A15" s="513"/>
      <c r="B15" s="19"/>
      <c r="C15" s="19"/>
      <c r="D15" s="19"/>
      <c r="E15" s="19"/>
      <c r="F15" s="19"/>
      <c r="G15" s="19"/>
      <c r="H15" s="517"/>
      <c r="I15" s="513"/>
      <c r="J15" s="19"/>
      <c r="K15" s="19"/>
      <c r="L15" s="19"/>
      <c r="M15" s="19"/>
      <c r="N15" s="19"/>
      <c r="O15" s="19"/>
      <c r="P15" s="19"/>
      <c r="Q15" s="19"/>
      <c r="R15" s="517"/>
    </row>
    <row r="16" customFormat="false" ht="12" hidden="false" customHeight="true" outlineLevel="0" collapsed="false">
      <c r="A16" s="513"/>
      <c r="B16" s="19"/>
      <c r="C16" s="19"/>
      <c r="D16" s="19"/>
      <c r="E16" s="19"/>
      <c r="F16" s="19"/>
      <c r="G16" s="19"/>
      <c r="H16" s="517"/>
      <c r="I16" s="513"/>
      <c r="J16" s="19"/>
      <c r="K16" s="19"/>
      <c r="L16" s="19"/>
      <c r="M16" s="19"/>
      <c r="N16" s="665" t="s">
        <v>861</v>
      </c>
      <c r="O16" s="664" t="n">
        <f aca="false">O14-O18</f>
        <v>1.5</v>
      </c>
      <c r="P16" s="19"/>
      <c r="Q16" s="19"/>
      <c r="R16" s="517"/>
    </row>
    <row r="17" customFormat="false" ht="12" hidden="false" customHeight="true" outlineLevel="0" collapsed="false">
      <c r="A17" s="513"/>
      <c r="B17" s="19"/>
      <c r="C17" s="19"/>
      <c r="D17" s="19"/>
      <c r="E17" s="19"/>
      <c r="F17" s="19"/>
      <c r="G17" s="19"/>
      <c r="H17" s="517"/>
      <c r="I17" s="513"/>
      <c r="J17" s="28" t="s">
        <v>0</v>
      </c>
      <c r="K17" s="19"/>
      <c r="L17" s="19" t="s">
        <v>862</v>
      </c>
      <c r="M17" s="19"/>
      <c r="N17" s="19"/>
      <c r="O17" s="215"/>
      <c r="P17" s="19"/>
      <c r="Q17" s="19"/>
      <c r="R17" s="517"/>
    </row>
    <row r="18" customFormat="false" ht="12" hidden="false" customHeight="true" outlineLevel="0" collapsed="false">
      <c r="A18" s="513"/>
      <c r="B18" s="19"/>
      <c r="C18" s="19"/>
      <c r="D18" s="19"/>
      <c r="E18" s="19"/>
      <c r="F18" s="666" t="s">
        <v>863</v>
      </c>
      <c r="G18" s="667" t="n">
        <f aca="false">'Uplink Budget'!B35</f>
        <v>1E-006</v>
      </c>
      <c r="H18" s="517"/>
      <c r="I18" s="513"/>
      <c r="J18" s="19"/>
      <c r="K18" s="19"/>
      <c r="L18" s="19"/>
      <c r="M18" s="19"/>
      <c r="N18" s="605" t="s">
        <v>864</v>
      </c>
      <c r="O18" s="668" t="n">
        <f aca="false">Transmitters!E52</f>
        <v>1</v>
      </c>
      <c r="P18" s="19"/>
      <c r="Q18" s="19"/>
      <c r="R18" s="517"/>
    </row>
    <row r="19" customFormat="false" ht="12" hidden="false" customHeight="true" outlineLevel="0" collapsed="false">
      <c r="A19" s="513"/>
      <c r="B19" s="19"/>
      <c r="C19" s="19"/>
      <c r="D19" s="19"/>
      <c r="E19" s="19"/>
      <c r="F19" s="659" t="s">
        <v>865</v>
      </c>
      <c r="G19" s="654"/>
      <c r="H19" s="517"/>
      <c r="I19" s="513"/>
      <c r="J19" s="19"/>
      <c r="K19" s="19"/>
      <c r="L19" s="19"/>
      <c r="M19" s="19"/>
      <c r="N19" s="19"/>
      <c r="O19" s="19"/>
      <c r="P19" s="19"/>
      <c r="Q19" s="19"/>
      <c r="R19" s="517"/>
    </row>
    <row r="20" customFormat="false" ht="12" hidden="false" customHeight="true" outlineLevel="0" collapsed="false">
      <c r="A20" s="513"/>
      <c r="B20" s="19"/>
      <c r="C20" s="19"/>
      <c r="D20" s="19"/>
      <c r="E20" s="19"/>
      <c r="F20" s="655" t="str">
        <f aca="false">'Uplink Budget'!B32</f>
        <v>LoRa</v>
      </c>
      <c r="G20" s="656"/>
      <c r="H20" s="517"/>
      <c r="I20" s="513"/>
      <c r="J20" s="19"/>
      <c r="K20" s="19"/>
      <c r="L20" s="19"/>
      <c r="M20" s="19"/>
      <c r="N20" s="605" t="s">
        <v>866</v>
      </c>
      <c r="O20" s="648" t="n">
        <f aca="false">Transmitters!E61*Transmitters!I55</f>
        <v>0.1995</v>
      </c>
      <c r="P20" s="19"/>
      <c r="Q20" s="19"/>
      <c r="R20" s="517"/>
    </row>
    <row r="21" customFormat="false" ht="12" hidden="false" customHeight="true" outlineLevel="0" collapsed="false">
      <c r="A21" s="513"/>
      <c r="B21" s="19"/>
      <c r="C21" s="19"/>
      <c r="D21" s="19"/>
      <c r="E21" s="19"/>
      <c r="F21" s="669" t="s">
        <v>788</v>
      </c>
      <c r="G21" s="670" t="n">
        <f aca="false">'Uplink Budget'!B41</f>
        <v>7.8</v>
      </c>
      <c r="H21" s="517"/>
      <c r="I21" s="513"/>
      <c r="J21" s="19"/>
      <c r="K21" s="19"/>
      <c r="L21" s="19"/>
      <c r="M21" s="19"/>
      <c r="N21" s="19"/>
      <c r="O21" s="19"/>
      <c r="P21" s="19"/>
      <c r="Q21" s="19"/>
      <c r="R21" s="517"/>
    </row>
    <row r="22" customFormat="false" ht="12" hidden="false" customHeight="true" outlineLevel="0" collapsed="false">
      <c r="A22" s="513"/>
      <c r="B22" s="19"/>
      <c r="C22" s="19"/>
      <c r="D22" s="19"/>
      <c r="E22" s="19"/>
      <c r="F22" s="19"/>
      <c r="G22" s="19"/>
      <c r="H22" s="517"/>
      <c r="I22" s="513"/>
      <c r="J22" s="19"/>
      <c r="K22" s="19"/>
      <c r="L22" s="19"/>
      <c r="M22" s="19"/>
      <c r="N22" s="605" t="s">
        <v>867</v>
      </c>
      <c r="O22" s="648" t="n">
        <f aca="false">Transmitters!I66</f>
        <v>0</v>
      </c>
      <c r="P22" s="19"/>
      <c r="Q22" s="19"/>
      <c r="R22" s="517"/>
    </row>
    <row r="23" customFormat="false" ht="12" hidden="false" customHeight="true" outlineLevel="0" collapsed="false">
      <c r="A23" s="513"/>
      <c r="B23" s="19"/>
      <c r="C23" s="19"/>
      <c r="D23" s="19"/>
      <c r="E23" s="19"/>
      <c r="F23" s="19"/>
      <c r="G23" s="19"/>
      <c r="H23" s="517"/>
      <c r="I23" s="513"/>
      <c r="J23" s="28" t="s">
        <v>0</v>
      </c>
      <c r="K23" s="19"/>
      <c r="L23" s="19" t="s">
        <v>868</v>
      </c>
      <c r="M23" s="19"/>
      <c r="N23" s="19"/>
      <c r="O23" s="19"/>
      <c r="P23" s="19"/>
      <c r="Q23" s="19"/>
      <c r="R23" s="517"/>
    </row>
    <row r="24" customFormat="false" ht="12" hidden="false" customHeight="true" outlineLevel="0" collapsed="false">
      <c r="A24" s="513"/>
      <c r="B24" s="19"/>
      <c r="C24" s="19"/>
      <c r="D24" s="19"/>
      <c r="E24" s="19"/>
      <c r="F24" s="19"/>
      <c r="G24" s="19"/>
      <c r="H24" s="517"/>
      <c r="I24" s="513"/>
      <c r="J24" s="19"/>
      <c r="K24" s="19"/>
      <c r="L24" s="19"/>
      <c r="M24" s="19"/>
      <c r="N24" s="605" t="s">
        <v>869</v>
      </c>
      <c r="O24" s="648" t="n">
        <f aca="false">Transmitters!I56*Transmitters!E61</f>
        <v>0.1995</v>
      </c>
      <c r="P24" s="19"/>
      <c r="Q24" s="19"/>
      <c r="R24" s="517"/>
    </row>
    <row r="25" customFormat="false" ht="12" hidden="false" customHeight="true" outlineLevel="0" collapsed="false">
      <c r="A25" s="513"/>
      <c r="B25" s="19"/>
      <c r="C25" s="19"/>
      <c r="D25" s="19"/>
      <c r="E25" s="19"/>
      <c r="F25" s="605" t="s">
        <v>870</v>
      </c>
      <c r="G25" s="671" t="n">
        <f aca="false">'Uplink Budget'!B57</f>
        <v>500000</v>
      </c>
      <c r="H25" s="517"/>
      <c r="I25" s="513"/>
      <c r="J25" s="19"/>
      <c r="K25" s="19"/>
      <c r="L25" s="19"/>
      <c r="M25" s="19"/>
      <c r="N25" s="19"/>
      <c r="O25" s="19"/>
      <c r="P25" s="19"/>
      <c r="Q25" s="19"/>
      <c r="R25" s="517"/>
    </row>
    <row r="26" customFormat="false" ht="12" hidden="false" customHeight="true" outlineLevel="0" collapsed="false">
      <c r="A26" s="513"/>
      <c r="B26" s="19"/>
      <c r="C26" s="19"/>
      <c r="D26" s="19"/>
      <c r="E26" s="19"/>
      <c r="F26" s="19" t="s">
        <v>871</v>
      </c>
      <c r="G26" s="19"/>
      <c r="H26" s="517"/>
      <c r="I26" s="513"/>
      <c r="J26" s="19"/>
      <c r="K26" s="19"/>
      <c r="L26" s="19"/>
      <c r="M26" s="19"/>
      <c r="N26" s="605" t="s">
        <v>872</v>
      </c>
      <c r="O26" s="648" t="n">
        <f aca="false">Transmitters!I67</f>
        <v>1.7</v>
      </c>
      <c r="P26" s="19"/>
      <c r="Q26" s="19"/>
      <c r="R26" s="517"/>
    </row>
    <row r="27" customFormat="false" ht="12" hidden="false" customHeight="true" outlineLevel="0" collapsed="false">
      <c r="A27" s="513"/>
      <c r="B27" s="19"/>
      <c r="C27" s="19"/>
      <c r="D27" s="19"/>
      <c r="E27" s="19"/>
      <c r="F27" s="19"/>
      <c r="G27" s="19"/>
      <c r="H27" s="517"/>
      <c r="I27" s="513"/>
      <c r="J27" s="19"/>
      <c r="K27" s="19"/>
      <c r="L27" s="19"/>
      <c r="M27" s="19"/>
      <c r="N27" s="672" t="str">
        <f aca="false">Transmitters!F67</f>
        <v>RF Switch Loss + Antenna Insertion Losses</v>
      </c>
      <c r="O27" s="66"/>
      <c r="P27" s="19"/>
      <c r="Q27" s="19"/>
      <c r="R27" s="517"/>
    </row>
    <row r="28" customFormat="false" ht="12" hidden="false" customHeight="true" outlineLevel="0" collapsed="false">
      <c r="A28" s="513"/>
      <c r="B28" s="19"/>
      <c r="C28" s="19"/>
      <c r="D28" s="19"/>
      <c r="E28" s="19"/>
      <c r="F28" s="19"/>
      <c r="G28" s="19"/>
      <c r="H28" s="517"/>
      <c r="I28" s="513"/>
      <c r="J28" s="19"/>
      <c r="K28" s="19"/>
      <c r="L28" s="19"/>
      <c r="M28" s="19"/>
      <c r="N28" s="19" t="s">
        <v>0</v>
      </c>
      <c r="O28" s="19"/>
      <c r="P28" s="19"/>
      <c r="Q28" s="19"/>
      <c r="R28" s="517"/>
    </row>
    <row r="29" customFormat="false" ht="12" hidden="false" customHeight="true" outlineLevel="0" collapsed="false">
      <c r="A29" s="513"/>
      <c r="B29" s="19"/>
      <c r="C29" s="19"/>
      <c r="D29" s="19"/>
      <c r="E29" s="19"/>
      <c r="F29" s="19"/>
      <c r="G29" s="19"/>
      <c r="H29" s="517"/>
      <c r="I29" s="513"/>
      <c r="J29" s="19"/>
      <c r="K29" s="19"/>
      <c r="L29" s="19"/>
      <c r="M29" s="19"/>
      <c r="N29" s="605" t="s">
        <v>873</v>
      </c>
      <c r="O29" s="648" t="n">
        <f aca="false">Transmitters!E61*Transmitters!I57</f>
        <v>0</v>
      </c>
      <c r="P29" s="19"/>
      <c r="Q29" s="19"/>
      <c r="R29" s="517"/>
    </row>
    <row r="30" customFormat="false" ht="12" hidden="false" customHeight="true" outlineLevel="0" collapsed="false">
      <c r="A30" s="513"/>
      <c r="B30" s="19"/>
      <c r="C30" s="19"/>
      <c r="D30" s="19"/>
      <c r="E30" s="19"/>
      <c r="F30" s="19"/>
      <c r="G30" s="19"/>
      <c r="H30" s="517"/>
      <c r="I30" s="513"/>
      <c r="J30" s="28" t="s">
        <v>0</v>
      </c>
      <c r="K30" s="19"/>
      <c r="L30" s="19" t="s">
        <v>874</v>
      </c>
      <c r="M30" s="19"/>
      <c r="N30" s="19"/>
      <c r="O30" s="19"/>
      <c r="P30" s="19"/>
      <c r="Q30" s="19"/>
      <c r="R30" s="517"/>
    </row>
    <row r="31" customFormat="false" ht="12" hidden="false" customHeight="true" outlineLevel="0" collapsed="false">
      <c r="A31" s="513"/>
      <c r="B31" s="19"/>
      <c r="C31" s="19"/>
      <c r="D31" s="19"/>
      <c r="E31" s="19"/>
      <c r="F31" s="19"/>
      <c r="G31" s="19"/>
      <c r="H31" s="517"/>
      <c r="I31" s="513"/>
      <c r="J31" s="19"/>
      <c r="K31" s="19"/>
      <c r="L31" s="19"/>
      <c r="M31" s="19"/>
      <c r="N31" s="605" t="s">
        <v>875</v>
      </c>
      <c r="O31" s="648" t="n">
        <f aca="false">Transmitters!I71</f>
        <v>2.349</v>
      </c>
      <c r="P31" s="19"/>
      <c r="Q31" s="19"/>
      <c r="R31" s="517"/>
    </row>
    <row r="32" customFormat="false" ht="12" hidden="false" customHeight="true" outlineLevel="0" collapsed="false">
      <c r="A32" s="513"/>
      <c r="B32" s="19"/>
      <c r="C32" s="19"/>
      <c r="D32" s="19"/>
      <c r="E32" s="19"/>
      <c r="F32" s="19"/>
      <c r="G32" s="19"/>
      <c r="H32" s="517"/>
      <c r="I32" s="513"/>
      <c r="J32" s="19"/>
      <c r="K32" s="19"/>
      <c r="L32" s="19"/>
      <c r="M32" s="19"/>
      <c r="N32" s="19"/>
      <c r="O32" s="19"/>
      <c r="P32" s="19"/>
      <c r="Q32" s="19"/>
      <c r="R32" s="517"/>
    </row>
    <row r="33" customFormat="false" ht="12" hidden="false" customHeight="true" outlineLevel="0" collapsed="false">
      <c r="A33" s="513"/>
      <c r="B33" s="19"/>
      <c r="C33" s="19"/>
      <c r="D33" s="19"/>
      <c r="E33" s="19"/>
      <c r="F33" s="19"/>
      <c r="G33" s="19"/>
      <c r="H33" s="517"/>
      <c r="I33" s="513"/>
      <c r="J33" s="19"/>
      <c r="K33" s="19"/>
      <c r="L33" s="19"/>
      <c r="M33" s="21" t="s">
        <v>595</v>
      </c>
      <c r="N33" s="19"/>
      <c r="O33" s="19"/>
      <c r="P33" s="19"/>
      <c r="Q33" s="19"/>
      <c r="R33" s="517"/>
    </row>
    <row r="34" customFormat="false" ht="12" hidden="false" customHeight="true" outlineLevel="0" collapsed="false">
      <c r="A34" s="513"/>
      <c r="B34" s="19"/>
      <c r="C34" s="19"/>
      <c r="D34" s="19"/>
      <c r="E34" s="19"/>
      <c r="F34" s="605" t="s">
        <v>876</v>
      </c>
      <c r="G34" s="673" t="n">
        <f aca="false">'Uplink Budget'!B26</f>
        <v>-32.4171351706754</v>
      </c>
      <c r="H34" s="517"/>
      <c r="I34" s="513"/>
      <c r="J34" s="19"/>
      <c r="K34" s="19"/>
      <c r="L34" s="19"/>
      <c r="M34" s="19"/>
      <c r="N34" s="19"/>
      <c r="O34" s="19"/>
      <c r="P34" s="19"/>
      <c r="Q34" s="19"/>
      <c r="R34" s="517"/>
    </row>
    <row r="35" customFormat="false" ht="12" hidden="false" customHeight="true" outlineLevel="0" collapsed="false">
      <c r="A35" s="513"/>
      <c r="B35" s="19"/>
      <c r="C35" s="19"/>
      <c r="D35" s="19"/>
      <c r="E35" s="19"/>
      <c r="F35" s="19"/>
      <c r="G35" s="19"/>
      <c r="H35" s="517"/>
      <c r="I35" s="513"/>
      <c r="J35" s="19"/>
      <c r="K35" s="19"/>
      <c r="L35" s="19"/>
      <c r="M35" s="19"/>
      <c r="N35" s="659" t="s">
        <v>877</v>
      </c>
      <c r="O35" s="674" t="n">
        <f aca="false">'Downlink Budget'!B10</f>
        <v>0</v>
      </c>
      <c r="P35" s="19"/>
      <c r="Q35" s="19"/>
      <c r="R35" s="517"/>
    </row>
    <row r="36" customFormat="false" ht="12" hidden="false" customHeight="true" outlineLevel="0" collapsed="false">
      <c r="A36" s="513"/>
      <c r="B36" s="19"/>
      <c r="C36" s="19"/>
      <c r="D36" s="19"/>
      <c r="E36" s="19"/>
      <c r="F36" s="605" t="s">
        <v>878</v>
      </c>
      <c r="G36" s="675" t="n">
        <f aca="false">'Uplink Budget'!B25</f>
        <v>1027.57497006715</v>
      </c>
      <c r="H36" s="517"/>
      <c r="I36" s="513"/>
      <c r="J36" s="19"/>
      <c r="K36" s="19"/>
      <c r="L36" s="19"/>
      <c r="M36" s="19"/>
      <c r="N36" s="666" t="s">
        <v>468</v>
      </c>
      <c r="O36" s="323" t="str">
        <f aca="false">'Antenna Gain'!K41</f>
        <v>RHCP</v>
      </c>
      <c r="P36" s="19"/>
      <c r="Q36" s="19"/>
      <c r="R36" s="517"/>
    </row>
    <row r="37" customFormat="false" ht="12" hidden="false" customHeight="true" outlineLevel="0" collapsed="false">
      <c r="A37" s="513"/>
      <c r="B37" s="19"/>
      <c r="C37" s="19"/>
      <c r="D37" s="19"/>
      <c r="E37" s="19"/>
      <c r="F37" s="19"/>
      <c r="G37" s="19"/>
      <c r="H37" s="517"/>
      <c r="I37" s="513"/>
      <c r="J37" s="19"/>
      <c r="K37" s="19"/>
      <c r="L37" s="19"/>
      <c r="M37" s="19"/>
      <c r="N37" s="19"/>
      <c r="O37" s="19"/>
      <c r="P37" s="19"/>
      <c r="Q37" s="19"/>
      <c r="R37" s="517"/>
    </row>
    <row r="38" customFormat="false" ht="12" hidden="false" customHeight="true" outlineLevel="0" collapsed="false">
      <c r="A38" s="513"/>
      <c r="B38" s="19"/>
      <c r="C38" s="19"/>
      <c r="D38" s="19"/>
      <c r="E38" s="19"/>
      <c r="F38" s="19"/>
      <c r="G38" s="19"/>
      <c r="H38" s="517"/>
      <c r="I38" s="513"/>
      <c r="J38" s="27" t="str">
        <f aca="false">'Antenna Gain'!F41</f>
        <v>Deployable Turnstyle</v>
      </c>
      <c r="K38" s="19"/>
      <c r="L38" s="19"/>
      <c r="M38" s="19"/>
      <c r="N38" s="663" t="s">
        <v>879</v>
      </c>
      <c r="O38" s="676" t="n">
        <f aca="false">'Downlink Budget'!B11</f>
        <v>-2.349</v>
      </c>
      <c r="P38" s="19"/>
      <c r="Q38" s="19"/>
      <c r="R38" s="517"/>
    </row>
    <row r="39" customFormat="false" ht="12" hidden="false" customHeight="true" outlineLevel="0" collapsed="false">
      <c r="A39" s="513"/>
      <c r="B39" s="19"/>
      <c r="C39" s="19"/>
      <c r="D39" s="19"/>
      <c r="E39" s="19"/>
      <c r="F39" s="605" t="s">
        <v>880</v>
      </c>
      <c r="G39" s="675" t="n">
        <f aca="false">Receivers!J65</f>
        <v>0</v>
      </c>
      <c r="H39" s="517"/>
      <c r="I39" s="513"/>
      <c r="J39" s="19"/>
      <c r="K39" s="19"/>
      <c r="L39" s="19"/>
      <c r="M39" s="19"/>
      <c r="N39" s="19"/>
      <c r="O39" s="19"/>
      <c r="P39" s="19"/>
      <c r="Q39" s="19"/>
      <c r="R39" s="517"/>
    </row>
    <row r="40" customFormat="false" ht="12" hidden="false" customHeight="true" outlineLevel="0" collapsed="false">
      <c r="A40" s="513"/>
      <c r="B40" s="19"/>
      <c r="C40" s="19"/>
      <c r="D40" s="19"/>
      <c r="E40" s="19"/>
      <c r="F40" s="19"/>
      <c r="G40" s="19"/>
      <c r="H40" s="517"/>
      <c r="I40" s="513"/>
      <c r="J40" s="19"/>
      <c r="K40" s="19"/>
      <c r="L40" s="19"/>
      <c r="M40" s="19"/>
      <c r="N40" s="659" t="s">
        <v>881</v>
      </c>
      <c r="O40" s="654"/>
      <c r="P40" s="19"/>
      <c r="Q40" s="19"/>
      <c r="R40" s="517"/>
    </row>
    <row r="41" customFormat="false" ht="12" hidden="false" customHeight="true" outlineLevel="0" collapsed="false">
      <c r="A41" s="513"/>
      <c r="B41" s="19"/>
      <c r="C41" s="19"/>
      <c r="D41" s="19"/>
      <c r="E41" s="19"/>
      <c r="F41" s="19"/>
      <c r="G41" s="19"/>
      <c r="H41" s="517"/>
      <c r="I41" s="513"/>
      <c r="J41" s="19"/>
      <c r="K41" s="19"/>
      <c r="L41" s="19"/>
      <c r="M41" s="19"/>
      <c r="N41" s="677" t="n">
        <f aca="false">'Downlink Budget'!B13+'Downlink Budget'!B14+'Downlink Budget'!B15+'Downlink Budget'!B16+'Downlink Budget'!B17+'Downlink Budget'!B18+'Downlink Budget'!B22</f>
        <v>148.981943620043</v>
      </c>
      <c r="O41" s="678" t="s">
        <v>258</v>
      </c>
      <c r="P41" s="19"/>
      <c r="Q41" s="19"/>
      <c r="R41" s="517"/>
    </row>
    <row r="42" customFormat="false" ht="12" hidden="false" customHeight="true" outlineLevel="0" collapsed="false">
      <c r="A42" s="513"/>
      <c r="B42" s="19"/>
      <c r="C42" s="19"/>
      <c r="D42" s="19"/>
      <c r="E42" s="19"/>
      <c r="F42" s="19"/>
      <c r="G42" s="19"/>
      <c r="H42" s="517"/>
      <c r="I42" s="513"/>
      <c r="J42" s="19"/>
      <c r="K42" s="19"/>
      <c r="L42" s="19"/>
      <c r="M42" s="19"/>
      <c r="N42" s="19"/>
      <c r="O42" s="19"/>
      <c r="P42" s="19"/>
      <c r="Q42" s="19"/>
      <c r="R42" s="517"/>
    </row>
    <row r="43" customFormat="false" ht="12" hidden="false" customHeight="true" outlineLevel="0" collapsed="false">
      <c r="A43" s="513"/>
      <c r="B43" s="19"/>
      <c r="C43" s="19"/>
      <c r="D43" s="19"/>
      <c r="E43" s="19"/>
      <c r="F43" s="19"/>
      <c r="G43" s="19"/>
      <c r="H43" s="517"/>
      <c r="I43" s="513"/>
      <c r="J43" s="19"/>
      <c r="K43" s="19"/>
      <c r="L43" s="19"/>
      <c r="M43" s="19"/>
      <c r="N43" s="605" t="s">
        <v>882</v>
      </c>
      <c r="O43" s="648" t="n">
        <f aca="false">'Downlink Budget'!B15</f>
        <v>147.031071998789</v>
      </c>
      <c r="P43" s="19"/>
      <c r="Q43" s="19"/>
      <c r="R43" s="517"/>
    </row>
    <row r="44" customFormat="false" ht="12" hidden="false" customHeight="true" outlineLevel="0" collapsed="false">
      <c r="A44" s="513"/>
      <c r="B44" s="19"/>
      <c r="C44" s="19"/>
      <c r="D44" s="19"/>
      <c r="E44" s="19"/>
      <c r="F44" s="19"/>
      <c r="G44" s="19"/>
      <c r="H44" s="517"/>
      <c r="I44" s="513"/>
      <c r="J44" s="19"/>
      <c r="K44" s="19"/>
      <c r="L44" s="19"/>
      <c r="M44" s="19"/>
      <c r="N44" s="19"/>
      <c r="O44" s="19"/>
      <c r="P44" s="19"/>
      <c r="Q44" s="19"/>
      <c r="R44" s="517"/>
    </row>
    <row r="45" customFormat="false" ht="12" hidden="false" customHeight="true" outlineLevel="0" collapsed="false">
      <c r="A45" s="513"/>
      <c r="B45" s="19"/>
      <c r="C45" s="19"/>
      <c r="D45" s="19"/>
      <c r="E45" s="19"/>
      <c r="F45" s="605" t="s">
        <v>883</v>
      </c>
      <c r="G45" s="648" t="n">
        <f aca="false">Receivers!F63</f>
        <v>18</v>
      </c>
      <c r="H45" s="517"/>
      <c r="I45" s="513"/>
      <c r="J45" s="19" t="str">
        <f aca="false">'Antenna Gain'!F58</f>
        <v>Yagi</v>
      </c>
      <c r="K45" s="19"/>
      <c r="L45" s="19"/>
      <c r="M45" s="19"/>
      <c r="N45" s="19"/>
      <c r="O45" s="19"/>
      <c r="P45" s="19"/>
      <c r="Q45" s="19"/>
      <c r="R45" s="517"/>
    </row>
    <row r="46" customFormat="false" ht="12" hidden="false" customHeight="true" outlineLevel="0" collapsed="false">
      <c r="A46" s="513"/>
      <c r="B46" s="19"/>
      <c r="C46" s="19"/>
      <c r="D46" s="19"/>
      <c r="E46" s="19"/>
      <c r="F46" s="19"/>
      <c r="G46" s="19"/>
      <c r="H46" s="517"/>
      <c r="I46" s="513"/>
      <c r="J46" s="19"/>
      <c r="K46" s="19"/>
      <c r="L46" s="19"/>
      <c r="M46" s="19"/>
      <c r="N46" s="19"/>
      <c r="O46" s="19"/>
      <c r="P46" s="19"/>
      <c r="Q46" s="19"/>
      <c r="R46" s="517"/>
    </row>
    <row r="47" customFormat="false" ht="12" hidden="false" customHeight="true" outlineLevel="0" collapsed="false">
      <c r="A47" s="513"/>
      <c r="B47" s="19"/>
      <c r="C47" s="19"/>
      <c r="D47" s="19"/>
      <c r="E47" s="19"/>
      <c r="F47" s="605" t="s">
        <v>884</v>
      </c>
      <c r="G47" s="675" t="n">
        <f aca="false">Receivers!J61</f>
        <v>864.5</v>
      </c>
      <c r="H47" s="517"/>
      <c r="I47" s="513"/>
      <c r="J47" s="19"/>
      <c r="K47" s="19"/>
      <c r="L47" s="19"/>
      <c r="M47" s="19"/>
      <c r="N47" s="605" t="s">
        <v>885</v>
      </c>
      <c r="O47" s="679" t="n">
        <f aca="false">'Downlink Budget'!B23</f>
        <v>17.45</v>
      </c>
      <c r="P47" s="19"/>
      <c r="Q47" s="19"/>
      <c r="R47" s="517"/>
    </row>
    <row r="48" customFormat="false" ht="12" hidden="false" customHeight="true" outlineLevel="0" collapsed="false">
      <c r="A48" s="513"/>
      <c r="B48" s="19"/>
      <c r="C48" s="19"/>
      <c r="D48" s="19"/>
      <c r="E48" s="19"/>
      <c r="F48" s="19"/>
      <c r="G48" s="19"/>
      <c r="H48" s="517"/>
      <c r="I48" s="513"/>
      <c r="J48" s="19"/>
      <c r="K48" s="19"/>
      <c r="L48" s="19"/>
      <c r="M48" s="19"/>
      <c r="N48" s="666" t="s">
        <v>468</v>
      </c>
      <c r="O48" s="323" t="str">
        <f aca="false">'Antenna Gain'!K58</f>
        <v>RHCP</v>
      </c>
      <c r="P48" s="19"/>
      <c r="Q48" s="19"/>
      <c r="R48" s="517"/>
    </row>
    <row r="49" customFormat="false" ht="12" hidden="false" customHeight="true" outlineLevel="0" collapsed="false">
      <c r="A49" s="513"/>
      <c r="B49" s="19"/>
      <c r="C49" s="19"/>
      <c r="D49" s="19"/>
      <c r="E49" s="19"/>
      <c r="F49" s="605" t="s">
        <v>886</v>
      </c>
      <c r="G49" s="680" t="n">
        <f aca="false">Receivers!J53</f>
        <v>2.299</v>
      </c>
      <c r="H49" s="517"/>
      <c r="I49" s="513"/>
      <c r="J49" s="19"/>
      <c r="K49" s="19"/>
      <c r="L49" s="19"/>
      <c r="M49" s="19"/>
      <c r="N49" s="19"/>
      <c r="O49" s="19"/>
      <c r="P49" s="19"/>
      <c r="Q49" s="19"/>
      <c r="R49" s="517"/>
    </row>
    <row r="50" customFormat="false" ht="12" hidden="false" customHeight="true" outlineLevel="0" collapsed="false">
      <c r="A50" s="513"/>
      <c r="B50" s="19"/>
      <c r="C50" s="19"/>
      <c r="D50" s="19"/>
      <c r="E50" s="19"/>
      <c r="F50" s="19"/>
      <c r="G50" s="19"/>
      <c r="H50" s="517"/>
      <c r="I50" s="513"/>
      <c r="J50" s="19"/>
      <c r="K50" s="19"/>
      <c r="L50" s="19"/>
      <c r="M50" s="21" t="s">
        <v>597</v>
      </c>
      <c r="N50" s="19"/>
      <c r="O50" s="19"/>
      <c r="P50" s="19"/>
      <c r="Q50" s="19"/>
      <c r="R50" s="517"/>
    </row>
    <row r="51" customFormat="false" ht="12" hidden="false" customHeight="true" outlineLevel="0" collapsed="false">
      <c r="A51" s="513"/>
      <c r="B51" s="19"/>
      <c r="C51" s="19"/>
      <c r="D51" s="19"/>
      <c r="E51" s="19" t="s">
        <v>887</v>
      </c>
      <c r="F51" s="605" t="s">
        <v>866</v>
      </c>
      <c r="G51" s="681" t="n">
        <f aca="false">Receivers!J45</f>
        <v>0.1995</v>
      </c>
      <c r="H51" s="517"/>
      <c r="I51" s="513"/>
      <c r="J51" s="19"/>
      <c r="K51" s="19"/>
      <c r="L51" s="19"/>
      <c r="M51" s="19"/>
      <c r="N51" s="19"/>
      <c r="O51" s="19"/>
      <c r="P51" s="19"/>
      <c r="Q51" s="19"/>
      <c r="R51" s="517"/>
    </row>
    <row r="52" customFormat="false" ht="12" hidden="false" customHeight="true" outlineLevel="0" collapsed="false">
      <c r="A52" s="513"/>
      <c r="B52" s="19"/>
      <c r="C52" s="19"/>
      <c r="D52" s="19"/>
      <c r="E52" s="19"/>
      <c r="F52" s="19"/>
      <c r="G52" s="19"/>
      <c r="H52" s="517"/>
      <c r="I52" s="513"/>
      <c r="J52" s="19"/>
      <c r="K52" s="19"/>
      <c r="L52" s="19"/>
      <c r="M52" s="19"/>
      <c r="N52" s="19" t="s">
        <v>0</v>
      </c>
      <c r="O52" s="19"/>
      <c r="P52" s="19"/>
      <c r="Q52" s="19"/>
      <c r="R52" s="517"/>
    </row>
    <row r="53" customFormat="false" ht="12" hidden="false" customHeight="true" outlineLevel="0" collapsed="false">
      <c r="A53" s="513"/>
      <c r="B53" s="19"/>
      <c r="C53" s="19"/>
      <c r="D53" s="19"/>
      <c r="E53" s="19"/>
      <c r="F53" s="605" t="s">
        <v>888</v>
      </c>
      <c r="G53" s="682" t="n">
        <f aca="false">Receivers!J48</f>
        <v>0</v>
      </c>
      <c r="H53" s="517"/>
      <c r="I53" s="513"/>
      <c r="J53" s="19"/>
      <c r="K53" s="19"/>
      <c r="L53" s="19"/>
      <c r="M53" s="19"/>
      <c r="N53" s="19"/>
      <c r="O53" s="19"/>
      <c r="P53" s="19"/>
      <c r="Q53" s="19"/>
      <c r="R53" s="517"/>
    </row>
    <row r="54" customFormat="false" ht="12" hidden="false" customHeight="true" outlineLevel="0" collapsed="false">
      <c r="A54" s="513"/>
      <c r="B54" s="19"/>
      <c r="C54" s="19"/>
      <c r="D54" s="19"/>
      <c r="E54" s="19"/>
      <c r="F54" s="19"/>
      <c r="G54" s="19"/>
      <c r="H54" s="517"/>
      <c r="I54" s="513"/>
      <c r="J54" s="19"/>
      <c r="K54" s="19"/>
      <c r="L54" s="19"/>
      <c r="M54" s="19" t="s">
        <v>889</v>
      </c>
      <c r="N54" s="605" t="s">
        <v>890</v>
      </c>
      <c r="O54" s="683" t="n">
        <f aca="false">Receivers!J118</f>
        <v>0</v>
      </c>
      <c r="P54" s="19"/>
      <c r="Q54" s="19"/>
      <c r="R54" s="517"/>
    </row>
    <row r="55" customFormat="false" ht="12" hidden="false" customHeight="true" outlineLevel="0" collapsed="false">
      <c r="A55" s="513"/>
      <c r="B55" s="19"/>
      <c r="C55" s="19"/>
      <c r="D55" s="19"/>
      <c r="E55" s="19" t="s">
        <v>358</v>
      </c>
      <c r="F55" s="605" t="s">
        <v>891</v>
      </c>
      <c r="G55" s="681" t="n">
        <f aca="false">Receivers!J46</f>
        <v>0.1995</v>
      </c>
      <c r="H55" s="517"/>
      <c r="I55" s="513"/>
      <c r="J55" s="19"/>
      <c r="K55" s="19"/>
      <c r="L55" s="19"/>
      <c r="M55" s="19"/>
      <c r="N55" s="19"/>
      <c r="O55" s="19"/>
      <c r="P55" s="19"/>
      <c r="Q55" s="19"/>
      <c r="R55" s="517"/>
    </row>
    <row r="56" customFormat="false" ht="12" hidden="false" customHeight="true" outlineLevel="0" collapsed="false">
      <c r="A56" s="513"/>
      <c r="B56" s="19"/>
      <c r="C56" s="19"/>
      <c r="D56" s="19"/>
      <c r="E56" s="19"/>
      <c r="F56" s="19"/>
      <c r="G56" s="19"/>
      <c r="H56" s="517"/>
      <c r="I56" s="513"/>
      <c r="J56" s="19"/>
      <c r="K56" s="19"/>
      <c r="L56" s="19"/>
      <c r="M56" s="19"/>
      <c r="N56" s="605" t="s">
        <v>892</v>
      </c>
      <c r="O56" s="648" t="n">
        <f aca="false">Receivers!J120</f>
        <v>0</v>
      </c>
      <c r="P56" s="19"/>
      <c r="Q56" s="19"/>
      <c r="R56" s="517"/>
    </row>
    <row r="57" customFormat="false" ht="12" hidden="false" customHeight="true" outlineLevel="0" collapsed="false">
      <c r="A57" s="513"/>
      <c r="B57" s="19"/>
      <c r="C57" s="19"/>
      <c r="D57" s="19"/>
      <c r="E57" s="19"/>
      <c r="F57" s="19"/>
      <c r="G57" s="19"/>
      <c r="H57" s="517"/>
      <c r="I57" s="513"/>
      <c r="J57" s="19"/>
      <c r="K57" s="19"/>
      <c r="L57" s="19"/>
      <c r="M57" s="19"/>
      <c r="N57" s="684" t="n">
        <f aca="false">Receivers!J122</f>
        <v>0.7</v>
      </c>
      <c r="O57" s="66"/>
      <c r="P57" s="19"/>
      <c r="Q57" s="19"/>
      <c r="R57" s="517"/>
    </row>
    <row r="58" customFormat="false" ht="12" hidden="false" customHeight="true" outlineLevel="0" collapsed="false">
      <c r="A58" s="513"/>
      <c r="B58" s="19"/>
      <c r="C58" s="19"/>
      <c r="D58" s="19"/>
      <c r="E58" s="19"/>
      <c r="F58" s="605" t="s">
        <v>893</v>
      </c>
      <c r="G58" s="682" t="n">
        <f aca="false">Receivers!J49</f>
        <v>1.7</v>
      </c>
      <c r="H58" s="517"/>
      <c r="I58" s="513"/>
      <c r="J58" s="19"/>
      <c r="K58" s="19"/>
      <c r="L58" s="19"/>
      <c r="M58" s="19"/>
      <c r="N58" s="19"/>
      <c r="O58" s="19"/>
      <c r="P58" s="19"/>
      <c r="Q58" s="19"/>
      <c r="R58" s="517"/>
    </row>
    <row r="59" customFormat="false" ht="12" hidden="false" customHeight="true" outlineLevel="0" collapsed="false">
      <c r="A59" s="513"/>
      <c r="B59" s="19"/>
      <c r="C59" s="19"/>
      <c r="D59" s="19"/>
      <c r="E59" s="19"/>
      <c r="F59" s="684" t="str">
        <f aca="false">Receivers!J51</f>
        <v>RF Switch Loss + Antenna Insertion Losses</v>
      </c>
      <c r="G59" s="66"/>
      <c r="H59" s="517"/>
      <c r="I59" s="513"/>
      <c r="J59" s="19"/>
      <c r="K59" s="19"/>
      <c r="L59" s="19"/>
      <c r="M59" s="19" t="s">
        <v>358</v>
      </c>
      <c r="N59" s="605" t="s">
        <v>891</v>
      </c>
      <c r="O59" s="681" t="n">
        <f aca="false">Receivers!J117</f>
        <v>0</v>
      </c>
      <c r="P59" s="19"/>
      <c r="Q59" s="19"/>
      <c r="R59" s="517"/>
    </row>
    <row r="60" customFormat="false" ht="12" hidden="false" customHeight="true" outlineLevel="0" collapsed="false">
      <c r="A60" s="513"/>
      <c r="B60" s="19"/>
      <c r="C60" s="19"/>
      <c r="D60" s="19"/>
      <c r="E60" s="19"/>
      <c r="F60" s="19"/>
      <c r="G60" s="19"/>
      <c r="H60" s="517"/>
      <c r="I60" s="513"/>
      <c r="J60" s="19"/>
      <c r="K60" s="19"/>
      <c r="L60" s="19"/>
      <c r="M60" s="19"/>
      <c r="N60" s="19"/>
      <c r="O60" s="19"/>
      <c r="P60" s="19"/>
      <c r="Q60" s="19"/>
      <c r="R60" s="517"/>
    </row>
    <row r="61" customFormat="false" ht="12" hidden="false" customHeight="true" outlineLevel="0" collapsed="false">
      <c r="A61" s="513"/>
      <c r="B61" s="19"/>
      <c r="C61" s="19"/>
      <c r="D61" s="19"/>
      <c r="E61" s="19" t="s">
        <v>889</v>
      </c>
      <c r="F61" s="605" t="s">
        <v>894</v>
      </c>
      <c r="G61" s="681" t="n">
        <f aca="false">Receivers!J47</f>
        <v>0</v>
      </c>
      <c r="H61" s="517"/>
      <c r="I61" s="513"/>
      <c r="J61" s="19"/>
      <c r="K61" s="19"/>
      <c r="L61" s="19"/>
      <c r="M61" s="19"/>
      <c r="N61" s="19"/>
      <c r="O61" s="19"/>
      <c r="P61" s="19"/>
      <c r="Q61" s="19"/>
      <c r="R61" s="517"/>
    </row>
    <row r="62" customFormat="false" ht="12" hidden="false" customHeight="true" outlineLevel="0" collapsed="false">
      <c r="A62" s="513"/>
      <c r="B62" s="19"/>
      <c r="C62" s="19"/>
      <c r="D62" s="19"/>
      <c r="E62" s="19"/>
      <c r="F62" s="19"/>
      <c r="G62" s="19"/>
      <c r="H62" s="517"/>
      <c r="I62" s="513"/>
      <c r="J62" s="19"/>
      <c r="K62" s="19"/>
      <c r="L62" s="19"/>
      <c r="M62" s="19"/>
      <c r="N62" s="605" t="s">
        <v>895</v>
      </c>
      <c r="O62" s="648" t="n">
        <f aca="false">Receivers!J119</f>
        <v>0.15</v>
      </c>
      <c r="P62" s="19"/>
      <c r="Q62" s="19"/>
      <c r="R62" s="517"/>
    </row>
    <row r="63" customFormat="false" ht="12" hidden="false" customHeight="true" outlineLevel="0" collapsed="false">
      <c r="A63" s="513"/>
      <c r="B63" s="19"/>
      <c r="C63" s="19"/>
      <c r="D63" s="19"/>
      <c r="E63" s="19"/>
      <c r="F63" s="19"/>
      <c r="G63" s="19"/>
      <c r="H63" s="517"/>
      <c r="I63" s="513"/>
      <c r="J63" s="19"/>
      <c r="K63" s="19"/>
      <c r="L63" s="19"/>
      <c r="M63" s="19"/>
      <c r="N63" s="19"/>
      <c r="O63" s="19"/>
      <c r="P63" s="19"/>
      <c r="Q63" s="19"/>
      <c r="R63" s="517"/>
    </row>
    <row r="64" customFormat="false" ht="12" hidden="false" customHeight="true" outlineLevel="0" collapsed="false">
      <c r="A64" s="513"/>
      <c r="B64" s="19"/>
      <c r="C64" s="19"/>
      <c r="D64" s="19"/>
      <c r="E64" s="21" t="s">
        <v>597</v>
      </c>
      <c r="F64" s="19"/>
      <c r="G64" s="19"/>
      <c r="H64" s="517"/>
      <c r="I64" s="513"/>
      <c r="J64" s="19"/>
      <c r="K64" s="19"/>
      <c r="L64" s="19"/>
      <c r="M64" s="19"/>
      <c r="N64" s="19"/>
      <c r="O64" s="19"/>
      <c r="P64" s="19"/>
      <c r="Q64" s="19"/>
      <c r="R64" s="517"/>
    </row>
    <row r="65" customFormat="false" ht="12" hidden="false" customHeight="true" outlineLevel="0" collapsed="false">
      <c r="A65" s="513"/>
      <c r="B65" s="19"/>
      <c r="C65" s="19"/>
      <c r="D65" s="19"/>
      <c r="E65" s="19"/>
      <c r="F65" s="19"/>
      <c r="G65" s="19"/>
      <c r="H65" s="517"/>
      <c r="I65" s="513"/>
      <c r="J65" s="19"/>
      <c r="K65" s="19"/>
      <c r="L65" s="19"/>
      <c r="M65" s="19" t="s">
        <v>887</v>
      </c>
      <c r="N65" s="605" t="s">
        <v>866</v>
      </c>
      <c r="O65" s="648" t="n">
        <f aca="false">Receivers!J116</f>
        <v>0.1995</v>
      </c>
      <c r="P65" s="19"/>
      <c r="Q65" s="19"/>
      <c r="R65" s="517"/>
    </row>
    <row r="66" customFormat="false" ht="12" hidden="false" customHeight="true" outlineLevel="0" collapsed="false">
      <c r="A66" s="513"/>
      <c r="B66" s="19"/>
      <c r="C66" s="19"/>
      <c r="D66" s="19"/>
      <c r="E66" s="19"/>
      <c r="F66" s="605" t="s">
        <v>896</v>
      </c>
      <c r="G66" s="679" t="n">
        <f aca="false">'Uplink Budget'!B23</f>
        <v>0</v>
      </c>
      <c r="H66" s="517"/>
      <c r="I66" s="513"/>
      <c r="J66" s="19"/>
      <c r="K66" s="19"/>
      <c r="L66" s="19"/>
      <c r="M66" s="19"/>
      <c r="N66" s="19"/>
      <c r="O66" s="19"/>
      <c r="P66" s="19"/>
      <c r="Q66" s="19"/>
      <c r="R66" s="517"/>
    </row>
    <row r="67" customFormat="false" ht="12" hidden="false" customHeight="true" outlineLevel="0" collapsed="false">
      <c r="A67" s="513"/>
      <c r="B67" s="19" t="str">
        <f aca="false">'Antenna Gain'!F24</f>
        <v>Circular Turnstyle</v>
      </c>
      <c r="C67" s="19"/>
      <c r="D67" s="19"/>
      <c r="E67" s="19"/>
      <c r="F67" s="666" t="s">
        <v>897</v>
      </c>
      <c r="G67" s="685" t="str">
        <f aca="false">'Antenna Gain'!K11</f>
        <v>RHCP</v>
      </c>
      <c r="H67" s="517"/>
      <c r="I67" s="513"/>
      <c r="J67" s="19"/>
      <c r="K67" s="19"/>
      <c r="L67" s="19"/>
      <c r="M67" s="19"/>
      <c r="N67" s="605" t="s">
        <v>898</v>
      </c>
      <c r="O67" s="648" t="n">
        <f aca="false">Receivers!J124</f>
        <v>1.3495</v>
      </c>
      <c r="P67" s="19"/>
      <c r="Q67" s="19"/>
      <c r="R67" s="517"/>
    </row>
    <row r="68" customFormat="false" ht="12" hidden="false" customHeight="true" outlineLevel="0" collapsed="false">
      <c r="A68" s="513"/>
      <c r="B68" s="19"/>
      <c r="C68" s="19"/>
      <c r="D68" s="19"/>
      <c r="E68" s="19"/>
      <c r="F68" s="19" t="s">
        <v>0</v>
      </c>
      <c r="G68" s="19"/>
      <c r="H68" s="517"/>
      <c r="I68" s="513"/>
      <c r="J68" s="19"/>
      <c r="K68" s="19"/>
      <c r="L68" s="19"/>
      <c r="M68" s="19"/>
      <c r="N68" s="19"/>
      <c r="O68" s="19"/>
      <c r="P68" s="19"/>
      <c r="Q68" s="19"/>
      <c r="R68" s="517"/>
    </row>
    <row r="69" customFormat="false" ht="12" hidden="false" customHeight="true" outlineLevel="0" collapsed="false">
      <c r="A69" s="513"/>
      <c r="B69" s="19"/>
      <c r="C69" s="19"/>
      <c r="D69" s="19"/>
      <c r="E69" s="19"/>
      <c r="F69" s="605" t="s">
        <v>899</v>
      </c>
      <c r="G69" s="648" t="n">
        <f aca="false">'Uplink Budget'!B15</f>
        <v>147.032064728619</v>
      </c>
      <c r="H69" s="517"/>
      <c r="I69" s="513"/>
      <c r="J69" s="19"/>
      <c r="K69" s="19"/>
      <c r="L69" s="19"/>
      <c r="M69" s="19"/>
      <c r="N69" s="605" t="s">
        <v>900</v>
      </c>
      <c r="O69" s="675" t="n">
        <f aca="false">Receivers!J132</f>
        <v>45</v>
      </c>
      <c r="P69" s="19"/>
      <c r="Q69" s="19"/>
      <c r="R69" s="517"/>
    </row>
    <row r="70" customFormat="false" ht="12" hidden="false" customHeight="true" outlineLevel="0" collapsed="false">
      <c r="A70" s="513"/>
      <c r="B70" s="19"/>
      <c r="C70" s="19"/>
      <c r="D70" s="19"/>
      <c r="E70" s="19"/>
      <c r="F70" s="19"/>
      <c r="G70" s="19"/>
      <c r="H70" s="517"/>
      <c r="I70" s="513"/>
      <c r="J70" s="19"/>
      <c r="K70" s="19"/>
      <c r="L70" s="19"/>
      <c r="M70" s="19"/>
      <c r="N70" s="19"/>
      <c r="O70" s="19"/>
      <c r="P70" s="19"/>
      <c r="Q70" s="19"/>
      <c r="R70" s="517"/>
    </row>
    <row r="71" customFormat="false" ht="12" hidden="false" customHeight="true" outlineLevel="0" collapsed="false">
      <c r="A71" s="513"/>
      <c r="B71" s="19"/>
      <c r="C71" s="19"/>
      <c r="D71" s="19"/>
      <c r="E71" s="19"/>
      <c r="F71" s="653" t="s">
        <v>901</v>
      </c>
      <c r="G71" s="686"/>
      <c r="H71" s="517"/>
      <c r="I71" s="513"/>
      <c r="J71" s="19"/>
      <c r="K71" s="19"/>
      <c r="L71" s="19"/>
      <c r="M71" s="19"/>
      <c r="N71" s="605" t="s">
        <v>883</v>
      </c>
      <c r="O71" s="648" t="n">
        <f aca="false">Receivers!F134</f>
        <v>20</v>
      </c>
      <c r="P71" s="19"/>
      <c r="Q71" s="19"/>
      <c r="R71" s="517"/>
    </row>
    <row r="72" customFormat="false" ht="12" hidden="false" customHeight="true" outlineLevel="0" collapsed="false">
      <c r="A72" s="513"/>
      <c r="B72" s="19"/>
      <c r="C72" s="19"/>
      <c r="D72" s="19"/>
      <c r="E72" s="19"/>
      <c r="F72" s="687" t="n">
        <f aca="false">'Uplink Budget'!B13+'Uplink Budget'!B14+'Uplink Budget'!B15+'Uplink Budget'!B16+'Uplink Budget'!B17+'Uplink Budget'!B18+'Uplink Budget'!B22</f>
        <v>148.982936349873</v>
      </c>
      <c r="G72" s="688" t="s">
        <v>258</v>
      </c>
      <c r="H72" s="517"/>
      <c r="I72" s="513"/>
      <c r="J72" s="19"/>
      <c r="K72" s="19"/>
      <c r="L72" s="19"/>
      <c r="M72" s="19"/>
      <c r="N72" s="19"/>
      <c r="O72" s="19"/>
      <c r="P72" s="19"/>
      <c r="Q72" s="19"/>
      <c r="R72" s="517"/>
    </row>
    <row r="73" customFormat="false" ht="12" hidden="false" customHeight="true" outlineLevel="0" collapsed="false">
      <c r="A73" s="513"/>
      <c r="B73" s="19"/>
      <c r="C73" s="19"/>
      <c r="D73" s="19"/>
      <c r="E73" s="19"/>
      <c r="F73" s="19"/>
      <c r="G73" s="19"/>
      <c r="H73" s="517"/>
      <c r="I73" s="513"/>
      <c r="J73" s="19"/>
      <c r="K73" s="19"/>
      <c r="L73" s="19"/>
      <c r="M73" s="19"/>
      <c r="N73" s="19"/>
      <c r="O73" s="19"/>
      <c r="P73" s="19"/>
      <c r="Q73" s="19"/>
      <c r="R73" s="517"/>
    </row>
    <row r="74" customFormat="false" ht="12" hidden="false" customHeight="true" outlineLevel="0" collapsed="false">
      <c r="A74" s="513"/>
      <c r="B74" s="19"/>
      <c r="C74" s="19"/>
      <c r="D74" s="19"/>
      <c r="E74" s="19"/>
      <c r="F74" s="663" t="s">
        <v>902</v>
      </c>
      <c r="G74" s="689" t="n">
        <f aca="false">'Uplink Budget'!B11</f>
        <v>32.1097000433602</v>
      </c>
      <c r="H74" s="517"/>
      <c r="I74" s="513"/>
      <c r="J74" s="19"/>
      <c r="K74" s="19"/>
      <c r="L74" s="19"/>
      <c r="M74" s="19"/>
      <c r="N74" s="19"/>
      <c r="O74" s="19"/>
      <c r="P74" s="19"/>
      <c r="Q74" s="19"/>
      <c r="R74" s="517"/>
    </row>
    <row r="75" customFormat="false" ht="12" hidden="false" customHeight="true" outlineLevel="0" collapsed="false">
      <c r="A75" s="513"/>
      <c r="B75" s="19"/>
      <c r="C75" s="19"/>
      <c r="D75" s="19"/>
      <c r="E75" s="19"/>
      <c r="F75" s="19"/>
      <c r="G75" s="19"/>
      <c r="H75" s="517"/>
      <c r="I75" s="513"/>
      <c r="J75" s="19"/>
      <c r="K75" s="19"/>
      <c r="L75" s="19"/>
      <c r="M75" s="19"/>
      <c r="N75" s="605" t="s">
        <v>903</v>
      </c>
      <c r="O75" s="675" t="n">
        <f aca="false">Receivers!J144</f>
        <v>1000</v>
      </c>
      <c r="P75" s="19"/>
      <c r="Q75" s="19"/>
      <c r="R75" s="517"/>
    </row>
    <row r="76" customFormat="false" ht="12" hidden="false" customHeight="true" outlineLevel="0" collapsed="false">
      <c r="A76" s="513"/>
      <c r="B76" s="19" t="str">
        <f aca="false">'Antenna Gain'!F11</f>
        <v>Yagi</v>
      </c>
      <c r="C76" s="19"/>
      <c r="D76" s="19"/>
      <c r="E76" s="19"/>
      <c r="F76" s="605" t="s">
        <v>904</v>
      </c>
      <c r="G76" s="679" t="n">
        <f aca="false">'Uplink Budget'!B10</f>
        <v>17.45</v>
      </c>
      <c r="H76" s="517"/>
      <c r="I76" s="513"/>
      <c r="J76" s="19"/>
      <c r="K76" s="19"/>
      <c r="L76" s="19"/>
      <c r="M76" s="19"/>
      <c r="N76" s="19"/>
      <c r="O76" s="19"/>
      <c r="P76" s="19"/>
      <c r="Q76" s="19"/>
      <c r="R76" s="517"/>
    </row>
    <row r="77" customFormat="false" ht="12" hidden="false" customHeight="true" outlineLevel="0" collapsed="false">
      <c r="A77" s="513"/>
      <c r="B77" s="19"/>
      <c r="C77" s="19"/>
      <c r="D77" s="19"/>
      <c r="E77" s="19"/>
      <c r="F77" s="666" t="s">
        <v>905</v>
      </c>
      <c r="G77" s="685" t="str">
        <f aca="false">'Antenna Gain'!K11</f>
        <v>RHCP</v>
      </c>
      <c r="H77" s="517"/>
      <c r="I77" s="513"/>
      <c r="J77" s="19"/>
      <c r="K77" s="19"/>
      <c r="L77" s="19"/>
      <c r="M77" s="19"/>
      <c r="N77" s="19"/>
      <c r="O77" s="19"/>
      <c r="P77" s="19"/>
      <c r="Q77" s="19"/>
      <c r="R77" s="517"/>
    </row>
    <row r="78" customFormat="false" ht="12" hidden="false" customHeight="true" outlineLevel="0" collapsed="false">
      <c r="A78" s="513"/>
      <c r="B78" s="19"/>
      <c r="C78" s="19"/>
      <c r="D78" s="19"/>
      <c r="E78" s="19"/>
      <c r="F78" s="19" t="s">
        <v>0</v>
      </c>
      <c r="G78" s="19"/>
      <c r="H78" s="517"/>
      <c r="I78" s="513"/>
      <c r="J78" s="19"/>
      <c r="K78" s="19"/>
      <c r="L78" s="19"/>
      <c r="M78" s="19"/>
      <c r="N78" s="19"/>
      <c r="O78" s="19"/>
      <c r="P78" s="19"/>
      <c r="Q78" s="19"/>
      <c r="R78" s="517"/>
    </row>
    <row r="79" customFormat="false" ht="12" hidden="false" customHeight="true" outlineLevel="0" collapsed="false">
      <c r="A79" s="513"/>
      <c r="B79" s="19"/>
      <c r="C79" s="19"/>
      <c r="D79" s="19"/>
      <c r="E79" s="21" t="s">
        <v>595</v>
      </c>
      <c r="F79" s="19"/>
      <c r="G79" s="19"/>
      <c r="H79" s="517"/>
      <c r="I79" s="513"/>
      <c r="J79" s="19"/>
      <c r="K79" s="19"/>
      <c r="L79" s="19"/>
      <c r="M79" s="19"/>
      <c r="N79" s="19"/>
      <c r="O79" s="19"/>
      <c r="P79" s="19"/>
      <c r="Q79" s="19"/>
      <c r="R79" s="517"/>
    </row>
    <row r="80" customFormat="false" ht="12" hidden="false" customHeight="true" outlineLevel="0" collapsed="false">
      <c r="A80" s="513"/>
      <c r="B80" s="19"/>
      <c r="C80" s="19"/>
      <c r="D80" s="19"/>
      <c r="E80" s="19"/>
      <c r="F80" s="19"/>
      <c r="G80" s="19"/>
      <c r="H80" s="517"/>
      <c r="I80" s="513"/>
      <c r="J80" s="19"/>
      <c r="K80" s="19"/>
      <c r="L80" s="19"/>
      <c r="M80" s="19"/>
      <c r="N80" s="19"/>
      <c r="O80" s="19"/>
      <c r="P80" s="19"/>
      <c r="Q80" s="19"/>
      <c r="R80" s="517"/>
    </row>
    <row r="81" customFormat="false" ht="12" hidden="false" customHeight="true" outlineLevel="0" collapsed="false">
      <c r="A81" s="513"/>
      <c r="B81" s="19"/>
      <c r="C81" s="19"/>
      <c r="D81" s="19"/>
      <c r="E81" s="19"/>
      <c r="F81" s="19"/>
      <c r="G81" s="19"/>
      <c r="H81" s="517"/>
      <c r="I81" s="513"/>
      <c r="J81" s="19"/>
      <c r="K81" s="19"/>
      <c r="L81" s="19"/>
      <c r="M81" s="19"/>
      <c r="N81" s="19"/>
      <c r="O81" s="19"/>
      <c r="P81" s="19"/>
      <c r="Q81" s="19"/>
      <c r="R81" s="517"/>
    </row>
    <row r="82" customFormat="false" ht="12" hidden="false" customHeight="true" outlineLevel="0" collapsed="false">
      <c r="A82" s="513"/>
      <c r="B82" s="19"/>
      <c r="C82" s="19"/>
      <c r="D82" s="19"/>
      <c r="E82" s="19"/>
      <c r="F82" s="605" t="s">
        <v>906</v>
      </c>
      <c r="G82" s="680" t="n">
        <f aca="false">Transmitters!I35</f>
        <v>2.33</v>
      </c>
      <c r="H82" s="517"/>
      <c r="I82" s="513"/>
      <c r="J82" s="19"/>
      <c r="K82" s="19"/>
      <c r="L82" s="19"/>
      <c r="M82" s="19"/>
      <c r="N82" s="19"/>
      <c r="O82" s="19"/>
      <c r="P82" s="19"/>
      <c r="Q82" s="19"/>
      <c r="R82" s="517"/>
    </row>
    <row r="83" customFormat="false" ht="12" hidden="false" customHeight="true" outlineLevel="0" collapsed="false">
      <c r="A83" s="513"/>
      <c r="B83" s="19"/>
      <c r="C83" s="19"/>
      <c r="D83" s="19"/>
      <c r="E83" s="19" t="s">
        <v>0</v>
      </c>
      <c r="F83" s="19" t="s">
        <v>0</v>
      </c>
      <c r="G83" s="19"/>
      <c r="H83" s="517"/>
      <c r="I83" s="513"/>
      <c r="J83" s="19"/>
      <c r="K83" s="19"/>
      <c r="L83" s="19"/>
      <c r="M83" s="19"/>
      <c r="N83" s="19"/>
      <c r="O83" s="19"/>
      <c r="P83" s="19"/>
      <c r="Q83" s="19"/>
      <c r="R83" s="517"/>
    </row>
    <row r="84" customFormat="false" ht="12" hidden="false" customHeight="true" outlineLevel="0" collapsed="false">
      <c r="A84" s="513"/>
      <c r="B84" s="19"/>
      <c r="C84" s="19"/>
      <c r="D84" s="19"/>
      <c r="E84" s="19" t="s">
        <v>889</v>
      </c>
      <c r="F84" s="605" t="s">
        <v>907</v>
      </c>
      <c r="G84" s="690" t="n">
        <f aca="false">Transmitters!E25*Transmitters!I21</f>
        <v>0</v>
      </c>
      <c r="H84" s="517"/>
      <c r="I84" s="513"/>
      <c r="J84" s="19"/>
      <c r="K84" s="19"/>
      <c r="L84" s="19"/>
      <c r="M84" s="19"/>
      <c r="N84" s="19"/>
      <c r="O84" s="19"/>
      <c r="P84" s="19"/>
      <c r="Q84" s="19"/>
      <c r="R84" s="517"/>
    </row>
    <row r="85" customFormat="false" ht="12" hidden="false" customHeight="true" outlineLevel="0" collapsed="false">
      <c r="A85" s="513"/>
      <c r="B85" s="19"/>
      <c r="C85" s="19"/>
      <c r="D85" s="19"/>
      <c r="E85" s="19"/>
      <c r="F85" s="19"/>
      <c r="G85" s="19"/>
      <c r="H85" s="517"/>
      <c r="I85" s="513"/>
      <c r="J85" s="19"/>
      <c r="K85" s="19"/>
      <c r="L85" s="19"/>
      <c r="M85" s="19"/>
      <c r="N85" s="19"/>
      <c r="O85" s="19"/>
      <c r="P85" s="19"/>
      <c r="Q85" s="19"/>
      <c r="R85" s="517"/>
    </row>
    <row r="86" customFormat="false" ht="12" hidden="false" customHeight="true" outlineLevel="0" collapsed="false">
      <c r="A86" s="513"/>
      <c r="B86" s="19"/>
      <c r="C86" s="19"/>
      <c r="D86" s="19"/>
      <c r="E86" s="19"/>
      <c r="F86" s="19"/>
      <c r="G86" s="19"/>
      <c r="H86" s="517"/>
      <c r="I86" s="513"/>
      <c r="J86" s="19"/>
      <c r="K86" s="19"/>
      <c r="L86" s="19"/>
      <c r="M86" s="19"/>
      <c r="N86" s="19"/>
      <c r="O86" s="19"/>
      <c r="P86" s="19"/>
      <c r="Q86" s="19"/>
      <c r="R86" s="517"/>
    </row>
    <row r="87" customFormat="false" ht="12" hidden="false" customHeight="true" outlineLevel="0" collapsed="false">
      <c r="A87" s="513"/>
      <c r="B87" s="19"/>
      <c r="C87" s="19"/>
      <c r="D87" s="19"/>
      <c r="E87" s="19"/>
      <c r="F87" s="605" t="s">
        <v>908</v>
      </c>
      <c r="G87" s="679" t="n">
        <f aca="false">Transmitters!I31</f>
        <v>0</v>
      </c>
      <c r="H87" s="517"/>
      <c r="I87" s="513"/>
      <c r="J87" s="19"/>
      <c r="K87" s="19"/>
      <c r="L87" s="19"/>
      <c r="M87" s="19"/>
      <c r="N87" s="19"/>
      <c r="O87" s="19"/>
      <c r="P87" s="19"/>
      <c r="Q87" s="19"/>
      <c r="R87" s="517"/>
    </row>
    <row r="88" customFormat="false" ht="12" hidden="false" customHeight="true" outlineLevel="0" collapsed="false">
      <c r="A88" s="513"/>
      <c r="B88" s="19"/>
      <c r="C88" s="19"/>
      <c r="D88" s="19"/>
      <c r="E88" s="19"/>
      <c r="F88" s="691" t="n">
        <f aca="false">Transmitters!F31</f>
        <v>0</v>
      </c>
      <c r="G88" s="66"/>
      <c r="H88" s="517"/>
      <c r="I88" s="513"/>
      <c r="J88" s="19"/>
      <c r="K88" s="19"/>
      <c r="L88" s="19"/>
      <c r="M88" s="19"/>
      <c r="N88" s="605" t="s">
        <v>909</v>
      </c>
      <c r="O88" s="671" t="n">
        <f aca="false">'Downlink Budget'!B56</f>
        <v>500000</v>
      </c>
      <c r="P88" s="19"/>
      <c r="Q88" s="19"/>
      <c r="R88" s="517"/>
    </row>
    <row r="89" customFormat="false" ht="12" hidden="false" customHeight="true" outlineLevel="0" collapsed="false">
      <c r="A89" s="513"/>
      <c r="B89" s="19"/>
      <c r="C89" s="19"/>
      <c r="D89" s="19"/>
      <c r="E89" s="19"/>
      <c r="F89" s="19"/>
      <c r="G89" s="19"/>
      <c r="H89" s="517"/>
      <c r="I89" s="513"/>
      <c r="J89" s="19"/>
      <c r="K89" s="19"/>
      <c r="L89" s="19"/>
      <c r="M89" s="19"/>
      <c r="N89" s="19" t="s">
        <v>910</v>
      </c>
      <c r="O89" s="19"/>
      <c r="P89" s="19"/>
      <c r="Q89" s="19"/>
      <c r="R89" s="517"/>
    </row>
    <row r="90" customFormat="false" ht="12" hidden="false" customHeight="true" outlineLevel="0" collapsed="false">
      <c r="A90" s="513"/>
      <c r="B90" s="19"/>
      <c r="C90" s="19"/>
      <c r="D90" s="19"/>
      <c r="E90" s="19" t="s">
        <v>358</v>
      </c>
      <c r="F90" s="605" t="s">
        <v>869</v>
      </c>
      <c r="G90" s="690" t="n">
        <f aca="false">Transmitters!E25*Transmitters!I20</f>
        <v>0</v>
      </c>
      <c r="H90" s="517"/>
      <c r="I90" s="513"/>
      <c r="J90" s="19"/>
      <c r="K90" s="19"/>
      <c r="L90" s="19"/>
      <c r="M90" s="19"/>
      <c r="N90" s="19"/>
      <c r="O90" s="19"/>
      <c r="P90" s="19"/>
      <c r="Q90" s="19"/>
      <c r="R90" s="517"/>
    </row>
    <row r="91" customFormat="false" ht="12" hidden="false" customHeight="true" outlineLevel="0" collapsed="false">
      <c r="A91" s="513"/>
      <c r="B91" s="19"/>
      <c r="C91" s="19"/>
      <c r="D91" s="19"/>
      <c r="E91" s="19"/>
      <c r="F91" s="19"/>
      <c r="G91" s="19"/>
      <c r="H91" s="517"/>
      <c r="I91" s="513"/>
      <c r="J91" s="19"/>
      <c r="K91" s="19"/>
      <c r="L91" s="19"/>
      <c r="M91" s="19"/>
      <c r="N91" s="19"/>
      <c r="O91" s="19"/>
      <c r="P91" s="19"/>
      <c r="Q91" s="19"/>
      <c r="R91" s="517"/>
    </row>
    <row r="92" customFormat="false" ht="12" hidden="false" customHeight="true" outlineLevel="0" collapsed="false">
      <c r="A92" s="513"/>
      <c r="B92" s="19"/>
      <c r="C92" s="19"/>
      <c r="D92" s="19"/>
      <c r="E92" s="19"/>
      <c r="F92" s="19"/>
      <c r="G92" s="19"/>
      <c r="H92" s="517"/>
      <c r="I92" s="513"/>
      <c r="J92" s="19"/>
      <c r="K92" s="19"/>
      <c r="L92" s="19"/>
      <c r="M92" s="19"/>
      <c r="N92" s="19"/>
      <c r="O92" s="19"/>
      <c r="P92" s="19"/>
      <c r="Q92" s="19"/>
      <c r="R92" s="517"/>
    </row>
    <row r="93" customFormat="false" ht="12" hidden="false" customHeight="true" outlineLevel="0" collapsed="false">
      <c r="A93" s="513"/>
      <c r="B93" s="19"/>
      <c r="C93" s="19"/>
      <c r="D93" s="19"/>
      <c r="E93" s="19"/>
      <c r="F93" s="605" t="s">
        <v>911</v>
      </c>
      <c r="G93" s="682" t="n">
        <f aca="false">Transmitters!I30</f>
        <v>1</v>
      </c>
      <c r="H93" s="517"/>
      <c r="I93" s="513"/>
      <c r="J93" s="19"/>
      <c r="K93" s="19"/>
      <c r="L93" s="19"/>
      <c r="M93" s="19"/>
      <c r="N93" s="666" t="s">
        <v>863</v>
      </c>
      <c r="O93" s="692" t="n">
        <f aca="false">'Downlink Budget'!B35</f>
        <v>1E-006</v>
      </c>
      <c r="P93" s="19"/>
      <c r="Q93" s="19"/>
      <c r="R93" s="517"/>
    </row>
    <row r="94" customFormat="false" ht="12" hidden="false" customHeight="true" outlineLevel="0" collapsed="false">
      <c r="A94" s="513"/>
      <c r="B94" s="19"/>
      <c r="C94" s="19"/>
      <c r="D94" s="19"/>
      <c r="E94" s="19"/>
      <c r="F94" s="19"/>
      <c r="G94" s="19"/>
      <c r="H94" s="517"/>
      <c r="I94" s="513"/>
      <c r="J94" s="19"/>
      <c r="K94" s="19"/>
      <c r="L94" s="19"/>
      <c r="M94" s="19"/>
      <c r="N94" s="693" t="s">
        <v>912</v>
      </c>
      <c r="O94" s="694"/>
      <c r="P94" s="19"/>
      <c r="Q94" s="19"/>
      <c r="R94" s="517"/>
    </row>
    <row r="95" customFormat="false" ht="12" hidden="false" customHeight="true" outlineLevel="0" collapsed="false">
      <c r="A95" s="513"/>
      <c r="B95" s="19"/>
      <c r="C95" s="19"/>
      <c r="D95" s="19"/>
      <c r="E95" s="19" t="s">
        <v>887</v>
      </c>
      <c r="F95" s="605" t="s">
        <v>913</v>
      </c>
      <c r="G95" s="690" t="n">
        <f aca="false">Transmitters!E25*Transmitters!I19</f>
        <v>1.08</v>
      </c>
      <c r="H95" s="517"/>
      <c r="I95" s="513"/>
      <c r="J95" s="19"/>
      <c r="K95" s="19"/>
      <c r="L95" s="19"/>
      <c r="M95" s="19"/>
      <c r="N95" s="695" t="str">
        <f aca="false">'Downlink Budget'!B32</f>
        <v>LoRa</v>
      </c>
      <c r="O95" s="694"/>
      <c r="P95" s="19"/>
      <c r="Q95" s="19"/>
      <c r="R95" s="517"/>
    </row>
    <row r="96" customFormat="false" ht="12" hidden="false" customHeight="true" outlineLevel="0" collapsed="false">
      <c r="A96" s="513"/>
      <c r="B96" s="19"/>
      <c r="C96" s="19"/>
      <c r="D96" s="19"/>
      <c r="E96" s="19"/>
      <c r="F96" s="19" t="s">
        <v>0</v>
      </c>
      <c r="G96" s="19"/>
      <c r="H96" s="517"/>
      <c r="I96" s="513"/>
      <c r="J96" s="19"/>
      <c r="K96" s="19"/>
      <c r="L96" s="19"/>
      <c r="M96" s="19"/>
      <c r="N96" s="669" t="s">
        <v>788</v>
      </c>
      <c r="O96" s="670" t="n">
        <f aca="false">'Downlink Budget'!B41</f>
        <v>7.8</v>
      </c>
      <c r="P96" s="19"/>
      <c r="Q96" s="19"/>
      <c r="R96" s="517"/>
    </row>
    <row r="97" customFormat="false" ht="12" hidden="false" customHeight="true" outlineLevel="0" collapsed="false">
      <c r="A97" s="513"/>
      <c r="B97" s="19"/>
      <c r="C97" s="19"/>
      <c r="D97" s="19"/>
      <c r="E97" s="19"/>
      <c r="F97" s="605" t="s">
        <v>914</v>
      </c>
      <c r="G97" s="696" t="n">
        <f aca="false">Transmitters!E16</f>
        <v>50</v>
      </c>
      <c r="H97" s="517"/>
      <c r="I97" s="513"/>
      <c r="J97" s="19"/>
      <c r="K97" s="19"/>
      <c r="L97" s="19"/>
      <c r="M97" s="19"/>
      <c r="N97" s="19"/>
      <c r="O97" s="19"/>
      <c r="P97" s="19"/>
      <c r="Q97" s="19"/>
      <c r="R97" s="517"/>
    </row>
    <row r="98" customFormat="false" ht="12" hidden="false" customHeight="true" outlineLevel="0" collapsed="false">
      <c r="A98" s="513"/>
      <c r="B98" s="19"/>
      <c r="C98" s="19"/>
      <c r="D98" s="19"/>
      <c r="E98" s="19"/>
      <c r="F98" s="19"/>
      <c r="G98" s="19"/>
      <c r="H98" s="517"/>
      <c r="I98" s="513"/>
      <c r="J98" s="19"/>
      <c r="K98" s="19"/>
      <c r="L98" s="19"/>
      <c r="M98" s="19"/>
      <c r="N98" s="19"/>
      <c r="O98" s="19"/>
      <c r="P98" s="19"/>
      <c r="Q98" s="19"/>
      <c r="R98" s="517"/>
    </row>
    <row r="99" customFormat="false" ht="12" hidden="false" customHeight="true" outlineLevel="0" collapsed="false">
      <c r="A99" s="513"/>
      <c r="B99" s="19"/>
      <c r="C99" s="19"/>
      <c r="D99" s="19"/>
      <c r="E99" s="19"/>
      <c r="F99" s="19"/>
      <c r="G99" s="19"/>
      <c r="H99" s="517"/>
      <c r="I99" s="513"/>
      <c r="J99" s="19"/>
      <c r="K99" s="19"/>
      <c r="L99" s="19"/>
      <c r="M99" s="19"/>
      <c r="N99" s="19"/>
      <c r="O99" s="19"/>
      <c r="P99" s="19"/>
      <c r="Q99" s="19"/>
      <c r="R99" s="517"/>
    </row>
    <row r="100" customFormat="false" ht="12" hidden="false" customHeight="true" outlineLevel="0" collapsed="false">
      <c r="A100" s="513"/>
      <c r="B100" s="19"/>
      <c r="C100" s="19"/>
      <c r="D100" s="19"/>
      <c r="E100" s="19"/>
      <c r="F100" s="19"/>
      <c r="G100" s="19"/>
      <c r="H100" s="517"/>
      <c r="I100" s="513"/>
      <c r="J100" s="19"/>
      <c r="K100" s="19"/>
      <c r="L100" s="19"/>
      <c r="M100" s="19"/>
      <c r="N100" s="659" t="s">
        <v>915</v>
      </c>
      <c r="O100" s="654"/>
      <c r="P100" s="19"/>
      <c r="Q100" s="19"/>
      <c r="R100" s="517"/>
    </row>
    <row r="101" customFormat="false" ht="12" hidden="false" customHeight="true" outlineLevel="0" collapsed="false">
      <c r="A101" s="513"/>
      <c r="B101" s="19"/>
      <c r="C101" s="19"/>
      <c r="D101" s="19"/>
      <c r="E101" s="19"/>
      <c r="F101" s="19"/>
      <c r="G101" s="19"/>
      <c r="H101" s="517"/>
      <c r="I101" s="513"/>
      <c r="J101" s="19"/>
      <c r="K101" s="19"/>
      <c r="L101" s="19"/>
      <c r="M101" s="19"/>
      <c r="N101" s="697" t="str">
        <f aca="false">'Downlink Budget'!B33</f>
        <v>Spread Spectrum (SF 7, 500 kHz, CR 4:5)</v>
      </c>
      <c r="O101" s="656"/>
      <c r="P101" s="19"/>
      <c r="Q101" s="19"/>
      <c r="R101" s="517"/>
    </row>
    <row r="102" customFormat="false" ht="12" hidden="false" customHeight="true" outlineLevel="0" collapsed="false">
      <c r="A102" s="513"/>
      <c r="B102" s="19"/>
      <c r="C102" s="19"/>
      <c r="D102" s="19"/>
      <c r="E102" s="19"/>
      <c r="F102" s="19"/>
      <c r="G102" s="19"/>
      <c r="H102" s="517"/>
      <c r="I102" s="513"/>
      <c r="J102" s="19"/>
      <c r="K102" s="19"/>
      <c r="L102" s="19"/>
      <c r="M102" s="19"/>
      <c r="N102" s="19"/>
      <c r="O102" s="19"/>
      <c r="P102" s="19"/>
      <c r="Q102" s="19"/>
      <c r="R102" s="517"/>
    </row>
    <row r="103" customFormat="false" ht="12" hidden="false" customHeight="true" outlineLevel="0" collapsed="false">
      <c r="A103" s="513"/>
      <c r="B103" s="19"/>
      <c r="C103" s="19"/>
      <c r="D103" s="19"/>
      <c r="E103" s="19"/>
      <c r="F103" s="659" t="s">
        <v>916</v>
      </c>
      <c r="G103" s="654"/>
      <c r="H103" s="517"/>
      <c r="I103" s="513"/>
      <c r="J103" s="19"/>
      <c r="K103" s="19"/>
      <c r="L103" s="19"/>
      <c r="M103" s="19"/>
      <c r="N103" s="19"/>
      <c r="O103" s="19"/>
      <c r="P103" s="19"/>
      <c r="Q103" s="19"/>
      <c r="R103" s="517"/>
    </row>
    <row r="104" customFormat="false" ht="12" hidden="false" customHeight="true" outlineLevel="0" collapsed="false">
      <c r="A104" s="513"/>
      <c r="B104" s="19"/>
      <c r="C104" s="19"/>
      <c r="D104" s="19"/>
      <c r="E104" s="19"/>
      <c r="F104" s="655" t="str">
        <f aca="false">'Uplink Budget'!B32</f>
        <v>LoRa</v>
      </c>
      <c r="G104" s="656"/>
      <c r="H104" s="517"/>
      <c r="I104" s="513"/>
      <c r="J104" s="19"/>
      <c r="K104" s="19"/>
      <c r="L104" s="19"/>
      <c r="M104" s="19"/>
      <c r="N104" s="19"/>
      <c r="O104" s="19"/>
      <c r="P104" s="19"/>
      <c r="Q104" s="19"/>
      <c r="R104" s="517"/>
    </row>
    <row r="105" customFormat="false" ht="12" hidden="false" customHeight="true" outlineLevel="0" collapsed="false">
      <c r="A105" s="513"/>
      <c r="B105" s="19"/>
      <c r="C105" s="19"/>
      <c r="D105" s="19"/>
      <c r="E105" s="19"/>
      <c r="F105" s="19"/>
      <c r="G105" s="19"/>
      <c r="H105" s="517"/>
      <c r="I105" s="513"/>
      <c r="J105" s="19"/>
      <c r="K105" s="605" t="s">
        <v>853</v>
      </c>
      <c r="L105" s="671" t="n">
        <f aca="false">'Downlink Budget'!B28</f>
        <v>21875</v>
      </c>
      <c r="M105" s="19"/>
      <c r="N105" s="19"/>
      <c r="O105" s="19" t="s">
        <v>0</v>
      </c>
      <c r="P105" s="19" t="s">
        <v>0</v>
      </c>
      <c r="Q105" s="19"/>
      <c r="R105" s="517"/>
    </row>
    <row r="106" customFormat="false" ht="12.75" hidden="false" customHeight="true" outlineLevel="0" collapsed="false">
      <c r="A106" s="513"/>
      <c r="B106" s="19"/>
      <c r="C106" s="19"/>
      <c r="D106" s="19"/>
      <c r="E106" s="19"/>
      <c r="F106" s="653" t="s">
        <v>917</v>
      </c>
      <c r="G106" s="686"/>
      <c r="H106" s="517"/>
      <c r="I106" s="513"/>
      <c r="J106" s="19"/>
      <c r="K106" s="19"/>
      <c r="L106" s="19"/>
      <c r="M106" s="19"/>
      <c r="N106" s="19"/>
      <c r="O106" s="19"/>
      <c r="P106" s="19"/>
      <c r="Q106" s="19"/>
      <c r="R106" s="517"/>
    </row>
    <row r="107" customFormat="false" ht="12.75" hidden="false" customHeight="true" outlineLevel="0" collapsed="false">
      <c r="A107" s="513"/>
      <c r="B107" s="19"/>
      <c r="C107" s="19"/>
      <c r="D107" s="19"/>
      <c r="E107" s="19"/>
      <c r="F107" s="660" t="str">
        <f aca="false">'Uplink Budget'!B33</f>
        <v>Spread Spectrum (SF 7, 500 kHz, CR 4:5)</v>
      </c>
      <c r="G107" s="656"/>
      <c r="H107" s="517"/>
      <c r="I107" s="513" t="s">
        <v>918</v>
      </c>
      <c r="J107" s="19"/>
      <c r="K107" s="605" t="s">
        <v>919</v>
      </c>
      <c r="L107" s="648" t="n">
        <f aca="false">'Downlink Budget'!B30</f>
        <v>22.9583854337503</v>
      </c>
      <c r="M107" s="19"/>
      <c r="N107" s="698" t="s">
        <v>852</v>
      </c>
      <c r="O107" s="650" t="n">
        <f aca="false">'Downlink Budget'!B43</f>
        <v>15.1583854337503</v>
      </c>
      <c r="P107" s="651" t="str">
        <f aca="false">IF(O107&lt;0,"NO LINK !",IF(O107&lt;6,"MARGINAL LINK",IF(O107&gt;6,"LINK CLOSES")))</f>
        <v>LINK CLOSES</v>
      </c>
      <c r="Q107" s="19"/>
      <c r="R107" s="517"/>
    </row>
    <row r="108" customFormat="false" ht="12.75" hidden="false" customHeight="true" outlineLevel="0" collapsed="false">
      <c r="A108" s="513"/>
      <c r="B108" s="19"/>
      <c r="C108" s="19"/>
      <c r="D108" s="19"/>
      <c r="E108" s="19"/>
      <c r="F108" s="19"/>
      <c r="G108" s="19"/>
      <c r="H108" s="517"/>
      <c r="I108" s="513"/>
      <c r="J108" s="19"/>
      <c r="K108" s="19"/>
      <c r="L108" s="19"/>
      <c r="M108" s="19"/>
      <c r="N108" s="19"/>
      <c r="O108" s="19"/>
      <c r="P108" s="19"/>
      <c r="Q108" s="19"/>
      <c r="R108" s="517"/>
    </row>
    <row r="109" customFormat="false" ht="12.75" hidden="false" customHeight="true" outlineLevel="0" collapsed="false">
      <c r="A109" s="513"/>
      <c r="B109" s="19"/>
      <c r="C109" s="605" t="s">
        <v>920</v>
      </c>
      <c r="D109" s="699" t="n">
        <f aca="false">'Uplink Budget'!B28</f>
        <v>21875</v>
      </c>
      <c r="E109" s="19"/>
      <c r="F109" s="19"/>
      <c r="G109" s="19"/>
      <c r="H109" s="517"/>
      <c r="I109" s="513" t="s">
        <v>921</v>
      </c>
      <c r="J109" s="19"/>
      <c r="K109" s="605" t="s">
        <v>922</v>
      </c>
      <c r="L109" s="648" t="n">
        <f aca="false">'Downlink Budget'!B60</f>
        <v>9.36816600733357</v>
      </c>
      <c r="M109" s="19"/>
      <c r="N109" s="698" t="s">
        <v>923</v>
      </c>
      <c r="O109" s="650" t="n">
        <f aca="false">'Downlink Budget'!B64</f>
        <v>15.3681660073336</v>
      </c>
      <c r="P109" s="651" t="str">
        <f aca="false">IF(O109&lt;0,"NO LINK !",IF(O109&lt;6,"MARGINAL LINK",IF(O109&gt;6,"LINK CLOSES")))</f>
        <v>LINK CLOSES</v>
      </c>
      <c r="Q109" s="19"/>
      <c r="R109" s="517"/>
    </row>
    <row r="110" customFormat="false" ht="12" hidden="false" customHeight="true" outlineLevel="0" collapsed="false">
      <c r="A110" s="513"/>
      <c r="B110" s="19"/>
      <c r="C110" s="19"/>
      <c r="D110" s="19"/>
      <c r="E110" s="19"/>
      <c r="F110" s="19"/>
      <c r="G110" s="19"/>
      <c r="H110" s="517"/>
      <c r="I110" s="513"/>
      <c r="J110" s="19"/>
      <c r="K110" s="19"/>
      <c r="L110" s="19"/>
      <c r="M110" s="19"/>
      <c r="N110" s="19"/>
      <c r="O110" s="19"/>
      <c r="P110" s="19"/>
      <c r="Q110" s="19"/>
      <c r="R110" s="517"/>
    </row>
    <row r="111" customFormat="false" ht="12" hidden="false" customHeight="true" outlineLevel="0" collapsed="false">
      <c r="A111" s="513"/>
      <c r="B111" s="19"/>
      <c r="C111" s="19"/>
      <c r="D111" s="19"/>
      <c r="E111" s="19"/>
      <c r="F111" s="19"/>
      <c r="G111" s="19"/>
      <c r="H111" s="517"/>
      <c r="I111" s="513"/>
      <c r="J111" s="19"/>
      <c r="K111" s="19"/>
      <c r="L111" s="19"/>
      <c r="M111" s="19"/>
      <c r="N111" s="19"/>
      <c r="O111" s="19"/>
      <c r="P111" s="19"/>
      <c r="Q111" s="19"/>
      <c r="R111" s="517"/>
    </row>
    <row r="112" customFormat="false" ht="12" hidden="false" customHeight="true" outlineLevel="0" collapsed="false">
      <c r="A112" s="513"/>
      <c r="B112" s="19"/>
      <c r="C112" s="19"/>
      <c r="D112" s="19"/>
      <c r="E112" s="19"/>
      <c r="F112" s="19"/>
      <c r="G112" s="19"/>
      <c r="H112" s="517"/>
      <c r="I112" s="513"/>
      <c r="J112" s="19"/>
      <c r="K112" s="19"/>
      <c r="L112" s="19"/>
      <c r="M112" s="19"/>
      <c r="N112" s="19"/>
      <c r="O112" s="19"/>
      <c r="P112" s="19"/>
      <c r="Q112" s="19"/>
      <c r="R112" s="517"/>
    </row>
    <row r="113" customFormat="false" ht="12" hidden="false" customHeight="true" outlineLevel="0" collapsed="false">
      <c r="A113" s="513"/>
      <c r="B113" s="19"/>
      <c r="C113" s="19"/>
      <c r="D113" s="19"/>
      <c r="E113" s="19"/>
      <c r="F113" s="19"/>
      <c r="G113" s="19"/>
      <c r="H113" s="517"/>
      <c r="I113" s="513"/>
      <c r="J113" s="19"/>
      <c r="K113" s="19"/>
      <c r="L113" s="19"/>
      <c r="M113" s="19"/>
      <c r="N113" s="19"/>
      <c r="O113" s="19"/>
      <c r="P113" s="19"/>
      <c r="Q113" s="19"/>
      <c r="R113" s="517"/>
    </row>
    <row r="114" customFormat="false" ht="12" hidden="false" customHeight="true" outlineLevel="0" collapsed="false">
      <c r="A114" s="513"/>
      <c r="B114" s="19"/>
      <c r="C114" s="19"/>
      <c r="D114" s="19"/>
      <c r="E114" s="19"/>
      <c r="F114" s="19"/>
      <c r="G114" s="19"/>
      <c r="H114" s="517"/>
      <c r="I114" s="513"/>
      <c r="J114" s="19"/>
      <c r="K114" s="19"/>
      <c r="L114" s="19"/>
      <c r="M114" s="19"/>
      <c r="N114" s="19"/>
      <c r="O114" s="19" t="s">
        <v>0</v>
      </c>
      <c r="P114" s="19"/>
      <c r="Q114" s="19"/>
      <c r="R114" s="517"/>
    </row>
    <row r="115" customFormat="false" ht="12.75" hidden="false" customHeight="true" outlineLevel="0" collapsed="false">
      <c r="A115" s="527"/>
      <c r="B115" s="107"/>
      <c r="C115" s="107"/>
      <c r="D115" s="107"/>
      <c r="E115" s="107"/>
      <c r="F115" s="107"/>
      <c r="G115" s="107"/>
      <c r="H115" s="528"/>
      <c r="I115" s="527"/>
      <c r="J115" s="107"/>
      <c r="K115" s="107"/>
      <c r="L115" s="107"/>
      <c r="M115" s="107"/>
      <c r="N115" s="107"/>
      <c r="O115" s="107"/>
      <c r="P115" s="107"/>
      <c r="Q115" s="107"/>
      <c r="R115" s="528"/>
    </row>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conditionalFormatting sqref="F5 F7">
    <cfRule type="cellIs" priority="2" operator="lessThan" aboveAverage="0" equalAverage="0" bottom="0" percent="0" rank="0" text="" dxfId="1">
      <formula>0</formula>
    </cfRule>
    <cfRule type="cellIs" priority="3" operator="between" aboveAverage="0" equalAverage="0" bottom="0" percent="0" rank="0" text="" dxfId="4">
      <formula>0.001</formula>
      <formula>6</formula>
    </cfRule>
    <cfRule type="cellIs" priority="4" operator="greaterThan" aboveAverage="0" equalAverage="0" bottom="0" percent="0" rank="0" text="" dxfId="0">
      <formula>6</formula>
    </cfRule>
  </conditionalFormatting>
  <conditionalFormatting sqref="O107 O109">
    <cfRule type="cellIs" priority="5" operator="lessThan" aboveAverage="0" equalAverage="0" bottom="0" percent="0" rank="0" text="" dxfId="1">
      <formula>0</formula>
    </cfRule>
    <cfRule type="cellIs" priority="6" operator="between" aboveAverage="0" equalAverage="0" bottom="0" percent="0" rank="0" text="" dxfId="4">
      <formula>0</formula>
      <formula>6</formula>
    </cfRule>
    <cfRule type="cellIs" priority="7" operator="greaterThan" aboveAverage="0" equalAverage="0" bottom="0" percent="0" rank="0" text="" dxfId="0">
      <formula>6.001</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AC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20.13"/>
    <col collapsed="false" customWidth="true" hidden="false" outlineLevel="0" max="2" min="2" style="1" width="11"/>
    <col collapsed="false" customWidth="true" hidden="false" outlineLevel="0" max="3" min="3" style="1" width="27.13"/>
    <col collapsed="false" customWidth="true" hidden="false" outlineLevel="0" max="4" min="4" style="1" width="18.38"/>
    <col collapsed="false" customWidth="true" hidden="false" outlineLevel="0" max="5" min="5" style="1" width="18.13"/>
    <col collapsed="false" customWidth="true" hidden="false" outlineLevel="0" max="29" min="6" style="1" width="8.88"/>
  </cols>
  <sheetData>
    <row r="1" customFormat="false" ht="18" hidden="false" customHeight="true" outlineLevel="0" collapsed="false">
      <c r="A1" s="39" t="s">
        <v>924</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row>
    <row r="4" customFormat="false" ht="12" hidden="false" customHeight="true" outlineLevel="0" collapsed="false">
      <c r="A4" s="700" t="s">
        <v>925</v>
      </c>
      <c r="B4" s="21"/>
      <c r="C4" s="19"/>
      <c r="D4" s="19" t="s">
        <v>0</v>
      </c>
      <c r="E4" s="19"/>
      <c r="F4" s="19"/>
      <c r="G4" s="19"/>
      <c r="H4" s="19"/>
      <c r="I4" s="19"/>
      <c r="J4" s="19"/>
      <c r="K4" s="19"/>
      <c r="L4" s="19"/>
      <c r="M4" s="19"/>
      <c r="N4" s="19"/>
      <c r="O4" s="19"/>
      <c r="P4" s="19"/>
      <c r="Q4" s="19"/>
      <c r="R4" s="19"/>
      <c r="S4" s="19"/>
      <c r="T4" s="19"/>
      <c r="U4" s="19"/>
      <c r="V4" s="19"/>
      <c r="W4" s="19"/>
      <c r="X4" s="19"/>
      <c r="Y4" s="19"/>
      <c r="Z4" s="19"/>
      <c r="AA4" s="19"/>
      <c r="AB4" s="19"/>
      <c r="AC4" s="19"/>
    </row>
    <row r="5" customFormat="false" ht="12" hidden="false" customHeight="true" outlineLevel="0" collapsed="false">
      <c r="A5" s="21"/>
      <c r="B5" s="21"/>
      <c r="C5" s="19"/>
      <c r="D5" s="19"/>
      <c r="E5" s="19"/>
      <c r="F5" s="19"/>
      <c r="G5" s="19"/>
      <c r="H5" s="19"/>
      <c r="I5" s="19"/>
      <c r="J5" s="19"/>
      <c r="K5" s="19"/>
      <c r="L5" s="19"/>
      <c r="M5" s="19"/>
      <c r="N5" s="19"/>
      <c r="O5" s="19"/>
      <c r="P5" s="19"/>
      <c r="Q5" s="19"/>
      <c r="R5" s="19"/>
      <c r="S5" s="19"/>
      <c r="T5" s="19"/>
      <c r="U5" s="19"/>
      <c r="V5" s="19"/>
      <c r="W5" s="19"/>
      <c r="X5" s="19"/>
      <c r="Y5" s="19"/>
      <c r="Z5" s="19"/>
      <c r="AA5" s="19"/>
      <c r="AB5" s="19"/>
      <c r="AC5" s="19"/>
    </row>
    <row r="6" customFormat="false" ht="12" hidden="false" customHeight="true" outlineLevel="0" collapsed="false">
      <c r="A6" s="22" t="s">
        <v>692</v>
      </c>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row>
    <row r="7" customFormat="false" ht="12" hidden="false" customHeight="true" outlineLevel="0" collapsed="false">
      <c r="A7" s="19"/>
      <c r="B7" s="98"/>
      <c r="C7" s="19"/>
      <c r="D7" s="19"/>
      <c r="E7" s="19"/>
      <c r="F7" s="19"/>
      <c r="G7" s="19"/>
      <c r="H7" s="19"/>
      <c r="I7" s="19"/>
      <c r="J7" s="19"/>
      <c r="K7" s="19"/>
      <c r="L7" s="19"/>
      <c r="M7" s="19"/>
      <c r="N7" s="19"/>
      <c r="O7" s="19"/>
      <c r="P7" s="19"/>
      <c r="Q7" s="19"/>
      <c r="R7" s="19"/>
      <c r="S7" s="19"/>
      <c r="T7" s="19"/>
      <c r="U7" s="19"/>
      <c r="V7" s="19"/>
      <c r="W7" s="19"/>
      <c r="X7" s="19"/>
      <c r="Y7" s="19"/>
      <c r="Z7" s="19"/>
      <c r="AA7" s="19"/>
      <c r="AB7" s="19"/>
      <c r="AC7" s="19"/>
    </row>
    <row r="8" customFormat="false" ht="12.75" hidden="false" customHeight="true" outlineLevel="0" collapsed="false">
      <c r="A8" s="19"/>
      <c r="B8" s="701" t="s">
        <v>926</v>
      </c>
      <c r="C8" s="702" t="s">
        <v>927</v>
      </c>
      <c r="D8" s="703" t="s">
        <v>928</v>
      </c>
      <c r="E8" s="187" t="s">
        <v>0</v>
      </c>
      <c r="F8" s="327"/>
      <c r="G8" s="327"/>
      <c r="H8" s="327"/>
      <c r="I8" s="327"/>
      <c r="J8" s="327"/>
      <c r="K8" s="327"/>
      <c r="L8" s="327"/>
      <c r="M8" s="327"/>
      <c r="N8" s="19"/>
      <c r="O8" s="19"/>
      <c r="P8" s="19"/>
      <c r="Q8" s="19"/>
      <c r="R8" s="19"/>
      <c r="S8" s="19"/>
      <c r="T8" s="19"/>
      <c r="U8" s="19"/>
      <c r="V8" s="19"/>
      <c r="W8" s="19"/>
      <c r="X8" s="19"/>
      <c r="Y8" s="19"/>
      <c r="Z8" s="19"/>
      <c r="AA8" s="19"/>
      <c r="AB8" s="19"/>
      <c r="AC8" s="19"/>
    </row>
    <row r="9" customFormat="false" ht="12" hidden="false" customHeight="true" outlineLevel="0" collapsed="false">
      <c r="A9" s="19"/>
      <c r="B9" s="19"/>
      <c r="C9" s="98" t="n">
        <v>0</v>
      </c>
      <c r="D9" s="128" t="n">
        <f aca="false">IF(C9&lt;100,5.15+10*LOG10(COS(RADIANS(90-C9))),"No Signal")</f>
        <v>-156.980191439424</v>
      </c>
      <c r="E9" s="19"/>
      <c r="F9" s="327"/>
      <c r="G9" s="327"/>
      <c r="H9" s="327"/>
      <c r="I9" s="327"/>
      <c r="J9" s="327"/>
      <c r="K9" s="327"/>
      <c r="L9" s="327"/>
      <c r="M9" s="327"/>
      <c r="N9" s="19"/>
      <c r="O9" s="19"/>
      <c r="P9" s="19"/>
      <c r="Q9" s="19"/>
      <c r="R9" s="19"/>
      <c r="S9" s="19"/>
      <c r="T9" s="19"/>
      <c r="U9" s="19"/>
      <c r="V9" s="19"/>
      <c r="W9" s="19"/>
      <c r="X9" s="19"/>
      <c r="Y9" s="19"/>
      <c r="Z9" s="19"/>
      <c r="AA9" s="19"/>
      <c r="AB9" s="19"/>
      <c r="AC9" s="19"/>
    </row>
    <row r="10" customFormat="false" ht="12" hidden="false" customHeight="true" outlineLevel="0" collapsed="false">
      <c r="A10" s="19"/>
      <c r="B10" s="19"/>
      <c r="C10" s="98" t="n">
        <v>5</v>
      </c>
      <c r="D10" s="128" t="n">
        <f aca="false">IF(C10&lt;100,5.15+10*LOG10(COS(RADIANS(90-C10))),"No Signal")</f>
        <v>-5.44703991669879</v>
      </c>
      <c r="E10" s="19"/>
      <c r="F10" s="327"/>
      <c r="G10" s="327"/>
      <c r="H10" s="327"/>
      <c r="I10" s="327"/>
      <c r="J10" s="327"/>
      <c r="K10" s="327"/>
      <c r="L10" s="327"/>
      <c r="M10" s="327"/>
      <c r="N10" s="19"/>
      <c r="O10" s="19"/>
      <c r="P10" s="19"/>
      <c r="Q10" s="19"/>
      <c r="R10" s="19"/>
      <c r="S10" s="19"/>
      <c r="T10" s="19"/>
      <c r="U10" s="19"/>
      <c r="V10" s="19"/>
      <c r="W10" s="19"/>
      <c r="X10" s="19"/>
      <c r="Y10" s="19"/>
      <c r="Z10" s="19"/>
      <c r="AA10" s="19"/>
      <c r="AB10" s="19"/>
      <c r="AC10" s="19"/>
    </row>
    <row r="11" customFormat="false" ht="12" hidden="false" customHeight="true" outlineLevel="0" collapsed="false">
      <c r="A11" s="19"/>
      <c r="B11" s="19"/>
      <c r="C11" s="98" t="n">
        <v>10</v>
      </c>
      <c r="D11" s="128" t="n">
        <f aca="false">IF(C11&lt;100,5.15+10*LOG10(COS(RADIANS(90-C11))),"No Signal")</f>
        <v>-2.45329769988399</v>
      </c>
      <c r="E11" s="19"/>
      <c r="F11" s="327"/>
      <c r="G11" s="327"/>
      <c r="H11" s="327"/>
      <c r="I11" s="327"/>
      <c r="J11" s="327"/>
      <c r="K11" s="327"/>
      <c r="L11" s="327"/>
      <c r="M11" s="327"/>
      <c r="N11" s="19"/>
      <c r="O11" s="19"/>
      <c r="P11" s="19"/>
      <c r="Q11" s="19"/>
      <c r="R11" s="19"/>
      <c r="S11" s="19"/>
      <c r="T11" s="19"/>
      <c r="U11" s="19"/>
      <c r="V11" s="19"/>
      <c r="W11" s="19"/>
      <c r="X11" s="19"/>
      <c r="Y11" s="19"/>
      <c r="Z11" s="19"/>
      <c r="AA11" s="19"/>
      <c r="AB11" s="19"/>
      <c r="AC11" s="19"/>
    </row>
    <row r="12" customFormat="false" ht="12" hidden="false" customHeight="true" outlineLevel="0" collapsed="false">
      <c r="A12" s="19"/>
      <c r="B12" s="19"/>
      <c r="C12" s="98" t="n">
        <v>15</v>
      </c>
      <c r="D12" s="128" t="n">
        <f aca="false">IF(C12&lt;100,5.15+10*LOG10(COS(RADIANS(90-C12))),"No Signal")</f>
        <v>-0.720037694306608</v>
      </c>
      <c r="E12" s="19"/>
      <c r="F12" s="327"/>
      <c r="G12" s="327"/>
      <c r="H12" s="327"/>
      <c r="I12" s="327"/>
      <c r="J12" s="327"/>
      <c r="K12" s="327"/>
      <c r="L12" s="327"/>
      <c r="M12" s="327"/>
      <c r="N12" s="19"/>
      <c r="O12" s="19"/>
      <c r="P12" s="19"/>
      <c r="Q12" s="19"/>
      <c r="R12" s="19"/>
      <c r="S12" s="19"/>
      <c r="T12" s="19"/>
      <c r="U12" s="19"/>
      <c r="V12" s="19"/>
      <c r="W12" s="19"/>
      <c r="X12" s="19"/>
      <c r="Y12" s="19"/>
      <c r="Z12" s="19"/>
      <c r="AA12" s="19"/>
      <c r="AB12" s="19"/>
      <c r="AC12" s="19"/>
    </row>
    <row r="13" customFormat="false" ht="12" hidden="false" customHeight="true" outlineLevel="0" collapsed="false">
      <c r="A13" s="19"/>
      <c r="B13" s="19"/>
      <c r="C13" s="98" t="n">
        <v>20</v>
      </c>
      <c r="D13" s="128" t="n">
        <f aca="false">IF(C13&lt;100,5.15+10*LOG10(COS(RADIANS(90-C13))),"No Signal")</f>
        <v>0.490516846455174</v>
      </c>
      <c r="E13" s="19"/>
      <c r="F13" s="327"/>
      <c r="G13" s="327"/>
      <c r="H13" s="327"/>
      <c r="I13" s="327"/>
      <c r="J13" s="327"/>
      <c r="K13" s="327"/>
      <c r="L13" s="327"/>
      <c r="M13" s="327"/>
      <c r="N13" s="19"/>
      <c r="O13" s="19"/>
      <c r="P13" s="19"/>
      <c r="Q13" s="19"/>
      <c r="R13" s="19"/>
      <c r="S13" s="19"/>
      <c r="T13" s="19"/>
      <c r="U13" s="19"/>
      <c r="V13" s="19"/>
      <c r="W13" s="19"/>
      <c r="X13" s="19"/>
      <c r="Y13" s="19"/>
      <c r="Z13" s="19"/>
      <c r="AA13" s="19"/>
      <c r="AB13" s="19"/>
      <c r="AC13" s="19"/>
    </row>
    <row r="14" customFormat="false" ht="12" hidden="false" customHeight="true" outlineLevel="0" collapsed="false">
      <c r="A14" s="19"/>
      <c r="B14" s="19"/>
      <c r="C14" s="98" t="n">
        <v>25</v>
      </c>
      <c r="D14" s="128" t="n">
        <f aca="false">IF(C14&lt;100,5.15+10*LOG10(COS(RADIANS(90-C14))),"No Signal")</f>
        <v>1.4094825940314</v>
      </c>
      <c r="E14" s="19"/>
      <c r="F14" s="327"/>
      <c r="G14" s="327"/>
      <c r="H14" s="327"/>
      <c r="I14" s="327"/>
      <c r="J14" s="327"/>
      <c r="K14" s="327"/>
      <c r="L14" s="327"/>
      <c r="M14" s="327"/>
      <c r="N14" s="19"/>
      <c r="O14" s="19"/>
      <c r="P14" s="19"/>
      <c r="Q14" s="19"/>
      <c r="R14" s="19"/>
      <c r="S14" s="19"/>
      <c r="T14" s="19"/>
      <c r="U14" s="19"/>
      <c r="V14" s="19"/>
      <c r="W14" s="19"/>
      <c r="X14" s="19"/>
      <c r="Y14" s="19"/>
      <c r="Z14" s="19"/>
      <c r="AA14" s="19"/>
      <c r="AB14" s="19"/>
      <c r="AC14" s="19"/>
    </row>
    <row r="15" customFormat="false" ht="12" hidden="false" customHeight="true" outlineLevel="0" collapsed="false">
      <c r="A15" s="19"/>
      <c r="B15" s="19"/>
      <c r="C15" s="98" t="n">
        <v>30</v>
      </c>
      <c r="D15" s="128" t="n">
        <f aca="false">IF(C15&lt;100,5.15+10*LOG10(COS(RADIANS(90-C15))),"No Signal")</f>
        <v>2.13970004336019</v>
      </c>
      <c r="E15" s="19"/>
      <c r="F15" s="327"/>
      <c r="G15" s="327"/>
      <c r="H15" s="327"/>
      <c r="I15" s="327"/>
      <c r="J15" s="327"/>
      <c r="K15" s="327"/>
      <c r="L15" s="327"/>
      <c r="M15" s="327"/>
      <c r="N15" s="19"/>
      <c r="O15" s="19"/>
      <c r="P15" s="19"/>
      <c r="Q15" s="19"/>
      <c r="R15" s="19"/>
      <c r="S15" s="19"/>
      <c r="T15" s="19"/>
      <c r="U15" s="19"/>
      <c r="V15" s="19"/>
      <c r="W15" s="19"/>
      <c r="X15" s="19"/>
      <c r="Y15" s="19"/>
      <c r="Z15" s="19"/>
      <c r="AA15" s="19"/>
      <c r="AB15" s="19"/>
      <c r="AC15" s="19"/>
    </row>
    <row r="16" customFormat="false" ht="12" hidden="false" customHeight="true" outlineLevel="0" collapsed="false">
      <c r="A16" s="19"/>
      <c r="B16" s="19"/>
      <c r="C16" s="98" t="n">
        <v>35</v>
      </c>
      <c r="D16" s="128" t="n">
        <f aca="false">IF(C16&lt;100,5.15+10*LOG10(COS(RADIANS(90-C16))),"No Signal")</f>
        <v>2.73591301354097</v>
      </c>
      <c r="E16" s="19"/>
      <c r="F16" s="327"/>
      <c r="G16" s="327"/>
      <c r="H16" s="327"/>
      <c r="I16" s="327"/>
      <c r="J16" s="327"/>
      <c r="K16" s="327"/>
      <c r="L16" s="327"/>
      <c r="M16" s="327"/>
      <c r="N16" s="19"/>
      <c r="O16" s="19"/>
      <c r="P16" s="19"/>
      <c r="Q16" s="19"/>
      <c r="R16" s="19"/>
      <c r="S16" s="19"/>
      <c r="T16" s="19"/>
      <c r="U16" s="19"/>
      <c r="V16" s="19"/>
      <c r="W16" s="19"/>
      <c r="X16" s="19"/>
      <c r="Y16" s="19"/>
      <c r="Z16" s="19"/>
      <c r="AA16" s="19"/>
      <c r="AB16" s="19"/>
      <c r="AC16" s="19"/>
    </row>
    <row r="17" customFormat="false" ht="12" hidden="false" customHeight="true" outlineLevel="0" collapsed="false">
      <c r="A17" s="19"/>
      <c r="B17" s="19"/>
      <c r="C17" s="98" t="n">
        <v>40</v>
      </c>
      <c r="D17" s="128" t="n">
        <f aca="false">IF(C17&lt;100,5.15+10*LOG10(COS(RADIANS(90-C17))),"No Signal")</f>
        <v>3.23067496752435</v>
      </c>
      <c r="E17" s="19"/>
      <c r="F17" s="327"/>
      <c r="G17" s="327"/>
      <c r="H17" s="327"/>
      <c r="I17" s="327"/>
      <c r="J17" s="327"/>
      <c r="K17" s="327"/>
      <c r="L17" s="327"/>
      <c r="M17" s="327"/>
      <c r="N17" s="19"/>
      <c r="O17" s="19"/>
      <c r="P17" s="19"/>
      <c r="Q17" s="19"/>
      <c r="R17" s="19"/>
      <c r="S17" s="19"/>
      <c r="T17" s="19"/>
      <c r="U17" s="19"/>
      <c r="V17" s="19"/>
      <c r="W17" s="19"/>
      <c r="X17" s="19"/>
      <c r="Y17" s="19"/>
      <c r="Z17" s="19"/>
      <c r="AA17" s="19"/>
      <c r="AB17" s="19"/>
      <c r="AC17" s="19"/>
    </row>
    <row r="18" customFormat="false" ht="12" hidden="false" customHeight="true" outlineLevel="0" collapsed="false">
      <c r="A18" s="19"/>
      <c r="B18" s="19"/>
      <c r="C18" s="98" t="n">
        <v>45</v>
      </c>
      <c r="D18" s="128" t="n">
        <f aca="false">IF(C18&lt;100,5.15+10*LOG10(COS(RADIANS(90-C18))),"No Signal")</f>
        <v>3.64485002168009</v>
      </c>
      <c r="E18" s="19"/>
      <c r="F18" s="327"/>
      <c r="G18" s="327"/>
      <c r="H18" s="327"/>
      <c r="I18" s="327" t="s">
        <v>929</v>
      </c>
      <c r="J18" s="327"/>
      <c r="K18" s="327"/>
      <c r="L18" s="327"/>
      <c r="M18" s="327"/>
      <c r="N18" s="19"/>
      <c r="O18" s="19"/>
      <c r="P18" s="19"/>
      <c r="Q18" s="19"/>
      <c r="R18" s="19"/>
      <c r="S18" s="19"/>
      <c r="T18" s="19"/>
      <c r="U18" s="19"/>
      <c r="V18" s="19"/>
      <c r="W18" s="19"/>
      <c r="X18" s="19"/>
      <c r="Y18" s="19"/>
      <c r="Z18" s="19"/>
      <c r="AA18" s="19"/>
      <c r="AB18" s="19"/>
      <c r="AC18" s="19"/>
    </row>
    <row r="19" customFormat="false" ht="12" hidden="false" customHeight="true" outlineLevel="0" collapsed="false">
      <c r="A19" s="19"/>
      <c r="B19" s="19"/>
      <c r="C19" s="98" t="n">
        <v>50</v>
      </c>
      <c r="D19" s="128" t="n">
        <f aca="false">IF(C19&lt;100,5.15+10*LOG10(COS(RADIANS(90-C19))),"No Signal")</f>
        <v>3.9925396655352</v>
      </c>
      <c r="E19" s="19"/>
      <c r="F19" s="327"/>
      <c r="G19" s="327"/>
      <c r="H19" s="327"/>
      <c r="I19" s="327"/>
      <c r="J19" s="327" t="s">
        <v>930</v>
      </c>
      <c r="K19" s="327"/>
      <c r="L19" s="327"/>
      <c r="M19" s="327"/>
      <c r="N19" s="19"/>
      <c r="O19" s="19"/>
      <c r="P19" s="19"/>
      <c r="Q19" s="19"/>
      <c r="R19" s="19"/>
      <c r="S19" s="19"/>
      <c r="T19" s="19"/>
      <c r="U19" s="19"/>
      <c r="V19" s="19"/>
      <c r="W19" s="19"/>
      <c r="X19" s="19"/>
      <c r="Y19" s="19"/>
      <c r="Z19" s="19"/>
      <c r="AA19" s="19"/>
      <c r="AB19" s="19"/>
      <c r="AC19" s="19"/>
    </row>
    <row r="20" customFormat="false" ht="12" hidden="false" customHeight="true" outlineLevel="0" collapsed="false">
      <c r="A20" s="19"/>
      <c r="B20" s="19"/>
      <c r="C20" s="98" t="n">
        <v>55</v>
      </c>
      <c r="D20" s="128" t="n">
        <f aca="false">IF(C20&lt;100,5.15+10*LOG10(COS(RADIANS(90-C20))),"No Signal")</f>
        <v>4.28364519424858</v>
      </c>
      <c r="E20" s="19"/>
      <c r="F20" s="327"/>
      <c r="G20" s="327"/>
      <c r="H20" s="327"/>
      <c r="I20" s="327"/>
      <c r="J20" s="327"/>
      <c r="K20" s="327"/>
      <c r="L20" s="327"/>
      <c r="M20" s="327"/>
      <c r="N20" s="19"/>
      <c r="O20" s="19"/>
      <c r="P20" s="19"/>
      <c r="Q20" s="19"/>
      <c r="R20" s="19"/>
      <c r="S20" s="19"/>
      <c r="T20" s="19"/>
      <c r="U20" s="19"/>
      <c r="V20" s="19"/>
      <c r="W20" s="19"/>
      <c r="X20" s="19"/>
      <c r="Y20" s="19"/>
      <c r="Z20" s="19"/>
      <c r="AA20" s="19"/>
      <c r="AB20" s="19"/>
      <c r="AC20" s="19"/>
    </row>
    <row r="21" customFormat="false" ht="12" hidden="false" customHeight="true" outlineLevel="0" collapsed="false">
      <c r="A21" s="19"/>
      <c r="B21" s="19"/>
      <c r="C21" s="98" t="n">
        <v>60</v>
      </c>
      <c r="D21" s="128" t="n">
        <f aca="false">IF(C21&lt;100,5.15+10*LOG10(COS(RADIANS(90-C21))),"No Signal")</f>
        <v>4.5253063169585</v>
      </c>
      <c r="E21" s="19" t="s">
        <v>0</v>
      </c>
      <c r="F21" s="327"/>
      <c r="G21" s="327"/>
      <c r="H21" s="327"/>
      <c r="I21" s="327"/>
      <c r="J21" s="327"/>
      <c r="K21" s="327"/>
      <c r="L21" s="327"/>
      <c r="M21" s="327"/>
      <c r="N21" s="19"/>
      <c r="O21" s="19"/>
      <c r="P21" s="19"/>
      <c r="Q21" s="19"/>
      <c r="R21" s="19"/>
      <c r="S21" s="19"/>
      <c r="T21" s="19"/>
      <c r="U21" s="19"/>
      <c r="V21" s="19"/>
      <c r="W21" s="19"/>
      <c r="X21" s="19"/>
      <c r="Y21" s="19"/>
      <c r="Z21" s="19"/>
      <c r="AA21" s="19"/>
      <c r="AB21" s="19"/>
      <c r="AC21" s="19"/>
    </row>
    <row r="22" customFormat="false" ht="12" hidden="false" customHeight="true" outlineLevel="0" collapsed="false">
      <c r="A22" s="19"/>
      <c r="B22" s="19"/>
      <c r="C22" s="98" t="n">
        <v>65</v>
      </c>
      <c r="D22" s="128" t="n">
        <f aca="false">IF(C22&lt;100,5.15+10*LOG10(COS(RADIANS(90-C22))),"No Signal")</f>
        <v>4.72275711486399</v>
      </c>
      <c r="E22" s="19"/>
      <c r="F22" s="327"/>
      <c r="G22" s="327"/>
      <c r="H22" s="327"/>
      <c r="I22" s="327"/>
      <c r="J22" s="327"/>
      <c r="K22" s="327"/>
      <c r="L22" s="327"/>
      <c r="M22" s="327"/>
      <c r="N22" s="19"/>
      <c r="O22" s="19"/>
      <c r="P22" s="19"/>
      <c r="Q22" s="19"/>
      <c r="R22" s="19"/>
      <c r="S22" s="19"/>
      <c r="T22" s="19"/>
      <c r="U22" s="19"/>
      <c r="V22" s="19"/>
      <c r="W22" s="19"/>
      <c r="X22" s="19"/>
      <c r="Y22" s="19"/>
      <c r="Z22" s="19"/>
      <c r="AA22" s="19"/>
      <c r="AB22" s="19"/>
      <c r="AC22" s="19"/>
    </row>
    <row r="23" customFormat="false" ht="12" hidden="false" customHeight="true" outlineLevel="0" collapsed="false">
      <c r="A23" s="19"/>
      <c r="B23" s="19"/>
      <c r="C23" s="98" t="n">
        <v>70</v>
      </c>
      <c r="D23" s="128" t="n">
        <f aca="false">IF(C23&lt;100,5.15+10*LOG10(COS(RADIANS(90-C23))),"No Signal")</f>
        <v>4.87985816442937</v>
      </c>
      <c r="E23" s="19"/>
      <c r="F23" s="327"/>
      <c r="G23" s="327"/>
      <c r="H23" s="327"/>
      <c r="I23" s="327"/>
      <c r="J23" s="327"/>
      <c r="K23" s="327"/>
      <c r="L23" s="327"/>
      <c r="M23" s="327"/>
      <c r="N23" s="19"/>
      <c r="O23" s="19"/>
      <c r="P23" s="19"/>
      <c r="Q23" s="19"/>
      <c r="R23" s="19"/>
      <c r="S23" s="19"/>
      <c r="T23" s="19"/>
      <c r="U23" s="19"/>
      <c r="V23" s="19"/>
      <c r="W23" s="19"/>
      <c r="X23" s="19"/>
      <c r="Y23" s="19"/>
      <c r="Z23" s="19"/>
      <c r="AA23" s="19"/>
      <c r="AB23" s="19"/>
      <c r="AC23" s="19"/>
    </row>
    <row r="24" customFormat="false" ht="12" hidden="false" customHeight="true" outlineLevel="0" collapsed="false">
      <c r="A24" s="19"/>
      <c r="B24" s="19"/>
      <c r="C24" s="98" t="n">
        <v>75</v>
      </c>
      <c r="D24" s="128" t="n">
        <f aca="false">IF(C24&lt;100,5.15+10*LOG10(COS(RADIANS(90-C24))),"No Signal")</f>
        <v>4.99943778102699</v>
      </c>
      <c r="E24" s="19"/>
      <c r="F24" s="327"/>
      <c r="G24" s="327"/>
      <c r="H24" s="327"/>
      <c r="I24" s="327"/>
      <c r="J24" s="327"/>
      <c r="K24" s="327"/>
      <c r="L24" s="327"/>
      <c r="M24" s="327"/>
      <c r="N24" s="19"/>
      <c r="O24" s="19"/>
      <c r="P24" s="19"/>
      <c r="Q24" s="19"/>
      <c r="R24" s="19"/>
      <c r="S24" s="19"/>
      <c r="T24" s="19"/>
      <c r="U24" s="19"/>
      <c r="V24" s="19"/>
      <c r="W24" s="19"/>
      <c r="X24" s="19"/>
      <c r="Y24" s="19"/>
      <c r="Z24" s="19"/>
      <c r="AA24" s="19"/>
      <c r="AB24" s="19"/>
      <c r="AC24" s="19"/>
    </row>
    <row r="25" customFormat="false" ht="12" hidden="false" customHeight="true" outlineLevel="0" collapsed="false">
      <c r="A25" s="19"/>
      <c r="B25" s="19"/>
      <c r="C25" s="98" t="n">
        <v>80</v>
      </c>
      <c r="D25" s="128" t="n">
        <f aca="false">IF(C25&lt;100,5.15+10*LOG10(COS(RADIANS(90-C25))),"No Signal")</f>
        <v>5.08351458969936</v>
      </c>
      <c r="E25" s="19"/>
      <c r="F25" s="327"/>
      <c r="G25" s="327"/>
      <c r="H25" s="327"/>
      <c r="I25" s="327"/>
      <c r="J25" s="327"/>
      <c r="K25" s="327"/>
      <c r="L25" s="327"/>
      <c r="M25" s="327"/>
      <c r="N25" s="19"/>
      <c r="O25" s="19"/>
      <c r="P25" s="19"/>
      <c r="Q25" s="19"/>
      <c r="R25" s="19"/>
      <c r="S25" s="19"/>
      <c r="T25" s="19"/>
      <c r="U25" s="19"/>
      <c r="V25" s="19"/>
      <c r="W25" s="19"/>
      <c r="X25" s="19"/>
      <c r="Y25" s="19"/>
      <c r="Z25" s="19"/>
      <c r="AA25" s="19"/>
      <c r="AB25" s="19"/>
      <c r="AC25" s="19"/>
    </row>
    <row r="26" customFormat="false" ht="12" hidden="false" customHeight="true" outlineLevel="0" collapsed="false">
      <c r="A26" s="19"/>
      <c r="B26" s="19"/>
      <c r="C26" s="98" t="n">
        <v>85</v>
      </c>
      <c r="D26" s="128" t="n">
        <f aca="false">IF(C26&lt;100,5.15+10*LOG10(COS(RADIANS(90-C26))),"No Signal")</f>
        <v>5.13344226017499</v>
      </c>
      <c r="E26" s="19"/>
      <c r="F26" s="327"/>
      <c r="G26" s="327"/>
      <c r="H26" s="327"/>
      <c r="I26" s="327"/>
      <c r="J26" s="327"/>
      <c r="K26" s="327"/>
      <c r="L26" s="327"/>
      <c r="M26" s="327"/>
      <c r="N26" s="19"/>
      <c r="O26" s="19"/>
      <c r="P26" s="19"/>
      <c r="Q26" s="19"/>
      <c r="R26" s="19"/>
      <c r="S26" s="19"/>
      <c r="T26" s="19"/>
      <c r="U26" s="19"/>
      <c r="V26" s="19"/>
      <c r="W26" s="19"/>
      <c r="X26" s="19"/>
      <c r="Y26" s="19"/>
      <c r="Z26" s="19"/>
      <c r="AA26" s="19"/>
      <c r="AB26" s="19"/>
      <c r="AC26" s="19"/>
    </row>
    <row r="27" customFormat="false" ht="12" hidden="false" customHeight="true" outlineLevel="0" collapsed="false">
      <c r="A27" s="19"/>
      <c r="B27" s="19"/>
      <c r="C27" s="98" t="n">
        <v>90</v>
      </c>
      <c r="D27" s="128" t="n">
        <f aca="false">IF(C27&lt;100,5.15+10*LOG10(COS(RADIANS(90-C27))),"No Signal")</f>
        <v>5.15</v>
      </c>
      <c r="E27" s="19"/>
      <c r="F27" s="327"/>
      <c r="G27" s="327"/>
      <c r="H27" s="327"/>
      <c r="I27" s="327"/>
      <c r="J27" s="327"/>
      <c r="K27" s="327"/>
      <c r="L27" s="327"/>
      <c r="M27" s="327"/>
      <c r="N27" s="19"/>
      <c r="O27" s="19"/>
      <c r="P27" s="19"/>
      <c r="Q27" s="19"/>
      <c r="R27" s="19"/>
      <c r="S27" s="19"/>
      <c r="T27" s="19"/>
      <c r="U27" s="19"/>
      <c r="V27" s="19"/>
      <c r="W27" s="19"/>
      <c r="X27" s="19"/>
      <c r="Y27" s="19"/>
      <c r="Z27" s="19"/>
      <c r="AA27" s="19"/>
      <c r="AB27" s="19"/>
      <c r="AC27" s="19"/>
    </row>
    <row r="28" customFormat="false" ht="12" hidden="false" customHeight="true" outlineLevel="0" collapsed="false">
      <c r="A28" s="19"/>
      <c r="B28" s="19"/>
      <c r="C28" s="98" t="n">
        <v>92.5</v>
      </c>
      <c r="D28" s="128" t="n">
        <v>0</v>
      </c>
      <c r="E28" s="19"/>
      <c r="F28" s="327"/>
      <c r="G28" s="327"/>
      <c r="H28" s="327"/>
      <c r="I28" s="327"/>
      <c r="J28" s="327"/>
      <c r="K28" s="327"/>
      <c r="L28" s="327"/>
      <c r="M28" s="327"/>
      <c r="N28" s="19"/>
      <c r="O28" s="19"/>
      <c r="P28" s="19"/>
      <c r="Q28" s="19"/>
      <c r="R28" s="19"/>
      <c r="S28" s="19"/>
      <c r="T28" s="19"/>
      <c r="U28" s="19"/>
      <c r="V28" s="19"/>
      <c r="W28" s="19"/>
      <c r="X28" s="19"/>
      <c r="Y28" s="19"/>
      <c r="Z28" s="19"/>
      <c r="AA28" s="19"/>
      <c r="AB28" s="19"/>
      <c r="AC28" s="19"/>
    </row>
    <row r="29" customFormat="false" ht="12" hidden="false" customHeight="true" outlineLevel="0" collapsed="false">
      <c r="A29" s="19"/>
      <c r="B29" s="19"/>
      <c r="C29" s="98" t="n">
        <v>95</v>
      </c>
      <c r="D29" s="128" t="n">
        <v>-20</v>
      </c>
      <c r="E29" s="19"/>
      <c r="F29" s="327"/>
      <c r="G29" s="327"/>
      <c r="H29" s="327"/>
      <c r="I29" s="327"/>
      <c r="J29" s="327"/>
      <c r="K29" s="327"/>
      <c r="L29" s="327"/>
      <c r="M29" s="327"/>
      <c r="N29" s="19"/>
      <c r="O29" s="19"/>
      <c r="P29" s="19"/>
      <c r="Q29" s="19"/>
      <c r="R29" s="19"/>
      <c r="S29" s="19"/>
      <c r="T29" s="19"/>
      <c r="U29" s="19"/>
      <c r="V29" s="19"/>
      <c r="W29" s="19"/>
      <c r="X29" s="19"/>
      <c r="Y29" s="19"/>
      <c r="Z29" s="19"/>
      <c r="AA29" s="19"/>
      <c r="AB29" s="19"/>
      <c r="AC29" s="19"/>
    </row>
    <row r="30" customFormat="false" ht="12" hidden="false" customHeight="true" outlineLevel="0" collapsed="false">
      <c r="A30" s="19"/>
      <c r="B30" s="19"/>
      <c r="C30" s="98" t="n">
        <v>97.5</v>
      </c>
      <c r="D30" s="128" t="n">
        <v>-60</v>
      </c>
      <c r="E30" s="19"/>
      <c r="F30" s="327"/>
      <c r="G30" s="327"/>
      <c r="H30" s="327"/>
      <c r="I30" s="327"/>
      <c r="J30" s="327"/>
      <c r="K30" s="327"/>
      <c r="L30" s="327"/>
      <c r="M30" s="327"/>
      <c r="N30" s="19"/>
      <c r="O30" s="19"/>
      <c r="P30" s="19"/>
      <c r="Q30" s="19"/>
      <c r="R30" s="19"/>
      <c r="S30" s="19"/>
      <c r="T30" s="19"/>
      <c r="U30" s="19"/>
      <c r="V30" s="19"/>
      <c r="W30" s="19"/>
      <c r="X30" s="19"/>
      <c r="Y30" s="19"/>
      <c r="Z30" s="19"/>
      <c r="AA30" s="19"/>
      <c r="AB30" s="19"/>
      <c r="AC30" s="19"/>
    </row>
    <row r="31" customFormat="false" ht="12" hidden="false" customHeight="true" outlineLevel="0" collapsed="false">
      <c r="A31" s="19"/>
      <c r="B31" s="19"/>
      <c r="C31" s="98" t="n">
        <v>100</v>
      </c>
      <c r="D31" s="128" t="n">
        <v>-160</v>
      </c>
      <c r="E31" s="19"/>
      <c r="F31" s="327"/>
      <c r="G31" s="327"/>
      <c r="H31" s="327"/>
      <c r="I31" s="327"/>
      <c r="J31" s="327"/>
      <c r="K31" s="327"/>
      <c r="L31" s="327"/>
      <c r="M31" s="327"/>
      <c r="N31" s="19"/>
      <c r="O31" s="19"/>
      <c r="P31" s="19"/>
      <c r="Q31" s="19"/>
      <c r="R31" s="19"/>
      <c r="S31" s="19"/>
      <c r="T31" s="19"/>
      <c r="U31" s="19"/>
      <c r="V31" s="19"/>
      <c r="W31" s="19"/>
      <c r="X31" s="19"/>
      <c r="Y31" s="19"/>
      <c r="Z31" s="19"/>
      <c r="AA31" s="19"/>
      <c r="AB31" s="19"/>
      <c r="AC31" s="19"/>
    </row>
    <row r="32" customFormat="false" ht="12" hidden="false" customHeight="true" outlineLevel="0" collapsed="false">
      <c r="A32" s="19"/>
      <c r="B32" s="19"/>
      <c r="C32" s="98" t="n">
        <v>110</v>
      </c>
      <c r="D32" s="128" t="s">
        <v>931</v>
      </c>
      <c r="E32" s="19"/>
      <c r="F32" s="327"/>
      <c r="G32" s="327"/>
      <c r="H32" s="327"/>
      <c r="I32" s="327"/>
      <c r="J32" s="327"/>
      <c r="K32" s="327"/>
      <c r="L32" s="327"/>
      <c r="M32" s="327"/>
      <c r="N32" s="19"/>
      <c r="O32" s="19"/>
      <c r="P32" s="19"/>
      <c r="Q32" s="19"/>
      <c r="R32" s="19"/>
      <c r="S32" s="19"/>
      <c r="T32" s="19"/>
      <c r="U32" s="19"/>
      <c r="V32" s="19"/>
      <c r="W32" s="19"/>
      <c r="X32" s="19"/>
      <c r="Y32" s="19"/>
      <c r="Z32" s="19"/>
      <c r="AA32" s="19"/>
      <c r="AB32" s="19"/>
      <c r="AC32" s="19"/>
    </row>
    <row r="33" customFormat="false" ht="12" hidden="false" customHeight="true" outlineLevel="0" collapsed="false">
      <c r="A33" s="19"/>
      <c r="B33" s="19"/>
      <c r="C33" s="98"/>
      <c r="D33" s="128"/>
      <c r="E33" s="19"/>
      <c r="F33" s="327"/>
      <c r="G33" s="327"/>
      <c r="H33" s="327"/>
      <c r="I33" s="327"/>
      <c r="J33" s="327"/>
      <c r="K33" s="327"/>
      <c r="L33" s="327"/>
      <c r="M33" s="327"/>
      <c r="N33" s="19"/>
      <c r="O33" s="19"/>
      <c r="P33" s="19"/>
      <c r="Q33" s="19"/>
      <c r="R33" s="19"/>
      <c r="S33" s="19"/>
      <c r="T33" s="19"/>
      <c r="U33" s="19"/>
      <c r="V33" s="19"/>
      <c r="W33" s="19"/>
      <c r="X33" s="19"/>
      <c r="Y33" s="19"/>
      <c r="Z33" s="19"/>
      <c r="AA33" s="19"/>
      <c r="AB33" s="19"/>
      <c r="AC33" s="19"/>
    </row>
    <row r="34" customFormat="false" ht="12" hidden="false" customHeight="true" outlineLevel="0" collapsed="false">
      <c r="A34" s="19"/>
      <c r="B34" s="19"/>
      <c r="C34" s="98"/>
      <c r="D34" s="128"/>
      <c r="E34" s="19"/>
      <c r="F34" s="327"/>
      <c r="G34" s="327"/>
      <c r="H34" s="327"/>
      <c r="I34" s="327"/>
      <c r="J34" s="327"/>
      <c r="K34" s="327"/>
      <c r="L34" s="327"/>
      <c r="M34" s="327"/>
      <c r="N34" s="19"/>
      <c r="O34" s="19"/>
      <c r="P34" s="19"/>
      <c r="Q34" s="19"/>
      <c r="R34" s="19"/>
      <c r="S34" s="19"/>
      <c r="T34" s="19"/>
      <c r="U34" s="19"/>
      <c r="V34" s="19"/>
      <c r="W34" s="19"/>
      <c r="X34" s="19"/>
      <c r="Y34" s="19"/>
      <c r="Z34" s="19"/>
      <c r="AA34" s="19"/>
      <c r="AB34" s="19"/>
      <c r="AC34" s="19"/>
    </row>
    <row r="35" customFormat="false" ht="12" hidden="false" customHeight="true" outlineLevel="0" collapsed="false">
      <c r="A35" s="19"/>
      <c r="B35" s="19"/>
      <c r="C35" s="98"/>
      <c r="D35" s="128"/>
      <c r="E35" s="19"/>
      <c r="F35" s="19"/>
      <c r="G35" s="19"/>
      <c r="H35" s="19"/>
      <c r="I35" s="19"/>
      <c r="J35" s="19"/>
      <c r="K35" s="19"/>
      <c r="L35" s="19"/>
      <c r="M35" s="19"/>
      <c r="N35" s="19"/>
      <c r="O35" s="19"/>
      <c r="P35" s="19"/>
      <c r="Q35" s="19"/>
      <c r="R35" s="19"/>
      <c r="S35" s="19"/>
      <c r="T35" s="19"/>
      <c r="U35" s="19"/>
      <c r="V35" s="19"/>
      <c r="W35" s="19"/>
      <c r="X35" s="19"/>
      <c r="Y35" s="19"/>
      <c r="Z35" s="19"/>
      <c r="AA35" s="19"/>
      <c r="AB35" s="19"/>
      <c r="AC35" s="19"/>
    </row>
    <row r="36" customFormat="false" ht="12" hidden="false" customHeight="true" outlineLevel="0" collapsed="false">
      <c r="A36" s="19"/>
      <c r="B36" s="19"/>
      <c r="C36" s="98"/>
      <c r="D36" s="128"/>
      <c r="E36" s="19"/>
      <c r="F36" s="19"/>
      <c r="G36" s="19"/>
      <c r="H36" s="19"/>
      <c r="I36" s="19"/>
      <c r="J36" s="19"/>
      <c r="K36" s="19"/>
      <c r="L36" s="21" t="s">
        <v>932</v>
      </c>
      <c r="M36" s="21"/>
      <c r="N36" s="19"/>
      <c r="O36" s="19"/>
      <c r="P36" s="19"/>
      <c r="Q36" s="19"/>
      <c r="R36" s="19"/>
      <c r="S36" s="19"/>
      <c r="T36" s="19"/>
      <c r="U36" s="19"/>
      <c r="V36" s="19"/>
      <c r="W36" s="19"/>
      <c r="X36" s="19"/>
      <c r="Y36" s="19"/>
      <c r="Z36" s="19"/>
      <c r="AA36" s="19"/>
      <c r="AB36" s="19"/>
      <c r="AC36" s="19"/>
    </row>
    <row r="37" customFormat="false" ht="12" hidden="false" customHeight="true" outlineLevel="0" collapsed="false">
      <c r="A37" s="19"/>
      <c r="B37" s="19"/>
      <c r="C37" s="98"/>
      <c r="D37" s="128"/>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customFormat="false" ht="12" hidden="false" customHeight="true" outlineLevel="0" collapsed="false">
      <c r="A38" s="19"/>
      <c r="B38" s="19"/>
      <c r="C38" s="98"/>
      <c r="D38" s="128"/>
      <c r="E38" s="19"/>
      <c r="F38" s="19" t="s">
        <v>933</v>
      </c>
      <c r="G38" s="19"/>
      <c r="H38" s="19" t="n">
        <v>5.15</v>
      </c>
      <c r="I38" s="19" t="s">
        <v>514</v>
      </c>
      <c r="J38" s="19"/>
      <c r="K38" s="19"/>
      <c r="L38" s="19"/>
      <c r="M38" s="19"/>
      <c r="N38" s="19"/>
      <c r="O38" s="19"/>
      <c r="P38" s="19"/>
      <c r="Q38" s="19"/>
      <c r="R38" s="19"/>
      <c r="S38" s="19"/>
      <c r="T38" s="19"/>
      <c r="U38" s="19"/>
      <c r="V38" s="19"/>
      <c r="W38" s="19"/>
      <c r="X38" s="19"/>
      <c r="Y38" s="19"/>
      <c r="Z38" s="19"/>
      <c r="AA38" s="19"/>
      <c r="AB38" s="19"/>
      <c r="AC38" s="19"/>
    </row>
    <row r="39" customFormat="false" ht="12" hidden="false" customHeight="true" outlineLevel="0" collapsed="false">
      <c r="A39" s="19"/>
      <c r="B39" s="19"/>
      <c r="C39" s="98"/>
      <c r="D39" s="128"/>
      <c r="E39" s="19"/>
      <c r="F39" s="19"/>
      <c r="G39" s="19"/>
      <c r="H39" s="19"/>
      <c r="I39" s="19"/>
      <c r="J39" s="19"/>
      <c r="K39" s="19"/>
      <c r="L39" s="19"/>
      <c r="M39" s="19"/>
      <c r="N39" s="19"/>
      <c r="O39" s="19"/>
      <c r="P39" s="19"/>
      <c r="Q39" s="19"/>
      <c r="R39" s="19"/>
      <c r="S39" s="19"/>
      <c r="T39" s="19"/>
      <c r="U39" s="19"/>
      <c r="V39" s="19"/>
      <c r="W39" s="19"/>
      <c r="X39" s="19"/>
      <c r="Y39" s="19"/>
      <c r="Z39" s="19"/>
      <c r="AA39" s="19"/>
      <c r="AB39" s="19"/>
      <c r="AC39" s="19"/>
    </row>
    <row r="40" customFormat="false" ht="12" hidden="false" customHeight="true" outlineLevel="0" collapsed="false">
      <c r="A40" s="19"/>
      <c r="B40" s="19"/>
      <c r="C40" s="98"/>
      <c r="D40" s="128"/>
      <c r="E40" s="19"/>
      <c r="F40" s="19" t="s">
        <v>478</v>
      </c>
      <c r="G40" s="19"/>
      <c r="H40" s="19" t="n">
        <v>38.6</v>
      </c>
      <c r="I40" s="19" t="s">
        <v>239</v>
      </c>
      <c r="J40" s="19" t="s">
        <v>934</v>
      </c>
      <c r="K40" s="19"/>
      <c r="L40" s="19"/>
      <c r="M40" s="19"/>
      <c r="N40" s="19"/>
      <c r="O40" s="19"/>
      <c r="P40" s="19"/>
      <c r="Q40" s="19"/>
      <c r="R40" s="19"/>
      <c r="S40" s="19"/>
      <c r="T40" s="19"/>
      <c r="U40" s="19"/>
      <c r="V40" s="19"/>
      <c r="W40" s="19"/>
      <c r="X40" s="19"/>
      <c r="Y40" s="19"/>
      <c r="Z40" s="19"/>
      <c r="AA40" s="19"/>
      <c r="AB40" s="19"/>
      <c r="AC40" s="19"/>
    </row>
    <row r="41" customFormat="false" ht="12" hidden="false" customHeight="true" outlineLevel="0" collapsed="false">
      <c r="A41" s="19"/>
      <c r="B41" s="19"/>
      <c r="C41" s="98"/>
      <c r="D41" s="128"/>
      <c r="E41" s="19"/>
      <c r="F41" s="19"/>
      <c r="G41" s="19"/>
      <c r="H41" s="19"/>
      <c r="I41" s="19"/>
      <c r="J41" s="19"/>
      <c r="K41" s="19"/>
      <c r="L41" s="19"/>
      <c r="M41" s="19"/>
      <c r="N41" s="19"/>
      <c r="O41" s="19"/>
      <c r="P41" s="19"/>
      <c r="Q41" s="19"/>
      <c r="R41" s="19"/>
      <c r="S41" s="19"/>
      <c r="T41" s="19"/>
      <c r="U41" s="19"/>
      <c r="V41" s="19"/>
      <c r="W41" s="19"/>
      <c r="X41" s="19"/>
      <c r="Y41" s="19"/>
      <c r="Z41" s="19"/>
      <c r="AA41" s="19"/>
      <c r="AB41" s="19"/>
      <c r="AC41" s="19"/>
    </row>
    <row r="42" customFormat="false" ht="12" hidden="false" customHeight="true" outlineLevel="0" collapsed="false">
      <c r="A42" s="19"/>
      <c r="B42" s="19"/>
      <c r="C42" s="98"/>
      <c r="D42" s="128"/>
      <c r="E42" s="19"/>
      <c r="F42" s="19" t="s">
        <v>935</v>
      </c>
      <c r="G42" s="19"/>
      <c r="H42" s="704" t="n">
        <v>0</v>
      </c>
      <c r="I42" s="19" t="s">
        <v>239</v>
      </c>
      <c r="J42" s="19" t="s">
        <v>936</v>
      </c>
      <c r="K42" s="19"/>
      <c r="L42" s="19"/>
      <c r="M42" s="19"/>
      <c r="N42" s="19"/>
      <c r="O42" s="19"/>
      <c r="P42" s="19"/>
      <c r="Q42" s="19"/>
      <c r="R42" s="19"/>
      <c r="S42" s="19"/>
      <c r="T42" s="19"/>
      <c r="U42" s="19"/>
      <c r="V42" s="19"/>
      <c r="W42" s="19"/>
      <c r="X42" s="19"/>
      <c r="Y42" s="19"/>
      <c r="Z42" s="19"/>
      <c r="AA42" s="19"/>
      <c r="AB42" s="19"/>
      <c r="AC42" s="19"/>
    </row>
    <row r="43" customFormat="false" ht="12" hidden="false" customHeight="true" outlineLevel="0" collapsed="false">
      <c r="A43" s="19"/>
      <c r="B43" s="19"/>
      <c r="C43" s="98"/>
      <c r="D43" s="128"/>
      <c r="E43" s="19"/>
      <c r="F43" s="19"/>
      <c r="G43" s="19"/>
      <c r="H43" s="19"/>
      <c r="I43" s="19"/>
      <c r="J43" s="19"/>
      <c r="K43" s="19"/>
      <c r="L43" s="19"/>
      <c r="M43" s="19"/>
      <c r="N43" s="19"/>
      <c r="O43" s="19"/>
      <c r="P43" s="19"/>
      <c r="Q43" s="19"/>
      <c r="R43" s="19"/>
      <c r="S43" s="19"/>
      <c r="T43" s="19"/>
      <c r="U43" s="19"/>
      <c r="V43" s="19"/>
      <c r="W43" s="19"/>
      <c r="X43" s="19"/>
      <c r="Y43" s="19"/>
      <c r="Z43" s="19"/>
      <c r="AA43" s="19"/>
      <c r="AB43" s="19"/>
      <c r="AC43" s="19"/>
    </row>
    <row r="44" customFormat="false" ht="12" hidden="false" customHeight="true" outlineLevel="0" collapsed="false">
      <c r="A44" s="19"/>
      <c r="B44" s="19"/>
      <c r="C44" s="98" t="s">
        <v>0</v>
      </c>
      <c r="D44" s="213" t="s">
        <v>0</v>
      </c>
      <c r="E44" s="19"/>
      <c r="F44" s="19" t="s">
        <v>937</v>
      </c>
      <c r="G44" s="19"/>
      <c r="H44" s="19" t="n">
        <v>5.15</v>
      </c>
      <c r="I44" s="19" t="s">
        <v>514</v>
      </c>
      <c r="J44" s="19" t="s">
        <v>938</v>
      </c>
      <c r="K44" s="19"/>
      <c r="L44" s="19"/>
      <c r="M44" s="19"/>
      <c r="N44" s="19"/>
      <c r="O44" s="19"/>
      <c r="P44" s="19"/>
      <c r="Q44" s="19"/>
      <c r="R44" s="19"/>
      <c r="S44" s="19"/>
      <c r="T44" s="19"/>
      <c r="U44" s="19"/>
      <c r="V44" s="19"/>
      <c r="W44" s="19"/>
      <c r="X44" s="19"/>
      <c r="Y44" s="19"/>
      <c r="Z44" s="19"/>
      <c r="AA44" s="19"/>
      <c r="AB44" s="19"/>
      <c r="AC44" s="19"/>
    </row>
    <row r="45" customFormat="false" ht="12" hidden="false" customHeight="true" outlineLevel="0" collapsed="false">
      <c r="A45" s="19"/>
      <c r="B45" s="19"/>
      <c r="C45" s="19"/>
      <c r="D45" s="98"/>
      <c r="E45" s="19"/>
      <c r="F45" s="19"/>
      <c r="G45" s="19"/>
      <c r="H45" s="19"/>
      <c r="I45" s="19"/>
      <c r="J45" s="19"/>
      <c r="K45" s="19"/>
      <c r="L45" s="19"/>
      <c r="M45" s="19"/>
      <c r="N45" s="19"/>
      <c r="O45" s="19"/>
      <c r="P45" s="19"/>
      <c r="Q45" s="19"/>
      <c r="R45" s="19"/>
      <c r="S45" s="19"/>
      <c r="T45" s="19"/>
      <c r="U45" s="19"/>
      <c r="V45" s="19"/>
      <c r="W45" s="19"/>
      <c r="X45" s="19"/>
      <c r="Y45" s="19"/>
      <c r="Z45" s="19"/>
      <c r="AA45" s="19"/>
      <c r="AB45" s="19"/>
      <c r="AC45" s="19"/>
    </row>
    <row r="46" customFormat="false" ht="12" hidden="false" customHeight="true" outlineLevel="0" collapsed="false">
      <c r="A46" s="19"/>
      <c r="B46" s="98" t="s">
        <v>0</v>
      </c>
      <c r="C46" s="19"/>
      <c r="D46" s="19"/>
      <c r="E46" s="19"/>
      <c r="F46" s="19" t="s">
        <v>939</v>
      </c>
      <c r="G46" s="19"/>
      <c r="H46" s="704" t="n">
        <v>0</v>
      </c>
      <c r="I46" s="19" t="s">
        <v>239</v>
      </c>
      <c r="J46" s="19"/>
      <c r="K46" s="19"/>
      <c r="L46" s="19"/>
      <c r="M46" s="19"/>
      <c r="N46" s="19"/>
      <c r="O46" s="19"/>
      <c r="P46" s="19"/>
      <c r="Q46" s="19"/>
      <c r="R46" s="19"/>
      <c r="S46" s="19"/>
      <c r="T46" s="19"/>
      <c r="U46" s="19"/>
      <c r="V46" s="19"/>
      <c r="W46" s="19"/>
      <c r="X46" s="19"/>
      <c r="Y46" s="19"/>
      <c r="Z46" s="19"/>
      <c r="AA46" s="19"/>
      <c r="AB46" s="19"/>
      <c r="AC46" s="19"/>
    </row>
    <row r="47" customFormat="false" ht="12" hidden="false" customHeight="true" outlineLevel="0" collapsed="false">
      <c r="A47" s="19"/>
      <c r="B47" s="98"/>
      <c r="C47" s="19"/>
      <c r="D47" s="19"/>
      <c r="E47" s="19"/>
      <c r="F47" s="19" t="s">
        <v>0</v>
      </c>
      <c r="G47" s="19"/>
      <c r="H47" s="704"/>
      <c r="I47" s="19"/>
      <c r="J47" s="19"/>
      <c r="K47" s="19"/>
      <c r="L47" s="19"/>
      <c r="M47" s="19"/>
      <c r="N47" s="19"/>
      <c r="O47" s="19"/>
      <c r="P47" s="19"/>
      <c r="Q47" s="19"/>
      <c r="R47" s="19"/>
      <c r="S47" s="19"/>
      <c r="T47" s="19"/>
      <c r="U47" s="19"/>
      <c r="V47" s="19"/>
      <c r="W47" s="19"/>
      <c r="X47" s="19"/>
      <c r="Y47" s="19"/>
      <c r="Z47" s="19"/>
      <c r="AA47" s="19"/>
      <c r="AB47" s="19"/>
      <c r="AC47" s="19"/>
    </row>
    <row r="48" customFormat="false" ht="12" hidden="false" customHeight="true" outlineLevel="0" collapsed="false">
      <c r="A48" s="19"/>
      <c r="B48" s="98"/>
      <c r="C48" s="19"/>
      <c r="D48" s="19"/>
      <c r="E48" s="19"/>
      <c r="F48" s="19"/>
      <c r="G48" s="19"/>
      <c r="H48" s="704"/>
      <c r="I48" s="19"/>
      <c r="J48" s="19"/>
      <c r="K48" s="19"/>
      <c r="L48" s="19"/>
      <c r="M48" s="19"/>
      <c r="N48" s="19"/>
      <c r="O48" s="19"/>
      <c r="P48" s="19"/>
      <c r="Q48" s="19"/>
      <c r="R48" s="19"/>
      <c r="S48" s="19"/>
      <c r="T48" s="19"/>
      <c r="U48" s="19"/>
      <c r="V48" s="19"/>
      <c r="W48" s="19"/>
      <c r="X48" s="19"/>
      <c r="Y48" s="19"/>
      <c r="Z48" s="19"/>
      <c r="AA48" s="19"/>
      <c r="AB48" s="19"/>
      <c r="AC48" s="19"/>
    </row>
    <row r="49" customFormat="false" ht="12" hidden="false" customHeight="true" outlineLevel="0" collapsed="false">
      <c r="A49" s="19"/>
      <c r="B49" s="701" t="s">
        <v>940</v>
      </c>
      <c r="C49" s="702" t="s">
        <v>927</v>
      </c>
      <c r="D49" s="703" t="s">
        <v>928</v>
      </c>
      <c r="E49" s="187"/>
      <c r="F49" s="38" t="s">
        <v>0</v>
      </c>
      <c r="P49" s="19"/>
      <c r="Q49" s="19"/>
      <c r="R49" s="19"/>
      <c r="S49" s="19"/>
      <c r="T49" s="19"/>
      <c r="U49" s="19"/>
      <c r="V49" s="19"/>
      <c r="W49" s="19"/>
      <c r="X49" s="19"/>
      <c r="Y49" s="19"/>
      <c r="Z49" s="19"/>
      <c r="AA49" s="19"/>
      <c r="AB49" s="19"/>
      <c r="AC49" s="19"/>
    </row>
    <row r="50" customFormat="false" ht="12" hidden="false" customHeight="true" outlineLevel="0" collapsed="false">
      <c r="A50" s="19"/>
      <c r="B50" s="19"/>
      <c r="C50" s="98" t="n">
        <v>0</v>
      </c>
      <c r="D50" s="128" t="n">
        <f aca="false">2.15+10*LOG10(COS(RADIANS(C50)))</f>
        <v>2.15</v>
      </c>
      <c r="E50" s="19"/>
      <c r="P50" s="19"/>
      <c r="Q50" s="19"/>
      <c r="R50" s="19"/>
      <c r="S50" s="19"/>
      <c r="T50" s="19"/>
      <c r="U50" s="19"/>
      <c r="V50" s="19"/>
      <c r="W50" s="19"/>
      <c r="X50" s="19"/>
      <c r="Y50" s="19"/>
      <c r="Z50" s="19"/>
      <c r="AA50" s="19"/>
      <c r="AB50" s="19"/>
      <c r="AC50" s="19"/>
    </row>
    <row r="51" customFormat="false" ht="12" hidden="false" customHeight="true" outlineLevel="0" collapsed="false">
      <c r="A51" s="19"/>
      <c r="B51" s="19"/>
      <c r="C51" s="98" t="n">
        <f aca="false">C50+10</f>
        <v>10</v>
      </c>
      <c r="D51" s="128" t="n">
        <f aca="false">2.15+10*LOG10(COS(RADIANS(C51)))</f>
        <v>2.08351458969935</v>
      </c>
      <c r="E51" s="19"/>
      <c r="P51" s="19"/>
      <c r="Q51" s="19"/>
      <c r="R51" s="19"/>
      <c r="S51" s="19"/>
      <c r="T51" s="19"/>
      <c r="U51" s="19"/>
      <c r="V51" s="19"/>
      <c r="W51" s="19"/>
      <c r="X51" s="19"/>
      <c r="Y51" s="19"/>
      <c r="Z51" s="19"/>
      <c r="AA51" s="19"/>
      <c r="AB51" s="19"/>
      <c r="AC51" s="19"/>
    </row>
    <row r="52" customFormat="false" ht="12" hidden="false" customHeight="true" outlineLevel="0" collapsed="false">
      <c r="A52" s="19"/>
      <c r="B52" s="19"/>
      <c r="C52" s="98" t="n">
        <f aca="false">C51+10</f>
        <v>20</v>
      </c>
      <c r="D52" s="128" t="n">
        <f aca="false">2.15+10*LOG10(COS(RADIANS(C52)))</f>
        <v>1.87985816442936</v>
      </c>
      <c r="E52" s="19"/>
      <c r="P52" s="19"/>
      <c r="Q52" s="19"/>
      <c r="R52" s="19"/>
      <c r="S52" s="19"/>
      <c r="T52" s="19"/>
      <c r="U52" s="19"/>
      <c r="V52" s="19"/>
      <c r="W52" s="19"/>
      <c r="X52" s="19"/>
      <c r="Y52" s="19"/>
      <c r="Z52" s="19"/>
      <c r="AA52" s="19"/>
      <c r="AB52" s="19"/>
      <c r="AC52" s="19"/>
    </row>
    <row r="53" customFormat="false" ht="12" hidden="false" customHeight="true" outlineLevel="0" collapsed="false">
      <c r="A53" s="19"/>
      <c r="B53" s="19"/>
      <c r="C53" s="98" t="n">
        <f aca="false">C52+10</f>
        <v>30</v>
      </c>
      <c r="D53" s="128" t="n">
        <f aca="false">2.15+10*LOG10(COS(RADIANS(C53)))</f>
        <v>1.5253063169585</v>
      </c>
      <c r="E53" s="19"/>
      <c r="P53" s="19"/>
      <c r="Q53" s="19"/>
      <c r="R53" s="19"/>
      <c r="S53" s="19"/>
      <c r="T53" s="19"/>
      <c r="U53" s="19"/>
      <c r="V53" s="19"/>
      <c r="W53" s="19"/>
      <c r="X53" s="19"/>
      <c r="Y53" s="19"/>
      <c r="Z53" s="19"/>
      <c r="AA53" s="19"/>
      <c r="AB53" s="19"/>
      <c r="AC53" s="19"/>
    </row>
    <row r="54" customFormat="false" ht="12" hidden="false" customHeight="true" outlineLevel="0" collapsed="false">
      <c r="A54" s="19"/>
      <c r="B54" s="19"/>
      <c r="C54" s="98" t="n">
        <f aca="false">C53+10</f>
        <v>40</v>
      </c>
      <c r="D54" s="128" t="n">
        <f aca="false">2.15+10*LOG10(COS(RADIANS(C54)))</f>
        <v>0.992539665535194</v>
      </c>
      <c r="E54" s="19"/>
      <c r="P54" s="19"/>
      <c r="Q54" s="19"/>
      <c r="R54" s="19"/>
      <c r="S54" s="19"/>
      <c r="T54" s="19"/>
      <c r="U54" s="19"/>
      <c r="V54" s="19"/>
      <c r="W54" s="19"/>
      <c r="X54" s="19"/>
      <c r="Y54" s="19"/>
      <c r="Z54" s="19"/>
      <c r="AA54" s="19"/>
      <c r="AB54" s="19"/>
      <c r="AC54" s="19"/>
    </row>
    <row r="55" customFormat="false" ht="12" hidden="false" customHeight="true" outlineLevel="0" collapsed="false">
      <c r="A55" s="19"/>
      <c r="B55" s="19" t="s">
        <v>0</v>
      </c>
      <c r="C55" s="98" t="n">
        <f aca="false">C54+10</f>
        <v>50</v>
      </c>
      <c r="D55" s="128" t="n">
        <f aca="false">2.15+10*LOG10(COS(RADIANS(C55)))</f>
        <v>0.230674967524349</v>
      </c>
      <c r="E55" s="19"/>
      <c r="P55" s="19"/>
      <c r="Q55" s="19"/>
      <c r="R55" s="19"/>
      <c r="S55" s="19"/>
      <c r="T55" s="19"/>
      <c r="U55" s="19"/>
      <c r="V55" s="19"/>
      <c r="W55" s="19"/>
      <c r="X55" s="19"/>
      <c r="Y55" s="19"/>
      <c r="Z55" s="19"/>
      <c r="AA55" s="19"/>
      <c r="AB55" s="19"/>
      <c r="AC55" s="19"/>
    </row>
    <row r="56" customFormat="false" ht="12" hidden="false" customHeight="true" outlineLevel="0" collapsed="false">
      <c r="A56" s="19"/>
      <c r="B56" s="19"/>
      <c r="C56" s="98" t="n">
        <f aca="false">C55+10</f>
        <v>60</v>
      </c>
      <c r="D56" s="128" t="n">
        <f aca="false">2.15+10*LOG10(COS(RADIANS(C56)))</f>
        <v>-0.860299956639811</v>
      </c>
      <c r="E56" s="19"/>
      <c r="P56" s="19"/>
      <c r="Q56" s="19"/>
      <c r="R56" s="19"/>
      <c r="S56" s="19"/>
      <c r="T56" s="19"/>
      <c r="U56" s="19"/>
      <c r="V56" s="19"/>
      <c r="W56" s="19"/>
      <c r="X56" s="19"/>
      <c r="Y56" s="19"/>
      <c r="Z56" s="19"/>
      <c r="AA56" s="19"/>
      <c r="AB56" s="19"/>
      <c r="AC56" s="19"/>
    </row>
    <row r="57" customFormat="false" ht="12" hidden="false" customHeight="true" outlineLevel="0" collapsed="false">
      <c r="A57" s="19"/>
      <c r="B57" s="19"/>
      <c r="C57" s="98" t="n">
        <f aca="false">C56+10</f>
        <v>70</v>
      </c>
      <c r="D57" s="128" t="n">
        <f aca="false">2.15+10*LOG10(COS(RADIANS(C57)))</f>
        <v>-2.50948315354483</v>
      </c>
      <c r="E57" s="19"/>
      <c r="P57" s="19"/>
      <c r="Q57" s="19"/>
      <c r="R57" s="19"/>
      <c r="S57" s="19"/>
      <c r="T57" s="19"/>
      <c r="U57" s="19"/>
      <c r="V57" s="19"/>
      <c r="W57" s="19"/>
      <c r="X57" s="19"/>
      <c r="Y57" s="19"/>
      <c r="Z57" s="19"/>
      <c r="AA57" s="19"/>
      <c r="AB57" s="19"/>
      <c r="AC57" s="19"/>
    </row>
    <row r="58" customFormat="false" ht="12" hidden="false" customHeight="true" outlineLevel="0" collapsed="false">
      <c r="A58" s="19"/>
      <c r="B58" s="19"/>
      <c r="C58" s="98" t="n">
        <f aca="false">C57+10</f>
        <v>80</v>
      </c>
      <c r="D58" s="128" t="n">
        <f aca="false">2.15+10*LOG10(COS(RADIANS(C58)))</f>
        <v>-5.45329769988399</v>
      </c>
      <c r="E58" s="19" t="s">
        <v>0</v>
      </c>
      <c r="P58" s="19"/>
      <c r="Q58" s="19"/>
      <c r="R58" s="19"/>
      <c r="S58" s="19"/>
      <c r="T58" s="19"/>
      <c r="U58" s="19"/>
      <c r="V58" s="19"/>
      <c r="W58" s="19"/>
      <c r="X58" s="19"/>
      <c r="Y58" s="19"/>
      <c r="Z58" s="19"/>
      <c r="AA58" s="19"/>
      <c r="AB58" s="19"/>
      <c r="AC58" s="19"/>
    </row>
    <row r="59" customFormat="false" ht="12" hidden="false" customHeight="true" outlineLevel="0" collapsed="false">
      <c r="A59" s="19"/>
      <c r="B59" s="19"/>
      <c r="C59" s="98" t="n">
        <v>85</v>
      </c>
      <c r="D59" s="128" t="n">
        <f aca="false">2.15+10*LOG10(COS(RADIANS(C59)))</f>
        <v>-8.44703991669879</v>
      </c>
      <c r="E59" s="19"/>
      <c r="P59" s="19"/>
      <c r="Q59" s="19"/>
      <c r="R59" s="19"/>
      <c r="S59" s="19"/>
      <c r="T59" s="19"/>
      <c r="U59" s="19"/>
      <c r="V59" s="19"/>
      <c r="W59" s="19"/>
      <c r="X59" s="19"/>
      <c r="Y59" s="19"/>
      <c r="Z59" s="19"/>
      <c r="AA59" s="19"/>
      <c r="AB59" s="19"/>
      <c r="AC59" s="19"/>
    </row>
    <row r="60" customFormat="false" ht="12" hidden="false" customHeight="true" outlineLevel="0" collapsed="false">
      <c r="A60" s="19"/>
      <c r="B60" s="19"/>
      <c r="C60" s="98" t="n">
        <v>87.5</v>
      </c>
      <c r="D60" s="128" t="n">
        <f aca="false">2.15+10*LOG10(COS(RADIANS(C60)))</f>
        <v>-11.4532043838415</v>
      </c>
      <c r="E60" s="19"/>
      <c r="P60" s="19"/>
      <c r="Q60" s="19"/>
      <c r="R60" s="19"/>
      <c r="S60" s="19"/>
      <c r="T60" s="19"/>
      <c r="U60" s="19"/>
      <c r="V60" s="19"/>
      <c r="W60" s="19"/>
      <c r="X60" s="19"/>
      <c r="Y60" s="19"/>
      <c r="Z60" s="19"/>
      <c r="AA60" s="19"/>
      <c r="AB60" s="19"/>
      <c r="AC60" s="19"/>
    </row>
    <row r="61" customFormat="false" ht="12" hidden="false" customHeight="true" outlineLevel="0" collapsed="false">
      <c r="A61" s="19"/>
      <c r="B61" s="19"/>
      <c r="C61" s="98" t="n">
        <f aca="false">C58+10</f>
        <v>90</v>
      </c>
      <c r="D61" s="128" t="n">
        <v>-40</v>
      </c>
      <c r="E61" s="19"/>
      <c r="P61" s="19"/>
      <c r="Q61" s="19"/>
      <c r="R61" s="19"/>
      <c r="S61" s="19"/>
      <c r="T61" s="19"/>
      <c r="U61" s="19"/>
      <c r="V61" s="19"/>
      <c r="W61" s="19"/>
      <c r="X61" s="19"/>
      <c r="Y61" s="19"/>
      <c r="Z61" s="19"/>
      <c r="AA61" s="19"/>
      <c r="AB61" s="19"/>
      <c r="AC61" s="19"/>
    </row>
    <row r="62" customFormat="false" ht="12" hidden="false" customHeight="true" outlineLevel="0" collapsed="false">
      <c r="A62" s="19"/>
      <c r="B62" s="19"/>
      <c r="C62" s="98" t="n">
        <v>92.5</v>
      </c>
      <c r="D62" s="128" t="n">
        <f aca="false">2.15+10*LOG10(-COS(RADIANS(C62)))</f>
        <v>-11.4532043838415</v>
      </c>
      <c r="E62" s="19"/>
      <c r="P62" s="19"/>
      <c r="Q62" s="19"/>
      <c r="R62" s="19"/>
      <c r="S62" s="19"/>
      <c r="T62" s="19"/>
      <c r="U62" s="19"/>
      <c r="V62" s="19"/>
      <c r="W62" s="19"/>
      <c r="X62" s="19"/>
      <c r="Y62" s="19"/>
      <c r="Z62" s="19"/>
      <c r="AA62" s="19"/>
      <c r="AB62" s="19"/>
      <c r="AC62" s="19"/>
    </row>
    <row r="63" customFormat="false" ht="12" hidden="false" customHeight="true" outlineLevel="0" collapsed="false">
      <c r="A63" s="19"/>
      <c r="B63" s="19"/>
      <c r="C63" s="98" t="n">
        <v>95</v>
      </c>
      <c r="D63" s="128" t="n">
        <f aca="false">2.15+10*LOG10(-COS(RADIANS(C63)))</f>
        <v>-8.44703991669879</v>
      </c>
      <c r="E63" s="19" t="s">
        <v>0</v>
      </c>
      <c r="P63" s="19"/>
      <c r="Q63" s="19"/>
      <c r="R63" s="19"/>
      <c r="S63" s="19"/>
      <c r="T63" s="19"/>
      <c r="U63" s="19"/>
      <c r="V63" s="19"/>
      <c r="W63" s="19"/>
      <c r="X63" s="19"/>
      <c r="Y63" s="19"/>
      <c r="Z63" s="19"/>
      <c r="AA63" s="19"/>
      <c r="AB63" s="19"/>
      <c r="AC63" s="19"/>
    </row>
    <row r="64" customFormat="false" ht="12" hidden="false" customHeight="true" outlineLevel="0" collapsed="false">
      <c r="A64" s="19"/>
      <c r="B64" s="19"/>
      <c r="C64" s="98" t="n">
        <f aca="false">C61+10</f>
        <v>100</v>
      </c>
      <c r="D64" s="128" t="n">
        <f aca="false">2.15+10*LOG10(-COS(RADIANS(C64)))</f>
        <v>-5.453297699884</v>
      </c>
      <c r="E64" s="19"/>
      <c r="P64" s="19"/>
      <c r="Q64" s="19"/>
      <c r="R64" s="19"/>
      <c r="S64" s="19"/>
      <c r="T64" s="19"/>
      <c r="U64" s="19"/>
      <c r="V64" s="19"/>
      <c r="W64" s="19"/>
      <c r="X64" s="19"/>
      <c r="Y64" s="19"/>
      <c r="Z64" s="19"/>
      <c r="AA64" s="19"/>
      <c r="AB64" s="19"/>
      <c r="AC64" s="19"/>
    </row>
    <row r="65" customFormat="false" ht="12" hidden="false" customHeight="true" outlineLevel="0" collapsed="false">
      <c r="A65" s="19"/>
      <c r="B65" s="19"/>
      <c r="C65" s="98" t="n">
        <f aca="false">C64+10</f>
        <v>110</v>
      </c>
      <c r="D65" s="128" t="n">
        <f aca="false">2.15+10*LOG10(-COS(RADIANS(C65)))</f>
        <v>-2.50948315354483</v>
      </c>
      <c r="E65" s="19"/>
      <c r="P65" s="19"/>
      <c r="Q65" s="19"/>
      <c r="R65" s="19"/>
      <c r="S65" s="19"/>
      <c r="T65" s="19"/>
      <c r="U65" s="19"/>
      <c r="V65" s="19"/>
      <c r="W65" s="19"/>
      <c r="X65" s="19"/>
      <c r="Y65" s="19"/>
      <c r="Z65" s="19"/>
      <c r="AA65" s="19"/>
      <c r="AB65" s="19"/>
      <c r="AC65" s="19"/>
    </row>
    <row r="66" customFormat="false" ht="12" hidden="false" customHeight="true" outlineLevel="0" collapsed="false">
      <c r="A66" s="19"/>
      <c r="B66" s="19"/>
      <c r="C66" s="98" t="n">
        <f aca="false">C65+10</f>
        <v>120</v>
      </c>
      <c r="D66" s="128" t="n">
        <f aca="false">2.15+10*LOG10(-COS(RADIANS(C66)))</f>
        <v>-0.860299956639814</v>
      </c>
      <c r="E66" s="19"/>
      <c r="P66" s="19"/>
      <c r="Q66" s="19"/>
      <c r="R66" s="19"/>
      <c r="S66" s="19"/>
      <c r="T66" s="19"/>
      <c r="U66" s="19"/>
      <c r="V66" s="19"/>
      <c r="W66" s="19"/>
      <c r="X66" s="19"/>
      <c r="Y66" s="19"/>
      <c r="Z66" s="19"/>
      <c r="AA66" s="19"/>
      <c r="AB66" s="19"/>
      <c r="AC66" s="19"/>
    </row>
    <row r="67" customFormat="false" ht="12" hidden="false" customHeight="true" outlineLevel="0" collapsed="false">
      <c r="A67" s="19"/>
      <c r="B67" s="19"/>
      <c r="C67" s="98" t="n">
        <f aca="false">C66+10</f>
        <v>130</v>
      </c>
      <c r="D67" s="128" t="n">
        <f aca="false">2.15+10*LOG10(-COS(RADIANS(C67)))</f>
        <v>0.230674967524349</v>
      </c>
      <c r="E67" s="19"/>
      <c r="P67" s="19"/>
      <c r="Q67" s="19"/>
      <c r="R67" s="19"/>
      <c r="S67" s="19"/>
      <c r="T67" s="19"/>
      <c r="U67" s="19"/>
      <c r="V67" s="19"/>
      <c r="W67" s="19"/>
      <c r="X67" s="19"/>
      <c r="Y67" s="19"/>
      <c r="Z67" s="19"/>
      <c r="AA67" s="19"/>
      <c r="AB67" s="19"/>
      <c r="AC67" s="19"/>
    </row>
    <row r="68" customFormat="false" ht="12" hidden="false" customHeight="true" outlineLevel="0" collapsed="false">
      <c r="A68" s="19"/>
      <c r="B68" s="19"/>
      <c r="C68" s="98" t="n">
        <f aca="false">C67+10</f>
        <v>140</v>
      </c>
      <c r="D68" s="128" t="n">
        <f aca="false">2.15+10*LOG10(-COS(RADIANS(C68)))</f>
        <v>0.992539665535194</v>
      </c>
      <c r="E68" s="19"/>
      <c r="P68" s="19"/>
      <c r="Q68" s="19"/>
      <c r="R68" s="19"/>
      <c r="S68" s="19"/>
      <c r="T68" s="19"/>
      <c r="U68" s="19"/>
      <c r="V68" s="19"/>
      <c r="W68" s="19"/>
      <c r="X68" s="19"/>
      <c r="Y68" s="19"/>
      <c r="Z68" s="19"/>
      <c r="AA68" s="19"/>
      <c r="AB68" s="19"/>
      <c r="AC68" s="19"/>
    </row>
    <row r="69" customFormat="false" ht="12" hidden="false" customHeight="true" outlineLevel="0" collapsed="false">
      <c r="A69" s="19"/>
      <c r="B69" s="19"/>
      <c r="C69" s="98" t="n">
        <f aca="false">C68+10</f>
        <v>150</v>
      </c>
      <c r="D69" s="128" t="n">
        <f aca="false">2.15+10*LOG10(-COS(RADIANS(C69)))</f>
        <v>1.5253063169585</v>
      </c>
      <c r="E69" s="19"/>
      <c r="P69" s="19"/>
      <c r="Q69" s="19"/>
      <c r="R69" s="19"/>
      <c r="S69" s="19"/>
      <c r="T69" s="19"/>
      <c r="U69" s="19"/>
      <c r="V69" s="19"/>
      <c r="W69" s="19"/>
      <c r="X69" s="19"/>
      <c r="Y69" s="19"/>
      <c r="Z69" s="19"/>
      <c r="AA69" s="19"/>
      <c r="AB69" s="19"/>
      <c r="AC69" s="19"/>
    </row>
    <row r="70" customFormat="false" ht="12" hidden="false" customHeight="true" outlineLevel="0" collapsed="false">
      <c r="A70" s="19"/>
      <c r="B70" s="19"/>
      <c r="C70" s="98" t="n">
        <f aca="false">C69+10</f>
        <v>160</v>
      </c>
      <c r="D70" s="128" t="n">
        <f aca="false">2.15+10*LOG10(-COS(RADIANS(C70)))</f>
        <v>1.87985816442936</v>
      </c>
      <c r="E70" s="19"/>
      <c r="P70" s="19"/>
      <c r="Q70" s="19"/>
      <c r="R70" s="19"/>
      <c r="S70" s="19"/>
      <c r="T70" s="19"/>
      <c r="U70" s="19"/>
      <c r="V70" s="19"/>
      <c r="W70" s="19"/>
      <c r="X70" s="19"/>
      <c r="Y70" s="19"/>
      <c r="Z70" s="19"/>
      <c r="AA70" s="19"/>
      <c r="AB70" s="19"/>
      <c r="AC70" s="19"/>
    </row>
    <row r="71" customFormat="false" ht="12" hidden="false" customHeight="true" outlineLevel="0" collapsed="false">
      <c r="A71" s="19"/>
      <c r="B71" s="19"/>
      <c r="C71" s="98" t="n">
        <f aca="false">C70+10</f>
        <v>170</v>
      </c>
      <c r="D71" s="128" t="n">
        <f aca="false">2.15+10*LOG10(-COS(RADIANS(C71)))</f>
        <v>2.08351458969935</v>
      </c>
      <c r="E71" s="19"/>
      <c r="P71" s="19"/>
      <c r="Q71" s="19"/>
      <c r="R71" s="19"/>
      <c r="S71" s="19"/>
      <c r="T71" s="19"/>
      <c r="U71" s="19"/>
      <c r="V71" s="19"/>
      <c r="W71" s="19"/>
      <c r="X71" s="19"/>
      <c r="Y71" s="19"/>
      <c r="Z71" s="19"/>
      <c r="AA71" s="19"/>
      <c r="AB71" s="19"/>
      <c r="AC71" s="19"/>
    </row>
    <row r="72" customFormat="false" ht="12" hidden="false" customHeight="true" outlineLevel="0" collapsed="false">
      <c r="A72" s="19"/>
      <c r="B72" s="19"/>
      <c r="C72" s="98" t="n">
        <f aca="false">C71+10</f>
        <v>180</v>
      </c>
      <c r="D72" s="128" t="n">
        <f aca="false">2.15+10*LOG10(-COS(RADIANS(C72)))</f>
        <v>2.15</v>
      </c>
      <c r="E72" s="19"/>
      <c r="P72" s="19"/>
      <c r="Q72" s="19"/>
      <c r="R72" s="19"/>
      <c r="S72" s="19"/>
      <c r="T72" s="19"/>
      <c r="U72" s="19"/>
      <c r="V72" s="19"/>
      <c r="W72" s="19"/>
      <c r="X72" s="19"/>
      <c r="Y72" s="19"/>
      <c r="Z72" s="19"/>
      <c r="AA72" s="19"/>
      <c r="AB72" s="19"/>
      <c r="AC72" s="19"/>
    </row>
    <row r="73" customFormat="false" ht="12" hidden="false" customHeight="true" outlineLevel="0" collapsed="false">
      <c r="A73" s="19"/>
      <c r="B73" s="19"/>
      <c r="C73" s="98" t="n">
        <f aca="false">C72+10</f>
        <v>190</v>
      </c>
      <c r="D73" s="128" t="n">
        <f aca="false">2.15+10*LOG10(-COS(RADIANS(C73)))</f>
        <v>2.08351458969935</v>
      </c>
      <c r="E73" s="19"/>
      <c r="P73" s="19"/>
      <c r="Q73" s="19"/>
      <c r="R73" s="19"/>
      <c r="S73" s="19"/>
      <c r="T73" s="19"/>
      <c r="U73" s="19"/>
      <c r="V73" s="19"/>
      <c r="W73" s="19"/>
      <c r="X73" s="19"/>
      <c r="Y73" s="19"/>
      <c r="Z73" s="19"/>
      <c r="AA73" s="19"/>
      <c r="AB73" s="19"/>
      <c r="AC73" s="19"/>
    </row>
    <row r="74" customFormat="false" ht="12" hidden="false" customHeight="true" outlineLevel="0" collapsed="false">
      <c r="A74" s="19"/>
      <c r="B74" s="19"/>
      <c r="C74" s="98" t="n">
        <f aca="false">C73+10</f>
        <v>200</v>
      </c>
      <c r="D74" s="128" t="n">
        <f aca="false">2.15+10*LOG10(-COS(RADIANS(C74)))</f>
        <v>1.87985816442936</v>
      </c>
      <c r="E74" s="19"/>
      <c r="P74" s="19"/>
      <c r="Q74" s="19"/>
      <c r="R74" s="19"/>
      <c r="S74" s="19"/>
      <c r="T74" s="19"/>
      <c r="U74" s="19"/>
      <c r="V74" s="19"/>
      <c r="W74" s="19"/>
      <c r="X74" s="19"/>
      <c r="Y74" s="19"/>
      <c r="Z74" s="19"/>
      <c r="AA74" s="19"/>
      <c r="AB74" s="19"/>
      <c r="AC74" s="19"/>
    </row>
    <row r="75" customFormat="false" ht="12" hidden="false" customHeight="true" outlineLevel="0" collapsed="false">
      <c r="A75" s="19"/>
      <c r="B75" s="19"/>
      <c r="C75" s="98" t="n">
        <f aca="false">C74+10</f>
        <v>210</v>
      </c>
      <c r="D75" s="128" t="n">
        <f aca="false">2.15+10*LOG10(-COS(RADIANS(C75)))</f>
        <v>1.5253063169585</v>
      </c>
      <c r="E75" s="19"/>
      <c r="P75" s="19"/>
      <c r="Q75" s="19"/>
      <c r="R75" s="19"/>
      <c r="S75" s="19"/>
      <c r="T75" s="19"/>
      <c r="U75" s="19"/>
      <c r="V75" s="19"/>
      <c r="W75" s="19"/>
      <c r="X75" s="19"/>
      <c r="Y75" s="19"/>
      <c r="Z75" s="19"/>
      <c r="AA75" s="19"/>
      <c r="AB75" s="19"/>
      <c r="AC75" s="19"/>
    </row>
    <row r="76" customFormat="false" ht="12" hidden="false" customHeight="true" outlineLevel="0" collapsed="false">
      <c r="A76" s="19"/>
      <c r="B76" s="19"/>
      <c r="C76" s="98" t="n">
        <f aca="false">C75+10</f>
        <v>220</v>
      </c>
      <c r="D76" s="128" t="n">
        <f aca="false">2.15+10*LOG10(-COS(RADIANS(C76)))</f>
        <v>0.992539665535194</v>
      </c>
      <c r="E76" s="19"/>
      <c r="P76" s="19"/>
      <c r="Q76" s="19"/>
      <c r="R76" s="19"/>
      <c r="S76" s="19"/>
      <c r="T76" s="19"/>
      <c r="U76" s="19"/>
      <c r="V76" s="19"/>
      <c r="W76" s="19"/>
      <c r="X76" s="19"/>
      <c r="Y76" s="19"/>
      <c r="Z76" s="19"/>
      <c r="AA76" s="19"/>
      <c r="AB76" s="19"/>
      <c r="AC76" s="19"/>
    </row>
    <row r="77" customFormat="false" ht="12" hidden="false" customHeight="true" outlineLevel="0" collapsed="false">
      <c r="A77" s="19"/>
      <c r="B77" s="19"/>
      <c r="C77" s="98" t="n">
        <f aca="false">C76+10</f>
        <v>230</v>
      </c>
      <c r="D77" s="128" t="n">
        <f aca="false">2.15+10*LOG10(-COS(RADIANS(C77)))</f>
        <v>0.23067496752435</v>
      </c>
      <c r="E77" s="19"/>
      <c r="P77" s="19"/>
      <c r="Q77" s="19"/>
      <c r="R77" s="19"/>
      <c r="S77" s="19"/>
      <c r="T77" s="19"/>
      <c r="U77" s="19"/>
      <c r="V77" s="19"/>
      <c r="W77" s="19"/>
      <c r="X77" s="19"/>
      <c r="Y77" s="19"/>
      <c r="Z77" s="19"/>
      <c r="AA77" s="19"/>
      <c r="AB77" s="19"/>
      <c r="AC77" s="19"/>
    </row>
    <row r="78" customFormat="false" ht="12" hidden="false" customHeight="true" outlineLevel="0" collapsed="false">
      <c r="A78" s="19"/>
      <c r="B78" s="19"/>
      <c r="C78" s="98" t="n">
        <f aca="false">C77+10</f>
        <v>240</v>
      </c>
      <c r="D78" s="128" t="n">
        <f aca="false">2.15+10*LOG10(-COS(RADIANS(C78)))</f>
        <v>-0.860299956639808</v>
      </c>
      <c r="E78" s="19"/>
      <c r="P78" s="19"/>
      <c r="Q78" s="19"/>
      <c r="R78" s="19"/>
      <c r="S78" s="19"/>
      <c r="T78" s="19"/>
      <c r="U78" s="19"/>
      <c r="V78" s="19"/>
      <c r="W78" s="19"/>
      <c r="X78" s="19"/>
      <c r="Y78" s="19"/>
      <c r="Z78" s="19"/>
      <c r="AA78" s="19"/>
      <c r="AB78" s="19"/>
      <c r="AC78" s="19"/>
    </row>
    <row r="79" customFormat="false" ht="12" hidden="false" customHeight="true" outlineLevel="0" collapsed="false">
      <c r="A79" s="19"/>
      <c r="B79" s="19"/>
      <c r="C79" s="98" t="n">
        <f aca="false">C78+10</f>
        <v>250</v>
      </c>
      <c r="D79" s="128" t="n">
        <f aca="false">2.15+10*LOG10(-COS(RADIANS(C79)))</f>
        <v>-2.50948315354482</v>
      </c>
      <c r="E79" s="19"/>
      <c r="P79" s="19"/>
      <c r="Q79" s="19"/>
      <c r="R79" s="19"/>
      <c r="S79" s="19"/>
      <c r="T79" s="19"/>
      <c r="U79" s="19"/>
      <c r="V79" s="19"/>
      <c r="W79" s="19"/>
      <c r="X79" s="19"/>
      <c r="Y79" s="19"/>
      <c r="Z79" s="19"/>
      <c r="AA79" s="19"/>
      <c r="AB79" s="19"/>
      <c r="AC79" s="19"/>
    </row>
    <row r="80" customFormat="false" ht="12" hidden="false" customHeight="true" outlineLevel="0" collapsed="false">
      <c r="A80" s="19"/>
      <c r="B80" s="19"/>
      <c r="C80" s="98" t="n">
        <f aca="false">C79+10</f>
        <v>260</v>
      </c>
      <c r="D80" s="128" t="n">
        <f aca="false">2.15+10*LOG10(-COS(RADIANS(C80)))</f>
        <v>-5.453297699884</v>
      </c>
      <c r="E80" s="19"/>
      <c r="P80" s="19"/>
      <c r="Q80" s="19"/>
      <c r="R80" s="19"/>
      <c r="S80" s="19"/>
      <c r="T80" s="19"/>
      <c r="U80" s="19"/>
      <c r="V80" s="19"/>
      <c r="W80" s="19"/>
      <c r="X80" s="19"/>
      <c r="Y80" s="19"/>
      <c r="Z80" s="19"/>
      <c r="AA80" s="19"/>
      <c r="AB80" s="19"/>
      <c r="AC80" s="19"/>
    </row>
    <row r="81" customFormat="false" ht="12" hidden="false" customHeight="true" outlineLevel="0" collapsed="false">
      <c r="A81" s="19"/>
      <c r="B81" s="19"/>
      <c r="C81" s="98" t="n">
        <v>265</v>
      </c>
      <c r="D81" s="128" t="n">
        <f aca="false">2.15+10*LOG10(-COS(RADIANS(C81)))</f>
        <v>-8.44703991669879</v>
      </c>
      <c r="E81" s="19" t="s">
        <v>0</v>
      </c>
      <c r="F81" s="19"/>
      <c r="G81" s="19"/>
      <c r="H81" s="19"/>
      <c r="I81" s="19"/>
      <c r="J81" s="19"/>
      <c r="K81" s="19"/>
      <c r="L81" s="19"/>
      <c r="M81" s="21" t="s">
        <v>941</v>
      </c>
      <c r="N81" s="19"/>
      <c r="O81" s="19"/>
      <c r="P81" s="19"/>
      <c r="Q81" s="19"/>
      <c r="R81" s="19"/>
      <c r="S81" s="19"/>
      <c r="T81" s="19"/>
      <c r="U81" s="19"/>
      <c r="V81" s="19"/>
      <c r="W81" s="19"/>
      <c r="X81" s="19"/>
      <c r="Y81" s="19"/>
      <c r="Z81" s="19"/>
      <c r="AA81" s="19"/>
      <c r="AB81" s="19"/>
      <c r="AC81" s="19"/>
    </row>
    <row r="82" customFormat="false" ht="12" hidden="false" customHeight="true" outlineLevel="0" collapsed="false">
      <c r="A82" s="19"/>
      <c r="B82" s="19"/>
      <c r="C82" s="98" t="n">
        <v>267.5</v>
      </c>
      <c r="D82" s="128" t="n">
        <f aca="false">2.15+10*LOG10(-COS(RADIANS(C82)))</f>
        <v>-11.4532043838415</v>
      </c>
      <c r="E82" s="19"/>
      <c r="F82" s="19"/>
      <c r="G82" s="19"/>
      <c r="H82" s="19"/>
      <c r="I82" s="19"/>
      <c r="J82" s="19"/>
      <c r="K82" s="19"/>
      <c r="L82" s="19"/>
      <c r="M82" s="19"/>
      <c r="N82" s="19"/>
      <c r="O82" s="19"/>
      <c r="P82" s="19"/>
      <c r="Q82" s="19"/>
      <c r="R82" s="19"/>
      <c r="S82" s="19"/>
      <c r="T82" s="19"/>
      <c r="U82" s="19"/>
      <c r="V82" s="19"/>
      <c r="W82" s="19"/>
      <c r="X82" s="19"/>
      <c r="Y82" s="19"/>
      <c r="Z82" s="19"/>
      <c r="AA82" s="19"/>
      <c r="AB82" s="19"/>
      <c r="AC82" s="19"/>
    </row>
    <row r="83" customFormat="false" ht="12" hidden="false" customHeight="true" outlineLevel="0" collapsed="false">
      <c r="A83" s="19"/>
      <c r="B83" s="19"/>
      <c r="C83" s="98" t="n">
        <f aca="false">C80+10</f>
        <v>270</v>
      </c>
      <c r="D83" s="128" t="n">
        <v>-40</v>
      </c>
      <c r="E83" s="19"/>
      <c r="F83" s="19"/>
      <c r="G83" s="19" t="s">
        <v>933</v>
      </c>
      <c r="H83" s="19"/>
      <c r="I83" s="19" t="n">
        <v>2.15</v>
      </c>
      <c r="J83" s="19" t="s">
        <v>514</v>
      </c>
      <c r="K83" s="19"/>
      <c r="L83" s="19"/>
      <c r="M83" s="19"/>
      <c r="N83" s="19"/>
      <c r="O83" s="19"/>
      <c r="P83" s="19"/>
      <c r="Q83" s="19"/>
      <c r="R83" s="19"/>
      <c r="S83" s="19"/>
      <c r="T83" s="19"/>
      <c r="U83" s="19"/>
      <c r="V83" s="19"/>
      <c r="W83" s="19"/>
      <c r="X83" s="19"/>
      <c r="Y83" s="19"/>
      <c r="Z83" s="19"/>
      <c r="AA83" s="19"/>
      <c r="AB83" s="19"/>
      <c r="AC83" s="19"/>
    </row>
    <row r="84" customFormat="false" ht="12" hidden="false" customHeight="true" outlineLevel="0" collapsed="false">
      <c r="A84" s="19"/>
      <c r="B84" s="19"/>
      <c r="C84" s="98" t="n">
        <v>272.5</v>
      </c>
      <c r="D84" s="128" t="n">
        <f aca="false">2.15+10*LOG10(COS(RADIANS(C84)))</f>
        <v>-11.4532043838415</v>
      </c>
      <c r="E84" s="19"/>
      <c r="F84" s="19"/>
      <c r="G84" s="19"/>
      <c r="H84" s="19"/>
      <c r="I84" s="19"/>
      <c r="J84" s="19"/>
      <c r="K84" s="19"/>
      <c r="L84" s="19"/>
      <c r="M84" s="19"/>
      <c r="N84" s="19"/>
      <c r="O84" s="19"/>
      <c r="P84" s="19"/>
      <c r="Q84" s="19"/>
      <c r="R84" s="19"/>
      <c r="S84" s="19"/>
      <c r="T84" s="19"/>
      <c r="U84" s="19"/>
      <c r="V84" s="19"/>
      <c r="W84" s="19"/>
      <c r="X84" s="19"/>
      <c r="Y84" s="19"/>
      <c r="Z84" s="19"/>
      <c r="AA84" s="19"/>
      <c r="AB84" s="19"/>
      <c r="AC84" s="19"/>
    </row>
    <row r="85" customFormat="false" ht="12" hidden="false" customHeight="true" outlineLevel="0" collapsed="false">
      <c r="A85" s="19"/>
      <c r="B85" s="19"/>
      <c r="C85" s="98" t="n">
        <v>275</v>
      </c>
      <c r="D85" s="128" t="n">
        <f aca="false">2.15+10*LOG10(COS(RADIANS(C85)))</f>
        <v>-8.44703991669881</v>
      </c>
      <c r="E85" s="19"/>
      <c r="F85" s="19"/>
      <c r="G85" s="19" t="s">
        <v>478</v>
      </c>
      <c r="H85" s="19"/>
      <c r="I85" s="19" t="n">
        <v>78.8</v>
      </c>
      <c r="J85" s="19" t="s">
        <v>239</v>
      </c>
      <c r="K85" s="19" t="s">
        <v>934</v>
      </c>
      <c r="L85" s="19"/>
      <c r="M85" s="19"/>
      <c r="N85" s="19"/>
      <c r="O85" s="19"/>
      <c r="P85" s="19"/>
      <c r="Q85" s="19"/>
      <c r="R85" s="19"/>
      <c r="S85" s="19"/>
      <c r="T85" s="19"/>
      <c r="U85" s="19"/>
      <c r="V85" s="19"/>
      <c r="W85" s="19"/>
      <c r="X85" s="19"/>
      <c r="Y85" s="19"/>
      <c r="Z85" s="19"/>
      <c r="AA85" s="19"/>
      <c r="AB85" s="19"/>
      <c r="AC85" s="19"/>
    </row>
    <row r="86" customFormat="false" ht="12" hidden="false" customHeight="true" outlineLevel="0" collapsed="false">
      <c r="A86" s="19"/>
      <c r="B86" s="19"/>
      <c r="C86" s="98" t="n">
        <f aca="false">C83+10</f>
        <v>280</v>
      </c>
      <c r="D86" s="128" t="n">
        <f aca="false">2.15+10*LOG10(COS(RADIANS(C86)))</f>
        <v>-5.453297699884</v>
      </c>
      <c r="E86" s="19" t="s">
        <v>0</v>
      </c>
      <c r="F86" s="19"/>
      <c r="G86" s="19"/>
      <c r="H86" s="19"/>
      <c r="I86" s="19"/>
      <c r="J86" s="19"/>
      <c r="K86" s="19"/>
      <c r="L86" s="19"/>
      <c r="M86" s="19"/>
      <c r="N86" s="19"/>
      <c r="O86" s="19"/>
      <c r="P86" s="19"/>
      <c r="Q86" s="19"/>
      <c r="R86" s="19"/>
      <c r="S86" s="19"/>
      <c r="T86" s="19"/>
      <c r="U86" s="19"/>
      <c r="V86" s="19"/>
      <c r="W86" s="19"/>
      <c r="X86" s="19"/>
      <c r="Y86" s="19"/>
      <c r="Z86" s="19"/>
      <c r="AA86" s="19"/>
      <c r="AB86" s="19"/>
      <c r="AC86" s="19"/>
    </row>
    <row r="87" customFormat="false" ht="12" hidden="false" customHeight="true" outlineLevel="0" collapsed="false">
      <c r="A87" s="19"/>
      <c r="B87" s="19"/>
      <c r="C87" s="98" t="n">
        <f aca="false">C86+10</f>
        <v>290</v>
      </c>
      <c r="D87" s="128" t="n">
        <f aca="false">2.15+10*LOG10(COS(RADIANS(C87)))</f>
        <v>-2.50948315354482</v>
      </c>
      <c r="E87" s="19"/>
      <c r="F87" s="19"/>
      <c r="G87" s="19" t="s">
        <v>935</v>
      </c>
      <c r="H87" s="19"/>
      <c r="I87" s="704" t="n">
        <v>0</v>
      </c>
      <c r="J87" s="19" t="s">
        <v>239</v>
      </c>
      <c r="K87" s="19" t="s">
        <v>936</v>
      </c>
      <c r="L87" s="19"/>
      <c r="M87" s="19"/>
      <c r="N87" s="19"/>
      <c r="O87" s="19"/>
      <c r="P87" s="19"/>
      <c r="Q87" s="19"/>
      <c r="R87" s="19"/>
      <c r="S87" s="19"/>
      <c r="T87" s="19"/>
      <c r="U87" s="19"/>
      <c r="V87" s="19"/>
      <c r="W87" s="19"/>
      <c r="X87" s="19"/>
      <c r="Y87" s="19"/>
      <c r="Z87" s="19"/>
      <c r="AA87" s="19"/>
      <c r="AB87" s="19"/>
      <c r="AC87" s="19"/>
    </row>
    <row r="88" customFormat="false" ht="12" hidden="false" customHeight="true" outlineLevel="0" collapsed="false">
      <c r="A88" s="19"/>
      <c r="B88" s="19"/>
      <c r="C88" s="98" t="n">
        <f aca="false">C87+10</f>
        <v>300</v>
      </c>
      <c r="D88" s="128" t="n">
        <f aca="false">2.15+10*LOG10(COS(RADIANS(C88)))</f>
        <v>-0.860299956639811</v>
      </c>
      <c r="E88" s="19"/>
      <c r="F88" s="19"/>
      <c r="G88" s="19"/>
      <c r="H88" s="19"/>
      <c r="I88" s="19"/>
      <c r="J88" s="19"/>
      <c r="K88" s="19"/>
      <c r="L88" s="19"/>
      <c r="M88" s="19"/>
      <c r="N88" s="19"/>
      <c r="O88" s="19"/>
      <c r="P88" s="19"/>
      <c r="Q88" s="19"/>
      <c r="R88" s="19"/>
      <c r="S88" s="19"/>
      <c r="T88" s="19"/>
      <c r="U88" s="19"/>
      <c r="V88" s="19"/>
      <c r="W88" s="19"/>
      <c r="X88" s="19"/>
      <c r="Y88" s="19"/>
      <c r="Z88" s="19"/>
      <c r="AA88" s="19"/>
      <c r="AB88" s="19"/>
      <c r="AC88" s="19"/>
    </row>
    <row r="89" customFormat="false" ht="12" hidden="false" customHeight="true" outlineLevel="0" collapsed="false">
      <c r="A89" s="19"/>
      <c r="B89" s="19"/>
      <c r="C89" s="98" t="n">
        <f aca="false">C88+10</f>
        <v>310</v>
      </c>
      <c r="D89" s="128" t="n">
        <f aca="false">2.15+10*LOG10(COS(RADIANS(C89)))</f>
        <v>0.230674967524348</v>
      </c>
      <c r="E89" s="19"/>
      <c r="F89" s="19"/>
      <c r="G89" s="19" t="s">
        <v>937</v>
      </c>
      <c r="H89" s="19"/>
      <c r="I89" s="19" t="n">
        <v>2.15</v>
      </c>
      <c r="J89" s="19" t="s">
        <v>514</v>
      </c>
      <c r="K89" s="19" t="s">
        <v>938</v>
      </c>
      <c r="L89" s="19"/>
      <c r="M89" s="19"/>
      <c r="N89" s="19"/>
      <c r="O89" s="19"/>
      <c r="P89" s="19"/>
      <c r="Q89" s="19"/>
      <c r="R89" s="19"/>
      <c r="S89" s="19"/>
      <c r="T89" s="19"/>
      <c r="U89" s="19"/>
      <c r="V89" s="19"/>
      <c r="W89" s="19"/>
      <c r="X89" s="19"/>
      <c r="Y89" s="19"/>
      <c r="Z89" s="19"/>
      <c r="AA89" s="19"/>
      <c r="AB89" s="19"/>
      <c r="AC89" s="19"/>
    </row>
    <row r="90" customFormat="false" ht="12" hidden="false" customHeight="true" outlineLevel="0" collapsed="false">
      <c r="A90" s="19"/>
      <c r="B90" s="19"/>
      <c r="C90" s="98" t="n">
        <f aca="false">C89+10</f>
        <v>320</v>
      </c>
      <c r="D90" s="128" t="n">
        <f aca="false">2.15+10*LOG10(COS(RADIANS(C90)))</f>
        <v>0.992539665535193</v>
      </c>
      <c r="E90" s="19"/>
      <c r="F90" s="19"/>
      <c r="G90" s="19"/>
      <c r="H90" s="19"/>
      <c r="I90" s="19"/>
      <c r="J90" s="19"/>
      <c r="K90" s="19"/>
      <c r="L90" s="19"/>
      <c r="M90" s="19"/>
      <c r="N90" s="19"/>
      <c r="O90" s="19"/>
      <c r="P90" s="19"/>
      <c r="Q90" s="19"/>
      <c r="R90" s="19"/>
      <c r="S90" s="19"/>
      <c r="T90" s="19"/>
      <c r="U90" s="19"/>
      <c r="V90" s="19"/>
      <c r="W90" s="19"/>
      <c r="X90" s="19"/>
      <c r="Y90" s="19"/>
      <c r="Z90" s="19"/>
      <c r="AA90" s="19"/>
      <c r="AB90" s="19"/>
      <c r="AC90" s="19"/>
    </row>
    <row r="91" customFormat="false" ht="12" hidden="false" customHeight="true" outlineLevel="0" collapsed="false">
      <c r="A91" s="19"/>
      <c r="B91" s="19"/>
      <c r="C91" s="98" t="n">
        <f aca="false">C90+10</f>
        <v>330</v>
      </c>
      <c r="D91" s="128" t="n">
        <f aca="false">2.15+10*LOG10(COS(RADIANS(C91)))</f>
        <v>1.5253063169585</v>
      </c>
      <c r="E91" s="19"/>
      <c r="F91" s="19"/>
      <c r="G91" s="19" t="s">
        <v>939</v>
      </c>
      <c r="H91" s="19"/>
      <c r="I91" s="704" t="n">
        <v>0</v>
      </c>
      <c r="J91" s="19" t="s">
        <v>239</v>
      </c>
      <c r="K91" s="19"/>
      <c r="L91" s="19"/>
      <c r="M91" s="19"/>
      <c r="N91" s="19"/>
      <c r="O91" s="19"/>
      <c r="P91" s="19"/>
      <c r="Q91" s="19"/>
      <c r="R91" s="19"/>
      <c r="S91" s="19"/>
      <c r="T91" s="19"/>
      <c r="U91" s="19"/>
      <c r="V91" s="19"/>
      <c r="W91" s="19"/>
      <c r="X91" s="19"/>
      <c r="Y91" s="19"/>
      <c r="Z91" s="19"/>
      <c r="AA91" s="19"/>
      <c r="AB91" s="19"/>
      <c r="AC91" s="19"/>
    </row>
    <row r="92" customFormat="false" ht="12" hidden="false" customHeight="true" outlineLevel="0" collapsed="false">
      <c r="A92" s="19"/>
      <c r="B92" s="19"/>
      <c r="C92" s="98" t="n">
        <f aca="false">C91+10</f>
        <v>340</v>
      </c>
      <c r="D92" s="128" t="n">
        <f aca="false">2.15+10*LOG10(COS(RADIANS(C92)))</f>
        <v>1.87985816442936</v>
      </c>
      <c r="E92" s="19"/>
      <c r="F92" s="19"/>
      <c r="G92" s="19"/>
      <c r="H92" s="19"/>
      <c r="I92" s="19"/>
      <c r="J92" s="19"/>
      <c r="K92" s="19"/>
      <c r="L92" s="19"/>
      <c r="M92" s="19"/>
      <c r="N92" s="19"/>
      <c r="O92" s="19"/>
      <c r="P92" s="19"/>
      <c r="Q92" s="19"/>
      <c r="R92" s="19"/>
      <c r="S92" s="19"/>
      <c r="T92" s="19"/>
      <c r="U92" s="19"/>
      <c r="V92" s="19"/>
      <c r="W92" s="19"/>
      <c r="X92" s="19"/>
      <c r="Y92" s="19"/>
      <c r="Z92" s="19"/>
      <c r="AA92" s="19"/>
      <c r="AB92" s="19"/>
      <c r="AC92" s="19"/>
    </row>
    <row r="93" customFormat="false" ht="12" hidden="false" customHeight="true" outlineLevel="0" collapsed="false">
      <c r="A93" s="19"/>
      <c r="B93" s="19"/>
      <c r="C93" s="98" t="n">
        <f aca="false">C92+10</f>
        <v>350</v>
      </c>
      <c r="D93" s="128" t="n">
        <f aca="false">2.15+10*LOG10(COS(RADIANS(C93)))</f>
        <v>2.08351458969935</v>
      </c>
      <c r="E93" s="19"/>
      <c r="F93" s="19"/>
      <c r="G93" s="19"/>
      <c r="H93" s="19"/>
      <c r="I93" s="19"/>
      <c r="J93" s="19"/>
      <c r="K93" s="19"/>
      <c r="L93" s="19"/>
      <c r="M93" s="19"/>
      <c r="N93" s="19"/>
      <c r="O93" s="19"/>
      <c r="P93" s="19"/>
      <c r="Q93" s="19"/>
      <c r="R93" s="19"/>
      <c r="S93" s="19"/>
      <c r="T93" s="19"/>
      <c r="U93" s="19"/>
      <c r="V93" s="19"/>
      <c r="W93" s="19"/>
      <c r="X93" s="19"/>
      <c r="Y93" s="19"/>
      <c r="Z93" s="19"/>
      <c r="AA93" s="19"/>
      <c r="AB93" s="19"/>
      <c r="AC93" s="19"/>
    </row>
    <row r="94" customFormat="false" ht="12" hidden="false" customHeight="true" outlineLevel="0" collapsed="false">
      <c r="A94" s="19"/>
      <c r="B94" s="19"/>
      <c r="C94" s="98" t="n">
        <f aca="false">C93+10</f>
        <v>360</v>
      </c>
      <c r="D94" s="128" t="n">
        <f aca="false">2.15+10*LOG10(COS(RADIANS(C94)))</f>
        <v>2.15</v>
      </c>
      <c r="E94" s="19"/>
      <c r="F94" s="19"/>
      <c r="G94" s="19"/>
      <c r="H94" s="19"/>
      <c r="I94" s="19"/>
      <c r="J94" s="19"/>
      <c r="K94" s="19"/>
      <c r="L94" s="19"/>
      <c r="M94" s="19"/>
      <c r="N94" s="19"/>
      <c r="O94" s="19"/>
      <c r="P94" s="19"/>
      <c r="Q94" s="19"/>
      <c r="R94" s="19"/>
      <c r="S94" s="19"/>
      <c r="T94" s="19"/>
      <c r="U94" s="19"/>
      <c r="V94" s="19"/>
      <c r="W94" s="19"/>
      <c r="X94" s="19"/>
      <c r="Y94" s="19"/>
      <c r="Z94" s="19"/>
      <c r="AA94" s="19"/>
      <c r="AB94" s="19"/>
      <c r="AC94" s="19"/>
    </row>
    <row r="95" customFormat="false" ht="12" hidden="false" customHeight="tru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row>
    <row r="96" customFormat="false" ht="12" hidden="false" customHeight="true" outlineLevel="0" collapsed="false">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row>
    <row r="97" customFormat="false" ht="12" hidden="false" customHeight="true" outlineLevel="0" collapsed="false">
      <c r="A97" s="19"/>
      <c r="B97" s="98" t="s">
        <v>0</v>
      </c>
      <c r="C97" s="19"/>
      <c r="D97" s="705" t="s">
        <v>469</v>
      </c>
      <c r="E97" s="706" t="s">
        <v>942</v>
      </c>
      <c r="F97" s="19"/>
      <c r="G97" s="19"/>
      <c r="H97" s="19"/>
      <c r="I97" s="19"/>
      <c r="J97" s="19"/>
      <c r="K97" s="19"/>
      <c r="L97" s="19"/>
      <c r="M97" s="19"/>
      <c r="N97" s="19"/>
      <c r="O97" s="19"/>
      <c r="P97" s="19"/>
      <c r="Q97" s="19"/>
      <c r="R97" s="19"/>
      <c r="S97" s="19"/>
      <c r="T97" s="19"/>
      <c r="U97" s="19"/>
      <c r="V97" s="19"/>
      <c r="W97" s="19"/>
      <c r="X97" s="19"/>
      <c r="Y97" s="19"/>
      <c r="Z97" s="19"/>
      <c r="AA97" s="19"/>
      <c r="AB97" s="19"/>
      <c r="AC97" s="19"/>
    </row>
    <row r="98" customFormat="false" ht="12" hidden="false" customHeight="true" outlineLevel="0" collapsed="false">
      <c r="A98" s="19"/>
      <c r="B98" s="701" t="s">
        <v>943</v>
      </c>
      <c r="C98" s="702" t="s">
        <v>927</v>
      </c>
      <c r="D98" s="707" t="s">
        <v>928</v>
      </c>
      <c r="E98" s="708" t="s">
        <v>928</v>
      </c>
      <c r="F98" s="19"/>
      <c r="G98" s="19"/>
      <c r="H98" s="19"/>
      <c r="I98" s="19"/>
      <c r="J98" s="19"/>
      <c r="K98" s="19"/>
      <c r="L98" s="19"/>
      <c r="M98" s="19"/>
      <c r="N98" s="19"/>
      <c r="O98" s="19"/>
      <c r="U98" s="19"/>
      <c r="V98" s="19"/>
      <c r="W98" s="19"/>
      <c r="X98" s="19"/>
      <c r="Y98" s="19"/>
      <c r="Z98" s="19"/>
      <c r="AA98" s="19"/>
      <c r="AB98" s="19"/>
      <c r="AC98" s="19"/>
    </row>
    <row r="99" customFormat="false" ht="24" hidden="false" customHeight="true" outlineLevel="0" collapsed="false">
      <c r="A99" s="19"/>
      <c r="B99" s="709" t="s">
        <v>944</v>
      </c>
      <c r="C99" s="98" t="n">
        <v>0</v>
      </c>
      <c r="D99" s="213" t="n">
        <f aca="false">2-0.00075*(C99)^2</f>
        <v>2</v>
      </c>
      <c r="E99" s="213" t="n">
        <f aca="false">0.5-0.00075*(180-C99)^2</f>
        <v>-23.8</v>
      </c>
      <c r="F99" s="38" t="s">
        <v>0</v>
      </c>
      <c r="G99" s="38" t="s">
        <v>0</v>
      </c>
      <c r="U99" s="19"/>
      <c r="V99" s="19"/>
      <c r="W99" s="19"/>
      <c r="X99" s="19"/>
      <c r="Y99" s="19"/>
      <c r="Z99" s="19"/>
      <c r="AA99" s="19"/>
      <c r="AB99" s="19"/>
      <c r="AC99" s="19"/>
    </row>
    <row r="100" customFormat="false" ht="12" hidden="false" customHeight="true" outlineLevel="0" collapsed="false">
      <c r="A100" s="19"/>
      <c r="B100" s="19"/>
      <c r="C100" s="98" t="n">
        <f aca="false">C99+5</f>
        <v>5</v>
      </c>
      <c r="D100" s="213" t="n">
        <f aca="false">2-0.00075*(C100)^2</f>
        <v>1.98125</v>
      </c>
      <c r="E100" s="213" t="n">
        <f aca="false">0.5-0.00075*(180-C100)^2</f>
        <v>-22.46875</v>
      </c>
      <c r="U100" s="19"/>
      <c r="V100" s="19"/>
      <c r="W100" s="19"/>
      <c r="X100" s="19"/>
      <c r="Y100" s="19"/>
      <c r="Z100" s="19"/>
      <c r="AA100" s="19"/>
      <c r="AB100" s="19"/>
      <c r="AC100" s="19"/>
    </row>
    <row r="101" customFormat="false" ht="12" hidden="false" customHeight="true" outlineLevel="0" collapsed="false">
      <c r="A101" s="19"/>
      <c r="B101" s="19"/>
      <c r="C101" s="98" t="n">
        <f aca="false">C100+5</f>
        <v>10</v>
      </c>
      <c r="D101" s="213" t="n">
        <f aca="false">2-0.00075*(C101)^2</f>
        <v>1.925</v>
      </c>
      <c r="E101" s="213" t="n">
        <f aca="false">0.5-0.00075*(180-C101)^2</f>
        <v>-21.175</v>
      </c>
      <c r="U101" s="19"/>
      <c r="V101" s="19"/>
      <c r="W101" s="19"/>
      <c r="X101" s="19"/>
      <c r="Y101" s="19"/>
      <c r="Z101" s="19"/>
      <c r="AA101" s="19"/>
      <c r="AB101" s="19"/>
      <c r="AC101" s="19"/>
    </row>
    <row r="102" customFormat="false" ht="12" hidden="false" customHeight="true" outlineLevel="0" collapsed="false">
      <c r="A102" s="19"/>
      <c r="B102" s="19"/>
      <c r="C102" s="98" t="n">
        <f aca="false">C101+5</f>
        <v>15</v>
      </c>
      <c r="D102" s="213" t="n">
        <f aca="false">2-0.00075*(C102)^2</f>
        <v>1.83125</v>
      </c>
      <c r="E102" s="213" t="n">
        <f aca="false">0.5-0.00075*(180-C102)^2</f>
        <v>-19.91875</v>
      </c>
      <c r="U102" s="19"/>
      <c r="V102" s="19"/>
      <c r="W102" s="19"/>
      <c r="X102" s="19"/>
      <c r="Y102" s="19"/>
      <c r="Z102" s="19"/>
      <c r="AA102" s="19"/>
      <c r="AB102" s="19"/>
      <c r="AC102" s="19"/>
    </row>
    <row r="103" customFormat="false" ht="12" hidden="false" customHeight="true" outlineLevel="0" collapsed="false">
      <c r="A103" s="19"/>
      <c r="B103" s="19"/>
      <c r="C103" s="98" t="n">
        <f aca="false">C102+5</f>
        <v>20</v>
      </c>
      <c r="D103" s="213" t="n">
        <f aca="false">2-0.00075*(C103)^2</f>
        <v>1.7</v>
      </c>
      <c r="E103" s="213" t="n">
        <f aca="false">0.5-0.00075*(180-C103)^2</f>
        <v>-18.7</v>
      </c>
      <c r="U103" s="19"/>
      <c r="V103" s="19"/>
      <c r="W103" s="19"/>
      <c r="X103" s="19"/>
      <c r="Y103" s="19"/>
      <c r="Z103" s="19"/>
      <c r="AA103" s="19"/>
      <c r="AB103" s="19"/>
      <c r="AC103" s="19"/>
    </row>
    <row r="104" customFormat="false" ht="12" hidden="false" customHeight="true" outlineLevel="0" collapsed="false">
      <c r="A104" s="19"/>
      <c r="B104" s="19" t="s">
        <v>0</v>
      </c>
      <c r="C104" s="98" t="n">
        <f aca="false">C103+5</f>
        <v>25</v>
      </c>
      <c r="D104" s="213" t="n">
        <f aca="false">2-0.00075*(C104)^2</f>
        <v>1.53125</v>
      </c>
      <c r="E104" s="213" t="n">
        <f aca="false">0.5-0.00075*(180-C104)^2</f>
        <v>-17.51875</v>
      </c>
      <c r="U104" s="19"/>
      <c r="V104" s="19"/>
      <c r="W104" s="19"/>
      <c r="X104" s="19"/>
      <c r="Y104" s="19"/>
      <c r="Z104" s="19"/>
      <c r="AA104" s="19"/>
      <c r="AB104" s="19"/>
      <c r="AC104" s="19"/>
    </row>
    <row r="105" customFormat="false" ht="12" hidden="false" customHeight="true" outlineLevel="0" collapsed="false">
      <c r="A105" s="19"/>
      <c r="B105" s="19"/>
      <c r="C105" s="98" t="n">
        <f aca="false">C104+5</f>
        <v>30</v>
      </c>
      <c r="D105" s="213" t="n">
        <f aca="false">2-0.00075*(C105)^2</f>
        <v>1.325</v>
      </c>
      <c r="E105" s="213" t="n">
        <f aca="false">0.5-0.00075*(180-C105)^2</f>
        <v>-16.375</v>
      </c>
      <c r="U105" s="19"/>
      <c r="V105" s="19"/>
      <c r="W105" s="19"/>
      <c r="X105" s="19"/>
      <c r="Y105" s="19"/>
      <c r="Z105" s="19"/>
      <c r="AA105" s="19"/>
      <c r="AB105" s="19"/>
      <c r="AC105" s="19"/>
    </row>
    <row r="106" customFormat="false" ht="12" hidden="false" customHeight="true" outlineLevel="0" collapsed="false">
      <c r="A106" s="19"/>
      <c r="B106" s="19"/>
      <c r="C106" s="98" t="n">
        <f aca="false">C105+5</f>
        <v>35</v>
      </c>
      <c r="D106" s="213" t="n">
        <f aca="false">2-0.00075*(C106)^2</f>
        <v>1.08125</v>
      </c>
      <c r="E106" s="213" t="n">
        <f aca="false">0.5-0.00075*(180-C106)^2</f>
        <v>-15.26875</v>
      </c>
      <c r="U106" s="19"/>
      <c r="V106" s="19"/>
      <c r="W106" s="19"/>
      <c r="X106" s="19"/>
      <c r="Y106" s="19"/>
      <c r="Z106" s="19"/>
      <c r="AA106" s="19"/>
      <c r="AB106" s="19"/>
      <c r="AC106" s="19"/>
    </row>
    <row r="107" customFormat="false" ht="12" hidden="false" customHeight="true" outlineLevel="0" collapsed="false">
      <c r="A107" s="19"/>
      <c r="B107" s="19"/>
      <c r="C107" s="98" t="n">
        <f aca="false">C106+5</f>
        <v>40</v>
      </c>
      <c r="D107" s="213" t="n">
        <f aca="false">2-0.00075*(C107)^2</f>
        <v>0.8</v>
      </c>
      <c r="E107" s="213" t="n">
        <f aca="false">0.5-0.00075*(180-C107)^2</f>
        <v>-14.2</v>
      </c>
      <c r="U107" s="19"/>
      <c r="V107" s="19"/>
      <c r="W107" s="19"/>
      <c r="X107" s="19"/>
      <c r="Y107" s="19"/>
      <c r="Z107" s="19"/>
      <c r="AA107" s="19"/>
      <c r="AB107" s="19"/>
      <c r="AC107" s="19"/>
    </row>
    <row r="108" customFormat="false" ht="12" hidden="false" customHeight="true" outlineLevel="0" collapsed="false">
      <c r="A108" s="19"/>
      <c r="B108" s="19"/>
      <c r="C108" s="98" t="n">
        <f aca="false">C107+5</f>
        <v>45</v>
      </c>
      <c r="D108" s="213" t="n">
        <f aca="false">2-0.00075*(C108)^2</f>
        <v>0.48125</v>
      </c>
      <c r="E108" s="213" t="n">
        <f aca="false">0.5-0.00075*(180-C108)^2</f>
        <v>-13.16875</v>
      </c>
      <c r="U108" s="19"/>
      <c r="V108" s="19"/>
      <c r="W108" s="19"/>
      <c r="X108" s="19"/>
      <c r="Y108" s="19"/>
      <c r="Z108" s="19"/>
      <c r="AA108" s="19"/>
      <c r="AB108" s="19"/>
      <c r="AC108" s="19"/>
    </row>
    <row r="109" customFormat="false" ht="12" hidden="false" customHeight="true" outlineLevel="0" collapsed="false">
      <c r="A109" s="19"/>
      <c r="B109" s="19"/>
      <c r="C109" s="98" t="n">
        <f aca="false">C108+5</f>
        <v>50</v>
      </c>
      <c r="D109" s="213" t="n">
        <f aca="false">2-0.00075*(C109)^2</f>
        <v>0.125</v>
      </c>
      <c r="E109" s="213" t="n">
        <f aca="false">0.5-0.00075*(180-C109)^2</f>
        <v>-12.175</v>
      </c>
      <c r="U109" s="19"/>
      <c r="V109" s="19"/>
      <c r="W109" s="19"/>
      <c r="X109" s="19"/>
      <c r="Y109" s="19"/>
      <c r="Z109" s="19"/>
      <c r="AA109" s="19"/>
      <c r="AB109" s="19"/>
      <c r="AC109" s="19"/>
    </row>
    <row r="110" customFormat="false" ht="12" hidden="false" customHeight="true" outlineLevel="0" collapsed="false">
      <c r="A110" s="19"/>
      <c r="B110" s="19"/>
      <c r="C110" s="98" t="n">
        <f aca="false">C109+5</f>
        <v>55</v>
      </c>
      <c r="D110" s="213" t="n">
        <f aca="false">2-0.00075*(C110)^2</f>
        <v>-0.26875</v>
      </c>
      <c r="E110" s="213" t="n">
        <f aca="false">0.5-0.00075*(180-C110)^2</f>
        <v>-11.21875</v>
      </c>
      <c r="U110" s="19"/>
      <c r="V110" s="19"/>
      <c r="W110" s="19"/>
      <c r="X110" s="19"/>
      <c r="Y110" s="19"/>
      <c r="Z110" s="19"/>
      <c r="AA110" s="19"/>
      <c r="AB110" s="19"/>
      <c r="AC110" s="19"/>
    </row>
    <row r="111" customFormat="false" ht="12" hidden="false" customHeight="true" outlineLevel="0" collapsed="false">
      <c r="A111" s="19"/>
      <c r="B111" s="19"/>
      <c r="C111" s="98" t="n">
        <f aca="false">C110+5</f>
        <v>60</v>
      </c>
      <c r="D111" s="213" t="n">
        <f aca="false">2-0.00075*(C111)^2</f>
        <v>-0.7</v>
      </c>
      <c r="E111" s="213" t="n">
        <f aca="false">0.5-0.00075*(180-C111)^2</f>
        <v>-10.3</v>
      </c>
      <c r="U111" s="19"/>
      <c r="V111" s="19"/>
      <c r="W111" s="19"/>
      <c r="X111" s="19"/>
      <c r="Y111" s="19"/>
      <c r="Z111" s="19"/>
      <c r="AA111" s="19"/>
      <c r="AB111" s="19"/>
      <c r="AC111" s="19"/>
    </row>
    <row r="112" customFormat="false" ht="12" hidden="false" customHeight="true" outlineLevel="0" collapsed="false">
      <c r="A112" s="19"/>
      <c r="B112" s="19"/>
      <c r="C112" s="98" t="n">
        <f aca="false">C111+5</f>
        <v>65</v>
      </c>
      <c r="D112" s="213" t="n">
        <f aca="false">2-0.00075*(C112)^2</f>
        <v>-1.16875</v>
      </c>
      <c r="E112" s="213" t="n">
        <f aca="false">0.5-0.00075*(180-C112)^2</f>
        <v>-9.41875</v>
      </c>
      <c r="U112" s="19"/>
      <c r="V112" s="19"/>
      <c r="W112" s="19"/>
      <c r="X112" s="19"/>
      <c r="Y112" s="19"/>
      <c r="Z112" s="19"/>
      <c r="AA112" s="19"/>
      <c r="AB112" s="19"/>
      <c r="AC112" s="19"/>
    </row>
    <row r="113" customFormat="false" ht="12" hidden="false" customHeight="true" outlineLevel="0" collapsed="false">
      <c r="A113" s="19"/>
      <c r="B113" s="19"/>
      <c r="C113" s="98" t="n">
        <f aca="false">C112+5</f>
        <v>70</v>
      </c>
      <c r="D113" s="213" t="n">
        <f aca="false">2-0.00075*(C113)^2</f>
        <v>-1.675</v>
      </c>
      <c r="E113" s="213" t="n">
        <f aca="false">0.5-0.00075*(180-C113)^2</f>
        <v>-8.575</v>
      </c>
      <c r="U113" s="19"/>
      <c r="V113" s="19"/>
      <c r="W113" s="19"/>
      <c r="X113" s="19"/>
      <c r="Y113" s="19"/>
      <c r="Z113" s="19"/>
      <c r="AA113" s="19"/>
      <c r="AB113" s="19"/>
      <c r="AC113" s="19"/>
    </row>
    <row r="114" customFormat="false" ht="12" hidden="false" customHeight="true" outlineLevel="0" collapsed="false">
      <c r="A114" s="19"/>
      <c r="B114" s="19"/>
      <c r="C114" s="98" t="n">
        <f aca="false">C113+5</f>
        <v>75</v>
      </c>
      <c r="D114" s="213" t="n">
        <f aca="false">2-0.00075*(C114)^2</f>
        <v>-2.21875</v>
      </c>
      <c r="E114" s="213" t="n">
        <f aca="false">0.5-0.00075*(180-C114)^2</f>
        <v>-7.76875</v>
      </c>
      <c r="U114" s="19"/>
      <c r="V114" s="19"/>
      <c r="W114" s="19"/>
      <c r="X114" s="19"/>
      <c r="Y114" s="19"/>
      <c r="Z114" s="19"/>
      <c r="AA114" s="19"/>
      <c r="AB114" s="19"/>
      <c r="AC114" s="19"/>
    </row>
    <row r="115" customFormat="false" ht="12" hidden="false" customHeight="true" outlineLevel="0" collapsed="false">
      <c r="A115" s="19"/>
      <c r="B115" s="19"/>
      <c r="C115" s="98" t="n">
        <f aca="false">C114+5</f>
        <v>80</v>
      </c>
      <c r="D115" s="213" t="n">
        <f aca="false">2-0.00075*(C115)^2</f>
        <v>-2.8</v>
      </c>
      <c r="E115" s="213" t="n">
        <f aca="false">0.5-0.00075*(180-C115)^2</f>
        <v>-7</v>
      </c>
      <c r="U115" s="19"/>
      <c r="V115" s="19"/>
      <c r="W115" s="19"/>
      <c r="X115" s="19"/>
      <c r="Y115" s="19"/>
      <c r="Z115" s="19"/>
      <c r="AA115" s="19"/>
      <c r="AB115" s="19"/>
      <c r="AC115" s="19"/>
    </row>
    <row r="116" customFormat="false" ht="12" hidden="false" customHeight="true" outlineLevel="0" collapsed="false">
      <c r="A116" s="19"/>
      <c r="B116" s="19"/>
      <c r="C116" s="98" t="n">
        <f aca="false">C115+5</f>
        <v>85</v>
      </c>
      <c r="D116" s="213" t="n">
        <f aca="false">2-0.00075*(C116)^2</f>
        <v>-3.41875</v>
      </c>
      <c r="E116" s="213" t="n">
        <f aca="false">0.5-0.00075*(180-C116)^2</f>
        <v>-6.26875</v>
      </c>
      <c r="U116" s="19"/>
      <c r="V116" s="19"/>
      <c r="W116" s="19"/>
      <c r="X116" s="19"/>
      <c r="Y116" s="19"/>
      <c r="Z116" s="19"/>
      <c r="AA116" s="19"/>
      <c r="AB116" s="19"/>
      <c r="AC116" s="19"/>
    </row>
    <row r="117" customFormat="false" ht="12" hidden="false" customHeight="true" outlineLevel="0" collapsed="false">
      <c r="A117" s="19"/>
      <c r="B117" s="19"/>
      <c r="C117" s="98" t="n">
        <f aca="false">C116+5</f>
        <v>90</v>
      </c>
      <c r="D117" s="213" t="n">
        <f aca="false">2-0.00075*(C117)^2</f>
        <v>-4.075</v>
      </c>
      <c r="E117" s="213" t="n">
        <f aca="false">0.5-0.00075*(180-C117)^2</f>
        <v>-5.575</v>
      </c>
      <c r="U117" s="19"/>
      <c r="V117" s="19"/>
      <c r="W117" s="19"/>
      <c r="X117" s="19"/>
      <c r="Y117" s="19"/>
      <c r="Z117" s="19"/>
      <c r="AA117" s="19"/>
      <c r="AB117" s="19"/>
      <c r="AC117" s="19"/>
    </row>
    <row r="118" customFormat="false" ht="12" hidden="false" customHeight="true" outlineLevel="0" collapsed="false">
      <c r="A118" s="19"/>
      <c r="B118" s="19"/>
      <c r="C118" s="98" t="n">
        <f aca="false">C117+5</f>
        <v>95</v>
      </c>
      <c r="D118" s="213" t="n">
        <f aca="false">2-0.00075*(C118)^2</f>
        <v>-4.76875</v>
      </c>
      <c r="E118" s="213" t="n">
        <f aca="false">0.5-0.00075*(180-C118)^2</f>
        <v>-4.91875</v>
      </c>
      <c r="U118" s="19"/>
      <c r="V118" s="19"/>
      <c r="W118" s="19"/>
      <c r="X118" s="19"/>
      <c r="Y118" s="19"/>
      <c r="Z118" s="19"/>
      <c r="AA118" s="19"/>
      <c r="AB118" s="19"/>
      <c r="AC118" s="19"/>
    </row>
    <row r="119" customFormat="false" ht="12" hidden="false" customHeight="true" outlineLevel="0" collapsed="false">
      <c r="A119" s="19"/>
      <c r="B119" s="19"/>
      <c r="C119" s="98" t="n">
        <f aca="false">C118+5</f>
        <v>100</v>
      </c>
      <c r="D119" s="213" t="n">
        <f aca="false">2-0.00075*(C119)^2</f>
        <v>-5.5</v>
      </c>
      <c r="E119" s="213" t="n">
        <f aca="false">0.5-0.00075*(180-C119)^2</f>
        <v>-4.3</v>
      </c>
      <c r="U119" s="19"/>
      <c r="V119" s="19"/>
      <c r="W119" s="19"/>
      <c r="X119" s="19"/>
      <c r="Y119" s="19"/>
      <c r="Z119" s="19"/>
      <c r="AA119" s="19"/>
      <c r="AB119" s="19"/>
      <c r="AC119" s="19"/>
    </row>
    <row r="120" customFormat="false" ht="12" hidden="false" customHeight="true" outlineLevel="0" collapsed="false">
      <c r="A120" s="19"/>
      <c r="B120" s="19"/>
      <c r="C120" s="98" t="n">
        <f aca="false">C119+5</f>
        <v>105</v>
      </c>
      <c r="D120" s="213" t="n">
        <f aca="false">2-0.00075*(C120)^2</f>
        <v>-6.26875</v>
      </c>
      <c r="E120" s="213" t="n">
        <f aca="false">0.5-0.00075*(180-C120)^2</f>
        <v>-3.71875</v>
      </c>
      <c r="U120" s="19"/>
      <c r="V120" s="19"/>
      <c r="W120" s="19"/>
      <c r="X120" s="19"/>
      <c r="Y120" s="19"/>
      <c r="Z120" s="19"/>
      <c r="AA120" s="19"/>
      <c r="AB120" s="19"/>
      <c r="AC120" s="19"/>
    </row>
    <row r="121" customFormat="false" ht="12" hidden="false" customHeight="true" outlineLevel="0" collapsed="false">
      <c r="A121" s="19"/>
      <c r="B121" s="19"/>
      <c r="C121" s="98" t="n">
        <f aca="false">C120+5</f>
        <v>110</v>
      </c>
      <c r="D121" s="213" t="n">
        <f aca="false">2-0.00075*(C121)^2</f>
        <v>-7.075</v>
      </c>
      <c r="E121" s="213" t="n">
        <f aca="false">0.5-0.00075*(180-C121)^2</f>
        <v>-3.175</v>
      </c>
      <c r="U121" s="19"/>
      <c r="V121" s="19"/>
      <c r="W121" s="19"/>
      <c r="X121" s="19"/>
      <c r="Y121" s="19"/>
      <c r="Z121" s="19"/>
      <c r="AA121" s="19"/>
      <c r="AB121" s="19"/>
      <c r="AC121" s="19"/>
    </row>
    <row r="122" customFormat="false" ht="12" hidden="false" customHeight="true" outlineLevel="0" collapsed="false">
      <c r="A122" s="19"/>
      <c r="B122" s="19"/>
      <c r="C122" s="98" t="n">
        <f aca="false">C121+5</f>
        <v>115</v>
      </c>
      <c r="D122" s="213" t="n">
        <f aca="false">2-0.00075*(C122)^2</f>
        <v>-7.91875</v>
      </c>
      <c r="E122" s="213" t="n">
        <f aca="false">0.5-0.00075*(180-C122)^2</f>
        <v>-2.66875</v>
      </c>
      <c r="U122" s="19"/>
      <c r="V122" s="19"/>
      <c r="W122" s="19"/>
      <c r="X122" s="19"/>
      <c r="Y122" s="19"/>
      <c r="Z122" s="19"/>
      <c r="AA122" s="19"/>
      <c r="AB122" s="19"/>
      <c r="AC122" s="19"/>
    </row>
    <row r="123" customFormat="false" ht="12" hidden="false" customHeight="true" outlineLevel="0" collapsed="false">
      <c r="A123" s="19"/>
      <c r="B123" s="19"/>
      <c r="C123" s="98" t="n">
        <f aca="false">C122+5</f>
        <v>120</v>
      </c>
      <c r="D123" s="213" t="n">
        <f aca="false">2-0.00075*(C123)^2</f>
        <v>-8.8</v>
      </c>
      <c r="E123" s="213" t="n">
        <f aca="false">0.5-0.00075*(180-C123)^2</f>
        <v>-2.2</v>
      </c>
      <c r="U123" s="19"/>
      <c r="V123" s="19"/>
      <c r="W123" s="19"/>
      <c r="X123" s="19"/>
      <c r="Y123" s="19"/>
      <c r="Z123" s="19"/>
      <c r="AA123" s="19"/>
      <c r="AB123" s="19"/>
      <c r="AC123" s="19"/>
    </row>
    <row r="124" customFormat="false" ht="12" hidden="false" customHeight="true" outlineLevel="0" collapsed="false">
      <c r="A124" s="19"/>
      <c r="B124" s="19"/>
      <c r="C124" s="98" t="n">
        <f aca="false">C123+5</f>
        <v>125</v>
      </c>
      <c r="D124" s="213" t="n">
        <f aca="false">2-0.00075*(C124)^2</f>
        <v>-9.71875</v>
      </c>
      <c r="E124" s="213" t="n">
        <f aca="false">0.5-0.00075*(180-C124)^2</f>
        <v>-1.76875</v>
      </c>
      <c r="U124" s="19"/>
      <c r="V124" s="19"/>
      <c r="W124" s="19"/>
      <c r="X124" s="19"/>
      <c r="Y124" s="19"/>
      <c r="Z124" s="19"/>
      <c r="AA124" s="19"/>
      <c r="AB124" s="19"/>
      <c r="AC124" s="19"/>
    </row>
    <row r="125" customFormat="false" ht="12" hidden="false" customHeight="true" outlineLevel="0" collapsed="false">
      <c r="A125" s="19"/>
      <c r="B125" s="19"/>
      <c r="C125" s="98" t="n">
        <f aca="false">C124+5</f>
        <v>130</v>
      </c>
      <c r="D125" s="213" t="n">
        <f aca="false">2-0.00075*(C125)^2</f>
        <v>-10.675</v>
      </c>
      <c r="E125" s="213" t="n">
        <f aca="false">0.5-0.00075*(180-C125)^2</f>
        <v>-1.375</v>
      </c>
      <c r="U125" s="19"/>
      <c r="V125" s="19"/>
      <c r="W125" s="19"/>
      <c r="X125" s="19"/>
      <c r="Y125" s="19"/>
      <c r="Z125" s="19"/>
      <c r="AA125" s="19"/>
      <c r="AB125" s="19"/>
      <c r="AC125" s="19"/>
    </row>
    <row r="126" customFormat="false" ht="12" hidden="false" customHeight="true" outlineLevel="0" collapsed="false">
      <c r="A126" s="19"/>
      <c r="B126" s="19"/>
      <c r="C126" s="98" t="n">
        <f aca="false">C125+5</f>
        <v>135</v>
      </c>
      <c r="D126" s="213" t="n">
        <f aca="false">2-0.00075*(C126)^2</f>
        <v>-11.66875</v>
      </c>
      <c r="E126" s="213" t="n">
        <f aca="false">0.5-0.00075*(180-C126)^2</f>
        <v>-1.01875</v>
      </c>
      <c r="U126" s="19"/>
      <c r="V126" s="19"/>
      <c r="W126" s="19"/>
      <c r="X126" s="19"/>
      <c r="Y126" s="19"/>
      <c r="Z126" s="19"/>
      <c r="AA126" s="19"/>
      <c r="AB126" s="19"/>
      <c r="AC126" s="19"/>
    </row>
    <row r="127" customFormat="false" ht="12" hidden="false" customHeight="true" outlineLevel="0" collapsed="false">
      <c r="A127" s="19"/>
      <c r="B127" s="19"/>
      <c r="C127" s="98" t="n">
        <f aca="false">C126+5</f>
        <v>140</v>
      </c>
      <c r="D127" s="213" t="n">
        <f aca="false">2-0.00075*(C127)^2</f>
        <v>-12.7</v>
      </c>
      <c r="E127" s="213" t="n">
        <f aca="false">0.5-0.00075*(180-C127)^2</f>
        <v>-0.7</v>
      </c>
      <c r="U127" s="19"/>
      <c r="V127" s="19"/>
      <c r="W127" s="19"/>
      <c r="X127" s="19"/>
      <c r="Y127" s="19"/>
      <c r="Z127" s="19"/>
      <c r="AA127" s="19"/>
      <c r="AB127" s="19"/>
      <c r="AC127" s="19"/>
    </row>
    <row r="128" customFormat="false" ht="12" hidden="false" customHeight="true" outlineLevel="0" collapsed="false">
      <c r="A128" s="19"/>
      <c r="B128" s="19"/>
      <c r="C128" s="98" t="n">
        <f aca="false">C127+5</f>
        <v>145</v>
      </c>
      <c r="D128" s="213" t="n">
        <f aca="false">2-0.00075*(C128)^2</f>
        <v>-13.76875</v>
      </c>
      <c r="E128" s="213" t="n">
        <f aca="false">0.5-0.00075*(180-C128)^2</f>
        <v>-0.41875</v>
      </c>
      <c r="U128" s="19"/>
      <c r="V128" s="19"/>
      <c r="W128" s="19"/>
      <c r="X128" s="19"/>
      <c r="Y128" s="19"/>
      <c r="Z128" s="19"/>
      <c r="AA128" s="19"/>
      <c r="AB128" s="19"/>
      <c r="AC128" s="19"/>
    </row>
    <row r="129" customFormat="false" ht="12" hidden="false" customHeight="true" outlineLevel="0" collapsed="false">
      <c r="A129" s="19"/>
      <c r="B129" s="19"/>
      <c r="C129" s="98" t="n">
        <f aca="false">C128+5</f>
        <v>150</v>
      </c>
      <c r="D129" s="213" t="n">
        <f aca="false">2-0.00075*(C129)^2</f>
        <v>-14.875</v>
      </c>
      <c r="E129" s="213" t="n">
        <f aca="false">0.5-0.00075*(180-C129)^2</f>
        <v>-0.175</v>
      </c>
      <c r="U129" s="19"/>
      <c r="V129" s="19"/>
      <c r="W129" s="19"/>
      <c r="X129" s="19"/>
      <c r="Y129" s="19"/>
      <c r="Z129" s="19"/>
      <c r="AA129" s="19"/>
      <c r="AB129" s="19"/>
      <c r="AC129" s="19"/>
    </row>
    <row r="130" customFormat="false" ht="12" hidden="false" customHeight="true" outlineLevel="0" collapsed="false">
      <c r="A130" s="19"/>
      <c r="B130" s="19"/>
      <c r="C130" s="98" t="n">
        <f aca="false">C129+5</f>
        <v>155</v>
      </c>
      <c r="D130" s="213" t="n">
        <f aca="false">2-0.00075*(C130)^2</f>
        <v>-16.01875</v>
      </c>
      <c r="E130" s="213" t="n">
        <f aca="false">0.5-0.00075*(180-C130)^2</f>
        <v>0.03125</v>
      </c>
      <c r="U130" s="19"/>
      <c r="V130" s="19"/>
      <c r="W130" s="19"/>
      <c r="X130" s="19"/>
      <c r="Y130" s="19"/>
      <c r="Z130" s="19"/>
      <c r="AA130" s="19"/>
      <c r="AB130" s="19"/>
      <c r="AC130" s="19"/>
    </row>
    <row r="131" customFormat="false" ht="12" hidden="false" customHeight="true" outlineLevel="0" collapsed="false">
      <c r="A131" s="19"/>
      <c r="B131" s="19"/>
      <c r="C131" s="98" t="n">
        <f aca="false">C130+5</f>
        <v>160</v>
      </c>
      <c r="D131" s="213" t="n">
        <f aca="false">2-0.00075*(C131)^2</f>
        <v>-17.2</v>
      </c>
      <c r="E131" s="213" t="n">
        <f aca="false">0.5-0.00075*(180-C131)^2</f>
        <v>0.2</v>
      </c>
      <c r="U131" s="19"/>
      <c r="V131" s="19"/>
      <c r="W131" s="19"/>
      <c r="X131" s="19"/>
      <c r="Y131" s="19"/>
      <c r="Z131" s="19"/>
      <c r="AA131" s="19"/>
      <c r="AB131" s="19"/>
      <c r="AC131" s="19"/>
    </row>
    <row r="132" customFormat="false" ht="12" hidden="false" customHeight="true" outlineLevel="0" collapsed="false">
      <c r="A132" s="19"/>
      <c r="B132" s="19"/>
      <c r="C132" s="98" t="n">
        <f aca="false">C131+5</f>
        <v>165</v>
      </c>
      <c r="D132" s="213" t="n">
        <f aca="false">2-0.00075*(C132)^2</f>
        <v>-18.41875</v>
      </c>
      <c r="E132" s="213" t="n">
        <f aca="false">0.5-0.00075*(180-C132)^2</f>
        <v>0.33125</v>
      </c>
      <c r="U132" s="19"/>
      <c r="V132" s="19"/>
      <c r="W132" s="19"/>
      <c r="X132" s="19"/>
      <c r="Y132" s="19"/>
      <c r="Z132" s="19"/>
      <c r="AA132" s="19"/>
      <c r="AB132" s="19"/>
      <c r="AC132" s="19"/>
    </row>
    <row r="133" customFormat="false" ht="12" hidden="false" customHeight="true" outlineLevel="0" collapsed="false">
      <c r="A133" s="19"/>
      <c r="B133" s="19"/>
      <c r="C133" s="98" t="n">
        <f aca="false">C132+5</f>
        <v>170</v>
      </c>
      <c r="D133" s="213" t="n">
        <f aca="false">2-0.00075*(C133)^2</f>
        <v>-19.675</v>
      </c>
      <c r="E133" s="213" t="n">
        <f aca="false">0.5-0.00075*(180-C133)^2</f>
        <v>0.425</v>
      </c>
      <c r="U133" s="19"/>
      <c r="V133" s="19"/>
      <c r="W133" s="19"/>
      <c r="X133" s="19"/>
      <c r="Y133" s="19"/>
      <c r="Z133" s="19"/>
      <c r="AA133" s="19"/>
      <c r="AB133" s="19"/>
      <c r="AC133" s="19"/>
    </row>
    <row r="134" customFormat="false" ht="12" hidden="false" customHeight="true" outlineLevel="0" collapsed="false">
      <c r="A134" s="19"/>
      <c r="B134" s="19"/>
      <c r="C134" s="98" t="n">
        <f aca="false">C133+5</f>
        <v>175</v>
      </c>
      <c r="D134" s="213" t="n">
        <f aca="false">2-0.00075*(C134)^2</f>
        <v>-20.96875</v>
      </c>
      <c r="E134" s="128" t="n">
        <f aca="false">0.5-0.00075*(180-C134)^2</f>
        <v>0.48125</v>
      </c>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row>
    <row r="135" customFormat="false" ht="12" hidden="false" customHeight="true" outlineLevel="0" collapsed="false">
      <c r="A135" s="19"/>
      <c r="B135" s="19"/>
      <c r="C135" s="98" t="n">
        <f aca="false">C134+5</f>
        <v>180</v>
      </c>
      <c r="D135" s="213" t="n">
        <f aca="false">2-0.00075*(C135)^2</f>
        <v>-22.3</v>
      </c>
      <c r="E135" s="213" t="n">
        <f aca="false">0.5-0.00075*(180-C135)^2</f>
        <v>0.5</v>
      </c>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row>
    <row r="136" customFormat="false" ht="12" hidden="false" customHeight="true" outlineLevel="0" collapsed="false">
      <c r="A136" s="19"/>
      <c r="B136" s="19"/>
      <c r="C136" s="98" t="n">
        <f aca="false">C135+5</f>
        <v>185</v>
      </c>
      <c r="D136" s="213" t="n">
        <f aca="false">2-0.00075*(360-C136)^2</f>
        <v>-20.96875</v>
      </c>
      <c r="E136" s="128" t="n">
        <f aca="false">0.5-0.00075*-(180-C136)^2</f>
        <v>0.48125</v>
      </c>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row>
    <row r="137" customFormat="false" ht="12" hidden="false" customHeight="true" outlineLevel="0" collapsed="false">
      <c r="A137" s="19"/>
      <c r="B137" s="19"/>
      <c r="C137" s="98" t="n">
        <f aca="false">C136+5</f>
        <v>190</v>
      </c>
      <c r="D137" s="213" t="n">
        <f aca="false">2-0.00075*(360-C137)^2</f>
        <v>-19.675</v>
      </c>
      <c r="E137" s="128" t="n">
        <f aca="false">0.5-0.00075*-(180-C137)^2</f>
        <v>0.425</v>
      </c>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row>
    <row r="138" customFormat="false" ht="12" hidden="false" customHeight="true" outlineLevel="0" collapsed="false">
      <c r="A138" s="19"/>
      <c r="B138" s="19"/>
      <c r="C138" s="98" t="n">
        <f aca="false">C137+5</f>
        <v>195</v>
      </c>
      <c r="D138" s="213" t="n">
        <f aca="false">2-0.00075*(360-C138)^2</f>
        <v>-18.41875</v>
      </c>
      <c r="E138" s="128" t="n">
        <f aca="false">0.5-0.00075*-(180-C138)^2</f>
        <v>0.33125</v>
      </c>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row>
    <row r="139" customFormat="false" ht="12" hidden="false" customHeight="true" outlineLevel="0" collapsed="false">
      <c r="A139" s="19"/>
      <c r="B139" s="19"/>
      <c r="C139" s="98" t="n">
        <f aca="false">C138+5</f>
        <v>200</v>
      </c>
      <c r="D139" s="213" t="n">
        <f aca="false">2-0.00075*(360-C139)^2</f>
        <v>-17.2</v>
      </c>
      <c r="E139" s="128" t="n">
        <f aca="false">0.5-0.00075*-(180-C139)^2</f>
        <v>0.2</v>
      </c>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row>
    <row r="140" customFormat="false" ht="12" hidden="false" customHeight="true" outlineLevel="0" collapsed="false">
      <c r="A140" s="19"/>
      <c r="B140" s="19"/>
      <c r="C140" s="98" t="n">
        <f aca="false">C139+5</f>
        <v>205</v>
      </c>
      <c r="D140" s="213" t="n">
        <f aca="false">2-0.00075*(360-C140)^2</f>
        <v>-16.01875</v>
      </c>
      <c r="E140" s="128" t="n">
        <f aca="false">0.5-0.00075*-(180-C140)^2</f>
        <v>0.03125</v>
      </c>
      <c r="F140" s="19"/>
      <c r="G140" s="19" t="s">
        <v>0</v>
      </c>
      <c r="H140" s="19"/>
      <c r="I140" s="19"/>
      <c r="J140" s="19"/>
      <c r="K140" s="19"/>
      <c r="L140" s="19"/>
      <c r="M140" s="19"/>
      <c r="N140" s="19"/>
      <c r="O140" s="19"/>
      <c r="P140" s="19"/>
      <c r="Q140" s="19"/>
      <c r="R140" s="19"/>
      <c r="S140" s="19"/>
      <c r="T140" s="19"/>
      <c r="U140" s="19"/>
      <c r="V140" s="19"/>
      <c r="W140" s="19"/>
      <c r="X140" s="19"/>
      <c r="Y140" s="19"/>
      <c r="Z140" s="19"/>
      <c r="AA140" s="19"/>
      <c r="AB140" s="19"/>
      <c r="AC140" s="19"/>
    </row>
    <row r="141" customFormat="false" ht="12" hidden="false" customHeight="true" outlineLevel="0" collapsed="false">
      <c r="A141" s="19"/>
      <c r="B141" s="19"/>
      <c r="C141" s="98" t="n">
        <f aca="false">C140+5</f>
        <v>210</v>
      </c>
      <c r="D141" s="213" t="n">
        <f aca="false">2-0.00075*(360-C141)^2</f>
        <v>-14.875</v>
      </c>
      <c r="E141" s="128" t="n">
        <f aca="false">0.5-0.00075*-(180-C141)^2</f>
        <v>-0.175</v>
      </c>
      <c r="F141" s="19"/>
      <c r="G141" s="19" t="s">
        <v>0</v>
      </c>
      <c r="H141" s="19"/>
      <c r="I141" s="19"/>
      <c r="J141" s="19"/>
      <c r="K141" s="19"/>
      <c r="L141" s="19"/>
      <c r="M141" s="19"/>
      <c r="N141" s="19"/>
      <c r="O141" s="19"/>
      <c r="P141" s="19"/>
      <c r="Q141" s="19"/>
      <c r="R141" s="19"/>
      <c r="S141" s="19"/>
      <c r="T141" s="19"/>
      <c r="U141" s="19"/>
      <c r="V141" s="19"/>
      <c r="W141" s="19"/>
      <c r="X141" s="19"/>
      <c r="Y141" s="19"/>
      <c r="Z141" s="19"/>
      <c r="AA141" s="19"/>
      <c r="AB141" s="19"/>
      <c r="AC141" s="19"/>
    </row>
    <row r="142" customFormat="false" ht="12" hidden="false" customHeight="true" outlineLevel="0" collapsed="false">
      <c r="A142" s="19"/>
      <c r="B142" s="19"/>
      <c r="C142" s="98" t="n">
        <f aca="false">C141+5</f>
        <v>215</v>
      </c>
      <c r="D142" s="213" t="n">
        <f aca="false">2-0.00075*(360-C142)^2</f>
        <v>-13.76875</v>
      </c>
      <c r="E142" s="128" t="n">
        <f aca="false">0.5-0.00075*-(180-C142)^2</f>
        <v>-0.41875</v>
      </c>
      <c r="F142" s="19"/>
      <c r="G142" s="19" t="s">
        <v>0</v>
      </c>
      <c r="H142" s="19"/>
      <c r="I142" s="19"/>
      <c r="J142" s="19"/>
      <c r="K142" s="19"/>
      <c r="L142" s="19"/>
      <c r="M142" s="19"/>
      <c r="N142" s="19"/>
      <c r="O142" s="19"/>
      <c r="P142" s="19"/>
      <c r="Q142" s="19"/>
      <c r="R142" s="19"/>
      <c r="S142" s="19"/>
      <c r="T142" s="19"/>
      <c r="U142" s="19"/>
      <c r="V142" s="19"/>
      <c r="W142" s="19"/>
      <c r="X142" s="19"/>
      <c r="Y142" s="19"/>
      <c r="Z142" s="19"/>
      <c r="AA142" s="19"/>
      <c r="AB142" s="19"/>
      <c r="AC142" s="19"/>
    </row>
    <row r="143" customFormat="false" ht="12" hidden="false" customHeight="true" outlineLevel="0" collapsed="false">
      <c r="A143" s="19"/>
      <c r="B143" s="19"/>
      <c r="C143" s="98" t="n">
        <f aca="false">C142+5</f>
        <v>220</v>
      </c>
      <c r="D143" s="213" t="n">
        <f aca="false">2-0.00075*(360-C143)^2</f>
        <v>-12.7</v>
      </c>
      <c r="E143" s="128" t="n">
        <f aca="false">0.5-0.00075*-(180-C143)^2</f>
        <v>-0.7</v>
      </c>
      <c r="F143" s="19"/>
      <c r="G143" s="19" t="s">
        <v>0</v>
      </c>
      <c r="H143" s="19"/>
      <c r="I143" s="19"/>
      <c r="J143" s="19"/>
      <c r="K143" s="19"/>
      <c r="L143" s="19"/>
      <c r="M143" s="19"/>
      <c r="N143" s="19"/>
      <c r="O143" s="19"/>
      <c r="P143" s="19"/>
      <c r="Q143" s="19"/>
      <c r="R143" s="19"/>
      <c r="S143" s="19"/>
      <c r="T143" s="19"/>
      <c r="U143" s="19"/>
      <c r="V143" s="19"/>
      <c r="W143" s="19"/>
      <c r="X143" s="19"/>
      <c r="Y143" s="19"/>
      <c r="Z143" s="19"/>
      <c r="AA143" s="19"/>
      <c r="AB143" s="19"/>
      <c r="AC143" s="19"/>
    </row>
    <row r="144" customFormat="false" ht="12" hidden="false" customHeight="true" outlineLevel="0" collapsed="false">
      <c r="A144" s="19"/>
      <c r="B144" s="19"/>
      <c r="C144" s="98" t="n">
        <f aca="false">C143+5</f>
        <v>225</v>
      </c>
      <c r="D144" s="213" t="n">
        <f aca="false">2-0.00075*(360-C144)^2</f>
        <v>-11.66875</v>
      </c>
      <c r="E144" s="128" t="n">
        <f aca="false">0.5-0.00075*-(180-C144)^2</f>
        <v>-1.01875</v>
      </c>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row>
    <row r="145" customFormat="false" ht="12" hidden="false" customHeight="true" outlineLevel="0" collapsed="false">
      <c r="A145" s="19"/>
      <c r="B145" s="19"/>
      <c r="C145" s="98" t="n">
        <f aca="false">C144+5</f>
        <v>230</v>
      </c>
      <c r="D145" s="213" t="n">
        <f aca="false">2-0.00075*(360-C145)^2</f>
        <v>-10.675</v>
      </c>
      <c r="E145" s="128" t="n">
        <f aca="false">0.5-0.00075*-(180-C145)^2</f>
        <v>-1.375</v>
      </c>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row>
    <row r="146" customFormat="false" ht="12" hidden="false" customHeight="true" outlineLevel="0" collapsed="false">
      <c r="A146" s="19"/>
      <c r="B146" s="19"/>
      <c r="C146" s="98" t="n">
        <f aca="false">C145+5</f>
        <v>235</v>
      </c>
      <c r="D146" s="213" t="n">
        <f aca="false">2-0.00075*(360-C146)^2</f>
        <v>-9.71875</v>
      </c>
      <c r="E146" s="128" t="n">
        <f aca="false">0.5-0.00075*-(180-C146)^2</f>
        <v>-1.76875</v>
      </c>
      <c r="F146" s="19" t="s">
        <v>0</v>
      </c>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row>
    <row r="147" customFormat="false" ht="12" hidden="false" customHeight="true" outlineLevel="0" collapsed="false">
      <c r="A147" s="19"/>
      <c r="B147" s="19"/>
      <c r="C147" s="98" t="n">
        <f aca="false">C146+5</f>
        <v>240</v>
      </c>
      <c r="D147" s="213" t="n">
        <f aca="false">2-0.00075*(360-C147)^2</f>
        <v>-8.8</v>
      </c>
      <c r="E147" s="128" t="n">
        <f aca="false">0.5-0.00075*-(180-C147)^2</f>
        <v>-2.2</v>
      </c>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row>
    <row r="148" customFormat="false" ht="12" hidden="false" customHeight="true" outlineLevel="0" collapsed="false">
      <c r="A148" s="19"/>
      <c r="B148" s="19"/>
      <c r="C148" s="98" t="n">
        <f aca="false">C147+5</f>
        <v>245</v>
      </c>
      <c r="D148" s="213" t="n">
        <f aca="false">2-0.00075*(360-C148)^2</f>
        <v>-7.91875</v>
      </c>
      <c r="E148" s="128" t="n">
        <f aca="false">0.5-0.00075*-(180-C148)^2</f>
        <v>-2.66875</v>
      </c>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row>
    <row r="149" customFormat="false" ht="12" hidden="false" customHeight="true" outlineLevel="0" collapsed="false">
      <c r="A149" s="19"/>
      <c r="B149" s="19"/>
      <c r="C149" s="98" t="n">
        <f aca="false">C148+5</f>
        <v>250</v>
      </c>
      <c r="D149" s="213" t="n">
        <f aca="false">2-0.00075*(360-C149)^2</f>
        <v>-7.075</v>
      </c>
      <c r="E149" s="128" t="n">
        <f aca="false">0.5-0.00075*-(180-C149)^2</f>
        <v>-3.175</v>
      </c>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row>
    <row r="150" customFormat="false" ht="12" hidden="false" customHeight="true" outlineLevel="0" collapsed="false">
      <c r="A150" s="19"/>
      <c r="B150" s="19"/>
      <c r="C150" s="98" t="n">
        <f aca="false">C149+5</f>
        <v>255</v>
      </c>
      <c r="D150" s="213" t="n">
        <f aca="false">2-0.00075*(360-C150)^2</f>
        <v>-6.26875</v>
      </c>
      <c r="E150" s="128" t="n">
        <f aca="false">0.5-0.00075*-(180-C150)^2</f>
        <v>-3.71875</v>
      </c>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row>
    <row r="151" customFormat="false" ht="12" hidden="false" customHeight="true" outlineLevel="0" collapsed="false">
      <c r="A151" s="19"/>
      <c r="B151" s="19"/>
      <c r="C151" s="98" t="n">
        <f aca="false">C150+5</f>
        <v>260</v>
      </c>
      <c r="D151" s="213" t="n">
        <f aca="false">2-0.00075*(360-C151)^2</f>
        <v>-5.5</v>
      </c>
      <c r="E151" s="128" t="n">
        <f aca="false">0.5-0.00075*-(180-C151)^2</f>
        <v>-4.3</v>
      </c>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row>
    <row r="152" customFormat="false" ht="12" hidden="false" customHeight="true" outlineLevel="0" collapsed="false">
      <c r="A152" s="19"/>
      <c r="B152" s="19"/>
      <c r="C152" s="98" t="n">
        <f aca="false">C151+5</f>
        <v>265</v>
      </c>
      <c r="D152" s="213" t="n">
        <f aca="false">2-0.00075*(360-C152)^2</f>
        <v>-4.76875</v>
      </c>
      <c r="E152" s="128" t="n">
        <f aca="false">0.5-0.00075*-(180-C152)^2</f>
        <v>-4.91875</v>
      </c>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row>
    <row r="153" customFormat="false" ht="12" hidden="false" customHeight="true" outlineLevel="0" collapsed="false">
      <c r="A153" s="19"/>
      <c r="B153" s="19"/>
      <c r="C153" s="98" t="n">
        <f aca="false">C152+5</f>
        <v>270</v>
      </c>
      <c r="D153" s="213" t="n">
        <f aca="false">2-0.00075*(360-C153)^2</f>
        <v>-4.075</v>
      </c>
      <c r="E153" s="128" t="n">
        <f aca="false">0.5-0.00075*-(180-C153)^2</f>
        <v>-5.575</v>
      </c>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row>
    <row r="154" customFormat="false" ht="12" hidden="false" customHeight="true" outlineLevel="0" collapsed="false">
      <c r="A154" s="19"/>
      <c r="B154" s="19"/>
      <c r="C154" s="98" t="n">
        <f aca="false">C153+5</f>
        <v>275</v>
      </c>
      <c r="D154" s="213" t="n">
        <f aca="false">2-0.00075*(360-C154)^2</f>
        <v>-3.41875</v>
      </c>
      <c r="E154" s="128" t="n">
        <f aca="false">0.5-0.00075*-(180-C154)^2</f>
        <v>-6.26875</v>
      </c>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row>
    <row r="155" customFormat="false" ht="12" hidden="false" customHeight="true" outlineLevel="0" collapsed="false">
      <c r="A155" s="19"/>
      <c r="B155" s="19"/>
      <c r="C155" s="98" t="n">
        <f aca="false">C154+5</f>
        <v>280</v>
      </c>
      <c r="D155" s="213" t="n">
        <f aca="false">2-0.00075*(360-C155)^2</f>
        <v>-2.8</v>
      </c>
      <c r="E155" s="128" t="n">
        <f aca="false">0.5-0.00075*-(180-C155)^2</f>
        <v>-7</v>
      </c>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row>
    <row r="156" customFormat="false" ht="12" hidden="false" customHeight="true" outlineLevel="0" collapsed="false">
      <c r="A156" s="19"/>
      <c r="B156" s="19"/>
      <c r="C156" s="98" t="n">
        <f aca="false">C155+5</f>
        <v>285</v>
      </c>
      <c r="D156" s="213" t="n">
        <f aca="false">2-0.00075*(360-C156)^2</f>
        <v>-2.21875</v>
      </c>
      <c r="E156" s="128" t="n">
        <f aca="false">0.5-0.00075*-(180-C156)^2</f>
        <v>-7.76875</v>
      </c>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row>
    <row r="157" customFormat="false" ht="12" hidden="false" customHeight="true" outlineLevel="0" collapsed="false">
      <c r="A157" s="19"/>
      <c r="B157" s="19"/>
      <c r="C157" s="98" t="n">
        <f aca="false">C156+5</f>
        <v>290</v>
      </c>
      <c r="D157" s="213" t="n">
        <f aca="false">2-0.00075*(360-C157)^2</f>
        <v>-1.675</v>
      </c>
      <c r="E157" s="128" t="n">
        <f aca="false">0.5-0.00075*-(180-C157)^2</f>
        <v>-8.575</v>
      </c>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row>
    <row r="158" customFormat="false" ht="12" hidden="false" customHeight="true" outlineLevel="0" collapsed="false">
      <c r="A158" s="19"/>
      <c r="B158" s="19"/>
      <c r="C158" s="98" t="n">
        <f aca="false">C157+5</f>
        <v>295</v>
      </c>
      <c r="D158" s="213" t="n">
        <f aca="false">2-0.00075*(360-C158)^2</f>
        <v>-1.16875</v>
      </c>
      <c r="E158" s="128" t="n">
        <f aca="false">0.5-0.00075*-(180-C158)^2</f>
        <v>-9.41875</v>
      </c>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row>
    <row r="159" customFormat="false" ht="12" hidden="false" customHeight="true" outlineLevel="0" collapsed="false">
      <c r="A159" s="19"/>
      <c r="B159" s="19"/>
      <c r="C159" s="98" t="n">
        <f aca="false">C158+5</f>
        <v>300</v>
      </c>
      <c r="D159" s="213" t="n">
        <f aca="false">2-0.00075*(360-C159)^2</f>
        <v>-0.7</v>
      </c>
      <c r="E159" s="128" t="n">
        <f aca="false">0.5-0.00075*-(180-C159)^2</f>
        <v>-10.3</v>
      </c>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row>
    <row r="160" customFormat="false" ht="12" hidden="false" customHeight="true" outlineLevel="0" collapsed="false">
      <c r="A160" s="19"/>
      <c r="B160" s="19"/>
      <c r="C160" s="98" t="n">
        <f aca="false">C159+5</f>
        <v>305</v>
      </c>
      <c r="D160" s="213" t="n">
        <f aca="false">2-0.00075*(360-C160)^2</f>
        <v>-0.26875</v>
      </c>
      <c r="E160" s="128" t="n">
        <f aca="false">0.5-0.00075*-(180-C160)^2</f>
        <v>-11.21875</v>
      </c>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row>
    <row r="161" customFormat="false" ht="12" hidden="false" customHeight="true" outlineLevel="0" collapsed="false">
      <c r="A161" s="19"/>
      <c r="B161" s="19"/>
      <c r="C161" s="98" t="n">
        <f aca="false">C160+5</f>
        <v>310</v>
      </c>
      <c r="D161" s="213" t="n">
        <f aca="false">2-0.00075*(360-C161)^2</f>
        <v>0.125</v>
      </c>
      <c r="E161" s="128" t="n">
        <f aca="false">0.5-0.00075*-(180-C161)^2</f>
        <v>-12.175</v>
      </c>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row>
    <row r="162" customFormat="false" ht="12" hidden="false" customHeight="true" outlineLevel="0" collapsed="false">
      <c r="A162" s="19"/>
      <c r="B162" s="19"/>
      <c r="C162" s="98" t="n">
        <f aca="false">C161+5</f>
        <v>315</v>
      </c>
      <c r="D162" s="213" t="n">
        <f aca="false">2-0.00075*(360-C162)^2</f>
        <v>0.48125</v>
      </c>
      <c r="E162" s="128" t="n">
        <f aca="false">0.5-0.00075*-(180-C162)^2</f>
        <v>-13.16875</v>
      </c>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row>
    <row r="163" customFormat="false" ht="12" hidden="false" customHeight="true" outlineLevel="0" collapsed="false">
      <c r="A163" s="19"/>
      <c r="B163" s="19"/>
      <c r="C163" s="98" t="n">
        <f aca="false">C162+5</f>
        <v>320</v>
      </c>
      <c r="D163" s="213" t="n">
        <f aca="false">2-0.00075*(360-C163)^2</f>
        <v>0.8</v>
      </c>
      <c r="E163" s="128" t="n">
        <f aca="false">0.5-0.00075*-(180-C163)^2</f>
        <v>-14.2</v>
      </c>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row>
    <row r="164" customFormat="false" ht="12" hidden="false" customHeight="true" outlineLevel="0" collapsed="false">
      <c r="A164" s="19"/>
      <c r="B164" s="19"/>
      <c r="C164" s="98" t="n">
        <f aca="false">C163+5</f>
        <v>325</v>
      </c>
      <c r="D164" s="213" t="n">
        <f aca="false">2-0.00075*(360-C164)^2</f>
        <v>1.08125</v>
      </c>
      <c r="E164" s="128" t="n">
        <f aca="false">0.5-0.00075*-(180-C164)^2</f>
        <v>-15.26875</v>
      </c>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row>
    <row r="165" customFormat="false" ht="12" hidden="false" customHeight="true" outlineLevel="0" collapsed="false">
      <c r="A165" s="19"/>
      <c r="B165" s="19"/>
      <c r="C165" s="98" t="n">
        <f aca="false">C164+5</f>
        <v>330</v>
      </c>
      <c r="D165" s="213" t="n">
        <f aca="false">2-0.00075*(360-C165)^2</f>
        <v>1.325</v>
      </c>
      <c r="E165" s="128" t="n">
        <f aca="false">0.5-0.00075*-(180-C165)^2</f>
        <v>-16.375</v>
      </c>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row>
    <row r="166" customFormat="false" ht="12" hidden="false" customHeight="true" outlineLevel="0" collapsed="false">
      <c r="A166" s="19"/>
      <c r="B166" s="19"/>
      <c r="C166" s="98" t="n">
        <f aca="false">C165+5</f>
        <v>335</v>
      </c>
      <c r="D166" s="213" t="n">
        <f aca="false">2-0.00075*(360-C166)^2</f>
        <v>1.53125</v>
      </c>
      <c r="E166" s="128" t="n">
        <f aca="false">0.5-0.00075*-(180-C166)^2</f>
        <v>-17.51875</v>
      </c>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row>
    <row r="167" customFormat="false" ht="12" hidden="false" customHeight="true" outlineLevel="0" collapsed="false">
      <c r="A167" s="19"/>
      <c r="B167" s="19"/>
      <c r="C167" s="98" t="n">
        <f aca="false">C166+5</f>
        <v>340</v>
      </c>
      <c r="D167" s="213" t="n">
        <f aca="false">2-0.00075*(360-C167)^2</f>
        <v>1.7</v>
      </c>
      <c r="E167" s="128" t="n">
        <f aca="false">0.5-0.00075*-(180-C167)^2</f>
        <v>-18.7</v>
      </c>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row>
    <row r="168" customFormat="false" ht="12" hidden="false" customHeight="true" outlineLevel="0" collapsed="false">
      <c r="A168" s="19"/>
      <c r="B168" s="19"/>
      <c r="C168" s="98" t="n">
        <f aca="false">C167+5</f>
        <v>345</v>
      </c>
      <c r="D168" s="213" t="n">
        <f aca="false">2-0.00075*(360-C168)^2</f>
        <v>1.83125</v>
      </c>
      <c r="E168" s="128" t="n">
        <f aca="false">0.5-0.00075*-(180-C168)^2</f>
        <v>-19.91875</v>
      </c>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row>
    <row r="169" customFormat="false" ht="12" hidden="false" customHeight="true" outlineLevel="0" collapsed="false">
      <c r="A169" s="19"/>
      <c r="B169" s="19"/>
      <c r="C169" s="98" t="n">
        <f aca="false">C168+5</f>
        <v>350</v>
      </c>
      <c r="D169" s="213" t="n">
        <f aca="false">2-0.00075*(360-C169)^2</f>
        <v>1.925</v>
      </c>
      <c r="E169" s="128" t="n">
        <f aca="false">0.5-0.00075*-(180-C169)^2</f>
        <v>-21.175</v>
      </c>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row>
    <row r="170" customFormat="false" ht="12" hidden="false" customHeight="true" outlineLevel="0" collapsed="false">
      <c r="A170" s="19"/>
      <c r="B170" s="19"/>
      <c r="C170" s="98" t="n">
        <f aca="false">C169+5</f>
        <v>355</v>
      </c>
      <c r="D170" s="213" t="n">
        <f aca="false">2-0.00075*(360-C170)^2</f>
        <v>1.98125</v>
      </c>
      <c r="E170" s="128" t="n">
        <f aca="false">0.5-0.00075*-(180-C170)^2</f>
        <v>-22.46875</v>
      </c>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row>
    <row r="171" customFormat="false" ht="12" hidden="false" customHeight="true" outlineLevel="0" collapsed="false">
      <c r="A171" s="19"/>
      <c r="B171" s="19"/>
      <c r="C171" s="98" t="n">
        <v>360</v>
      </c>
      <c r="D171" s="213" t="n">
        <f aca="false">2-0.00075*(360-C171)^2</f>
        <v>2</v>
      </c>
      <c r="E171" s="128" t="n">
        <f aca="false">0.5-0.00075*-(180-C171)^2</f>
        <v>-23.8</v>
      </c>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row>
    <row r="172" customFormat="false" ht="12" hidden="false" customHeight="true" outlineLevel="0" collapsed="false">
      <c r="A172" s="19"/>
      <c r="B172" s="19"/>
      <c r="C172" s="98"/>
      <c r="D172" s="213"/>
      <c r="E172" s="128"/>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row>
    <row r="173" customFormat="false" ht="12" hidden="false" customHeight="true" outlineLevel="0" collapsed="false">
      <c r="A173" s="19"/>
      <c r="B173" s="19"/>
      <c r="C173" s="98"/>
      <c r="D173" s="213"/>
      <c r="E173" s="128"/>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row>
    <row r="174" customFormat="false" ht="12" hidden="false" customHeight="true" outlineLevel="0" collapsed="false">
      <c r="A174" s="19"/>
      <c r="B174" s="98" t="s">
        <v>0</v>
      </c>
      <c r="C174" s="19"/>
      <c r="D174" s="705" t="s">
        <v>469</v>
      </c>
      <c r="E174" s="706" t="s">
        <v>942</v>
      </c>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row>
    <row r="175" customFormat="false" ht="12" hidden="false" customHeight="true" outlineLevel="0" collapsed="false">
      <c r="A175" s="19"/>
      <c r="B175" s="701" t="s">
        <v>945</v>
      </c>
      <c r="C175" s="710" t="s">
        <v>946</v>
      </c>
      <c r="D175" s="707" t="s">
        <v>928</v>
      </c>
      <c r="E175" s="707" t="s">
        <v>928</v>
      </c>
      <c r="F175" s="711"/>
      <c r="G175" s="327"/>
      <c r="H175" s="327"/>
      <c r="I175" s="327"/>
      <c r="J175" s="327"/>
      <c r="K175" s="327"/>
      <c r="L175" s="327"/>
      <c r="M175" s="19"/>
      <c r="N175" s="19"/>
      <c r="O175" s="19"/>
      <c r="P175" s="19"/>
      <c r="Q175" s="19"/>
      <c r="R175" s="19"/>
      <c r="S175" s="19"/>
      <c r="T175" s="19"/>
      <c r="U175" s="19"/>
      <c r="V175" s="19"/>
      <c r="W175" s="19"/>
      <c r="X175" s="19"/>
      <c r="Y175" s="19"/>
      <c r="Z175" s="19"/>
      <c r="AA175" s="19"/>
      <c r="AB175" s="19"/>
      <c r="AC175" s="19"/>
    </row>
    <row r="176" customFormat="false" ht="12" hidden="false" customHeight="true" outlineLevel="0" collapsed="false">
      <c r="A176" s="19"/>
      <c r="B176" s="98"/>
      <c r="C176" s="98" t="n">
        <v>0</v>
      </c>
      <c r="D176" s="213" t="n">
        <f aca="false">4-1.5*((4-10*LOG10(1.256*(1+COS(RADIANS(C176))))))</f>
        <v>4.00029452597738</v>
      </c>
      <c r="E176" s="98"/>
      <c r="F176" s="711"/>
      <c r="G176" s="327"/>
      <c r="H176" s="327"/>
      <c r="I176" s="327"/>
      <c r="J176" s="327"/>
      <c r="K176" s="327"/>
      <c r="L176" s="327"/>
      <c r="M176" s="19"/>
      <c r="N176" s="19"/>
      <c r="O176" s="19"/>
      <c r="P176" s="19"/>
      <c r="Q176" s="19"/>
      <c r="R176" s="19"/>
      <c r="S176" s="19"/>
      <c r="T176" s="19"/>
      <c r="U176" s="19"/>
      <c r="V176" s="19"/>
      <c r="W176" s="19"/>
      <c r="X176" s="19"/>
      <c r="Y176" s="19"/>
      <c r="Z176" s="19"/>
      <c r="AA176" s="19"/>
      <c r="AB176" s="19"/>
      <c r="AC176" s="19"/>
    </row>
    <row r="177" customFormat="false" ht="12" hidden="false" customHeight="true" outlineLevel="0" collapsed="false">
      <c r="A177" s="19"/>
      <c r="B177" s="98"/>
      <c r="C177" s="98" t="n">
        <f aca="false">C176+5</f>
        <v>5</v>
      </c>
      <c r="D177" s="213" t="n">
        <f aca="false">4-1.5*((4-10*LOG10(1.256*(1+COS(RADIANS(C177))))))</f>
        <v>3.98788805748607</v>
      </c>
      <c r="E177" s="98"/>
      <c r="F177" s="711"/>
      <c r="G177" s="327"/>
      <c r="H177" s="327"/>
      <c r="I177" s="327"/>
      <c r="J177" s="327"/>
      <c r="K177" s="327"/>
      <c r="L177" s="327"/>
      <c r="M177" s="19"/>
      <c r="N177" s="19"/>
      <c r="O177" s="19"/>
      <c r="P177" s="19"/>
      <c r="Q177" s="19"/>
      <c r="R177" s="19"/>
      <c r="S177" s="19"/>
      <c r="T177" s="19"/>
      <c r="U177" s="19"/>
      <c r="V177" s="19"/>
      <c r="W177" s="19"/>
      <c r="X177" s="19"/>
      <c r="Y177" s="19"/>
      <c r="Z177" s="19"/>
      <c r="AA177" s="19"/>
      <c r="AB177" s="19"/>
      <c r="AC177" s="19"/>
    </row>
    <row r="178" customFormat="false" ht="12" hidden="false" customHeight="true" outlineLevel="0" collapsed="false">
      <c r="A178" s="19"/>
      <c r="B178" s="98"/>
      <c r="C178" s="98" t="n">
        <f aca="false">C177+5</f>
        <v>10</v>
      </c>
      <c r="D178" s="213" t="n">
        <f aca="false">4-1.5*((4-10*LOG10(1.256*(1+COS(RADIANS(C178))))))</f>
        <v>3.95062130650235</v>
      </c>
      <c r="E178" s="98"/>
      <c r="F178" s="711"/>
      <c r="G178" s="327"/>
      <c r="H178" s="327"/>
      <c r="I178" s="327"/>
      <c r="J178" s="327"/>
      <c r="K178" s="327"/>
      <c r="L178" s="327"/>
      <c r="M178" s="19"/>
      <c r="N178" s="19"/>
      <c r="O178" s="19"/>
      <c r="P178" s="19"/>
      <c r="Q178" s="19"/>
      <c r="R178" s="19"/>
      <c r="S178" s="19"/>
      <c r="T178" s="19"/>
      <c r="U178" s="19"/>
      <c r="V178" s="19"/>
      <c r="W178" s="19"/>
      <c r="X178" s="19"/>
      <c r="Y178" s="19"/>
      <c r="Z178" s="19"/>
      <c r="AA178" s="19"/>
      <c r="AB178" s="19"/>
      <c r="AC178" s="19"/>
    </row>
    <row r="179" customFormat="false" ht="12" hidden="false" customHeight="true" outlineLevel="0" collapsed="false">
      <c r="A179" s="19"/>
      <c r="B179" s="98"/>
      <c r="C179" s="98" t="n">
        <f aca="false">C178+5</f>
        <v>15</v>
      </c>
      <c r="D179" s="213" t="n">
        <f aca="false">4-1.5*((4-10*LOG10(1.256*(1+COS(RADIANS(C179))))))</f>
        <v>3.88835151135578</v>
      </c>
      <c r="E179" s="98"/>
      <c r="F179" s="711"/>
      <c r="G179" s="327"/>
      <c r="H179" s="327"/>
      <c r="I179" s="327"/>
      <c r="J179" s="327"/>
      <c r="K179" s="327"/>
      <c r="L179" s="327"/>
      <c r="M179" s="19"/>
      <c r="N179" s="19"/>
      <c r="O179" s="19"/>
      <c r="P179" s="19"/>
      <c r="Q179" s="19"/>
      <c r="R179" s="19"/>
      <c r="S179" s="19"/>
      <c r="T179" s="19"/>
      <c r="U179" s="19"/>
      <c r="V179" s="19"/>
      <c r="W179" s="19"/>
      <c r="X179" s="19"/>
      <c r="Y179" s="19"/>
      <c r="Z179" s="19"/>
      <c r="AA179" s="19"/>
      <c r="AB179" s="19"/>
      <c r="AC179" s="19"/>
    </row>
    <row r="180" customFormat="false" ht="12" hidden="false" customHeight="true" outlineLevel="0" collapsed="false">
      <c r="A180" s="19"/>
      <c r="B180" s="98"/>
      <c r="C180" s="98" t="n">
        <f aca="false">C179+5</f>
        <v>20</v>
      </c>
      <c r="D180" s="213" t="n">
        <f aca="false">4-1.5*((4-10*LOG10(1.256*(1+COS(RADIANS(C180))))))</f>
        <v>3.80083829507544</v>
      </c>
      <c r="E180" s="98"/>
      <c r="F180" s="711"/>
      <c r="G180" s="327"/>
      <c r="H180" s="327"/>
      <c r="I180" s="327"/>
      <c r="J180" s="327"/>
      <c r="K180" s="327"/>
      <c r="L180" s="327"/>
      <c r="M180" s="19"/>
      <c r="N180" s="19"/>
      <c r="O180" s="19"/>
      <c r="P180" s="19"/>
      <c r="Q180" s="19"/>
      <c r="R180" s="19"/>
      <c r="S180" s="19"/>
      <c r="T180" s="19"/>
      <c r="U180" s="19"/>
      <c r="V180" s="19"/>
      <c r="W180" s="19"/>
      <c r="X180" s="19"/>
      <c r="Y180" s="19"/>
      <c r="Z180" s="19"/>
      <c r="AA180" s="19"/>
      <c r="AB180" s="19"/>
      <c r="AC180" s="19"/>
    </row>
    <row r="181" customFormat="false" ht="12" hidden="false" customHeight="true" outlineLevel="0" collapsed="false">
      <c r="A181" s="19"/>
      <c r="B181" s="98"/>
      <c r="C181" s="98" t="n">
        <f aca="false">C180+5</f>
        <v>25</v>
      </c>
      <c r="D181" s="213" t="n">
        <f aca="false">4-1.5*((4-10*LOG10(1.256*(1+COS(RADIANS(C181))))))</f>
        <v>3.68773991976029</v>
      </c>
      <c r="E181" s="98" t="s">
        <v>0</v>
      </c>
      <c r="F181" s="711"/>
      <c r="G181" s="327"/>
      <c r="H181" s="327"/>
      <c r="I181" s="327"/>
      <c r="J181" s="327"/>
      <c r="K181" s="327"/>
      <c r="L181" s="327"/>
      <c r="M181" s="19"/>
      <c r="N181" s="19"/>
      <c r="O181" s="19"/>
      <c r="P181" s="19"/>
      <c r="Q181" s="19"/>
      <c r="R181" s="19"/>
      <c r="S181" s="19"/>
      <c r="T181" s="19"/>
      <c r="U181" s="19"/>
      <c r="V181" s="19"/>
      <c r="W181" s="19"/>
      <c r="X181" s="19"/>
      <c r="Y181" s="19"/>
      <c r="Z181" s="19"/>
      <c r="AA181" s="19"/>
      <c r="AB181" s="19"/>
      <c r="AC181" s="19"/>
    </row>
    <row r="182" customFormat="false" ht="12" hidden="false" customHeight="true" outlineLevel="0" collapsed="false">
      <c r="A182" s="19"/>
      <c r="B182" s="98"/>
      <c r="C182" s="98" t="n">
        <f aca="false">C181+5</f>
        <v>30</v>
      </c>
      <c r="D182" s="213" t="n">
        <f aca="false">4-1.5*((4-10*LOG10(1.256*(1+COS(RADIANS(C182))))))</f>
        <v>3.54860786905833</v>
      </c>
      <c r="E182" s="98"/>
      <c r="F182" s="711"/>
      <c r="G182" s="327"/>
      <c r="H182" s="327"/>
      <c r="I182" s="327"/>
      <c r="J182" s="327"/>
      <c r="K182" s="327"/>
      <c r="L182" s="327"/>
      <c r="M182" s="19"/>
      <c r="N182" s="19"/>
      <c r="O182" s="19"/>
      <c r="P182" s="19"/>
      <c r="Q182" s="19"/>
      <c r="R182" s="19"/>
      <c r="S182" s="19"/>
      <c r="T182" s="19"/>
      <c r="U182" s="19"/>
      <c r="V182" s="19"/>
      <c r="W182" s="19"/>
      <c r="X182" s="19"/>
      <c r="Y182" s="19"/>
      <c r="Z182" s="19"/>
      <c r="AA182" s="19"/>
      <c r="AB182" s="19"/>
      <c r="AC182" s="19"/>
    </row>
    <row r="183" customFormat="false" ht="12" hidden="false" customHeight="true" outlineLevel="0" collapsed="false">
      <c r="A183" s="19"/>
      <c r="B183" s="98"/>
      <c r="C183" s="98" t="n">
        <f aca="false">C182+5</f>
        <v>35</v>
      </c>
      <c r="D183" s="213" t="n">
        <f aca="false">4-1.5*((4-10*LOG10(1.256*(1+COS(RADIANS(C183))))))</f>
        <v>3.38287957314502</v>
      </c>
      <c r="E183" s="98"/>
      <c r="F183" s="711"/>
      <c r="G183" s="327"/>
      <c r="H183" s="327"/>
      <c r="I183" s="327"/>
      <c r="J183" s="327"/>
      <c r="K183" s="327"/>
      <c r="L183" s="327"/>
      <c r="M183" s="19"/>
      <c r="N183" s="19"/>
      <c r="O183" s="19"/>
      <c r="P183" s="19"/>
      <c r="Q183" s="19"/>
      <c r="R183" s="19"/>
      <c r="S183" s="19"/>
      <c r="T183" s="19"/>
      <c r="U183" s="19"/>
      <c r="V183" s="19"/>
      <c r="W183" s="19"/>
      <c r="X183" s="19"/>
      <c r="Y183" s="19"/>
      <c r="Z183" s="19"/>
      <c r="AA183" s="19"/>
      <c r="AB183" s="19"/>
      <c r="AC183" s="19"/>
    </row>
    <row r="184" customFormat="false" ht="12" hidden="false" customHeight="true" outlineLevel="0" collapsed="false">
      <c r="A184" s="19"/>
      <c r="B184" s="98"/>
      <c r="C184" s="98" t="n">
        <f aca="false">C183+5</f>
        <v>40</v>
      </c>
      <c r="D184" s="213" t="n">
        <f aca="false">4-1.5*((4-10*LOG10(1.256*(1+COS(RADIANS(C184))))))</f>
        <v>3.18986901926547</v>
      </c>
      <c r="E184" s="98"/>
      <c r="F184" s="711"/>
      <c r="G184" s="327"/>
      <c r="H184" s="327"/>
      <c r="I184" s="327"/>
      <c r="J184" s="327"/>
      <c r="K184" s="327"/>
      <c r="L184" s="327"/>
      <c r="M184" s="19"/>
      <c r="N184" s="19"/>
      <c r="O184" s="19"/>
      <c r="P184" s="19"/>
      <c r="Q184" s="19"/>
      <c r="R184" s="19"/>
      <c r="S184" s="19"/>
      <c r="T184" s="19"/>
      <c r="U184" s="19"/>
      <c r="V184" s="19"/>
      <c r="W184" s="19"/>
      <c r="X184" s="19"/>
      <c r="Y184" s="19"/>
      <c r="Z184" s="19"/>
      <c r="AA184" s="19"/>
      <c r="AB184" s="19"/>
      <c r="AC184" s="19"/>
    </row>
    <row r="185" customFormat="false" ht="12" hidden="false" customHeight="true" outlineLevel="0" collapsed="false">
      <c r="A185" s="19"/>
      <c r="B185" s="98"/>
      <c r="C185" s="98" t="n">
        <f aca="false">C184+5</f>
        <v>45</v>
      </c>
      <c r="D185" s="213" t="n">
        <f aca="false">4-1.5*((4-10*LOG10(1.256*(1+COS(RADIANS(C185))))))</f>
        <v>2.96875490360575</v>
      </c>
      <c r="E185" s="98"/>
      <c r="F185" s="711"/>
      <c r="G185" s="327"/>
      <c r="H185" s="327" t="s">
        <v>0</v>
      </c>
      <c r="I185" s="327" t="s">
        <v>947</v>
      </c>
      <c r="J185" s="327"/>
      <c r="K185" s="327"/>
      <c r="L185" s="327"/>
      <c r="M185" s="19"/>
      <c r="N185" s="19"/>
      <c r="O185" s="19"/>
      <c r="P185" s="19"/>
      <c r="Q185" s="19"/>
      <c r="R185" s="19"/>
      <c r="S185" s="19"/>
      <c r="T185" s="19"/>
      <c r="U185" s="19"/>
      <c r="V185" s="19"/>
      <c r="W185" s="19"/>
      <c r="X185" s="19"/>
      <c r="Y185" s="19"/>
      <c r="Z185" s="19"/>
      <c r="AA185" s="19"/>
      <c r="AB185" s="19"/>
      <c r="AC185" s="19"/>
    </row>
    <row r="186" customFormat="false" ht="12" hidden="false" customHeight="true" outlineLevel="0" collapsed="false">
      <c r="A186" s="19"/>
      <c r="B186" s="98"/>
      <c r="C186" s="98" t="n">
        <f aca="false">C185+5</f>
        <v>50</v>
      </c>
      <c r="D186" s="213" t="n">
        <f aca="false">4-1.5*((4-10*LOG10(1.256*(1+COS(RADIANS(C186))))))</f>
        <v>2.71856587056933</v>
      </c>
      <c r="E186" s="98"/>
      <c r="F186" s="711"/>
      <c r="G186" s="327"/>
      <c r="H186" s="327"/>
      <c r="I186" s="327"/>
      <c r="J186" s="327" t="s">
        <v>930</v>
      </c>
      <c r="K186" s="327"/>
      <c r="L186" s="327"/>
      <c r="M186" s="19"/>
      <c r="N186" s="19"/>
      <c r="O186" s="19"/>
      <c r="P186" s="19"/>
      <c r="Q186" s="19"/>
      <c r="R186" s="19"/>
      <c r="S186" s="19"/>
      <c r="T186" s="19"/>
      <c r="U186" s="19"/>
      <c r="V186" s="19"/>
      <c r="W186" s="19"/>
      <c r="X186" s="19"/>
      <c r="Y186" s="19"/>
      <c r="Z186" s="19"/>
      <c r="AA186" s="19"/>
      <c r="AB186" s="19"/>
      <c r="AC186" s="19"/>
    </row>
    <row r="187" customFormat="false" ht="12" hidden="false" customHeight="true" outlineLevel="0" collapsed="false">
      <c r="A187" s="19"/>
      <c r="B187" s="98"/>
      <c r="C187" s="98" t="n">
        <f aca="false">C186+5</f>
        <v>55</v>
      </c>
      <c r="D187" s="213" t="n">
        <f aca="false">4-1.5*((4-10*LOG10(1.256*(1+COS(RADIANS(C187))))))</f>
        <v>2.43816224474404</v>
      </c>
      <c r="E187" s="98"/>
      <c r="F187" s="711"/>
      <c r="G187" s="327"/>
      <c r="H187" s="327"/>
      <c r="I187" s="327"/>
      <c r="J187" s="327"/>
      <c r="K187" s="327"/>
      <c r="L187" s="327"/>
      <c r="M187" s="19"/>
      <c r="N187" s="19"/>
      <c r="O187" s="19"/>
      <c r="P187" s="19"/>
      <c r="Q187" s="19"/>
      <c r="R187" s="19"/>
      <c r="S187" s="19"/>
      <c r="T187" s="19"/>
      <c r="U187" s="19"/>
      <c r="V187" s="19"/>
      <c r="W187" s="19"/>
      <c r="X187" s="19"/>
      <c r="Y187" s="19"/>
      <c r="Z187" s="19"/>
      <c r="AA187" s="19"/>
      <c r="AB187" s="19"/>
      <c r="AC187" s="19"/>
    </row>
    <row r="188" customFormat="false" ht="12" hidden="false" customHeight="true" outlineLevel="0" collapsed="false">
      <c r="A188" s="19"/>
      <c r="B188" s="98"/>
      <c r="C188" s="98" t="n">
        <f aca="false">C187+5</f>
        <v>60</v>
      </c>
      <c r="D188" s="213" t="n">
        <f aca="false">4-1.5*((4-10*LOG10(1.256*(1+COS(RADIANS(C188))))))</f>
        <v>2.12621347685288</v>
      </c>
      <c r="E188" s="98"/>
      <c r="F188" s="711"/>
      <c r="G188" s="327"/>
      <c r="H188" s="327"/>
      <c r="I188" s="327"/>
      <c r="J188" s="327"/>
      <c r="K188" s="327"/>
      <c r="L188" s="327"/>
      <c r="M188" s="19"/>
      <c r="N188" s="19"/>
      <c r="O188" s="19"/>
      <c r="P188" s="19"/>
      <c r="Q188" s="19"/>
      <c r="R188" s="19"/>
      <c r="S188" s="19"/>
      <c r="T188" s="19"/>
      <c r="U188" s="19"/>
      <c r="V188" s="19"/>
      <c r="W188" s="19"/>
      <c r="X188" s="19"/>
      <c r="Y188" s="19"/>
      <c r="Z188" s="19"/>
      <c r="AA188" s="19"/>
      <c r="AB188" s="19"/>
      <c r="AC188" s="19"/>
    </row>
    <row r="189" customFormat="false" ht="12" hidden="false" customHeight="true" outlineLevel="0" collapsed="false">
      <c r="A189" s="19"/>
      <c r="B189" s="98"/>
      <c r="C189" s="98" t="n">
        <f aca="false">C188+5</f>
        <v>65</v>
      </c>
      <c r="D189" s="213" t="n">
        <f aca="false">4-1.5*((4-10*LOG10(1.256*(1+COS(RADIANS(C189))))))</f>
        <v>1.78117028067871</v>
      </c>
      <c r="E189" s="98"/>
      <c r="F189" s="711"/>
      <c r="G189" s="327"/>
      <c r="H189" s="327"/>
      <c r="I189" s="327"/>
      <c r="J189" s="327"/>
      <c r="K189" s="327"/>
      <c r="L189" s="327"/>
      <c r="M189" s="19"/>
      <c r="N189" s="19"/>
      <c r="O189" s="19"/>
      <c r="P189" s="19"/>
      <c r="Q189" s="19"/>
      <c r="R189" s="19"/>
      <c r="S189" s="19"/>
      <c r="T189" s="19"/>
      <c r="U189" s="19"/>
      <c r="V189" s="19"/>
      <c r="W189" s="19"/>
      <c r="X189" s="19"/>
      <c r="Y189" s="19"/>
      <c r="Z189" s="19"/>
      <c r="AA189" s="19"/>
      <c r="AB189" s="19"/>
      <c r="AC189" s="19"/>
    </row>
    <row r="190" customFormat="false" ht="12" hidden="false" customHeight="true" outlineLevel="0" collapsed="false">
      <c r="A190" s="19"/>
      <c r="B190" s="98"/>
      <c r="C190" s="98" t="n">
        <f aca="false">C189+5</f>
        <v>70</v>
      </c>
      <c r="D190" s="213" t="n">
        <f aca="false">4-1.5*((4-10*LOG10(1.256*(1+COS(RADIANS(C190))))))</f>
        <v>1.40123010872312</v>
      </c>
      <c r="E190" s="98"/>
      <c r="F190" s="711"/>
      <c r="G190" s="327"/>
      <c r="H190" s="327"/>
      <c r="I190" s="327"/>
      <c r="J190" s="327"/>
      <c r="K190" s="327"/>
      <c r="L190" s="327"/>
      <c r="M190" s="19"/>
      <c r="N190" s="19"/>
      <c r="O190" s="19"/>
      <c r="P190" s="19"/>
      <c r="Q190" s="19"/>
      <c r="R190" s="19"/>
      <c r="S190" s="19"/>
      <c r="T190" s="19"/>
      <c r="U190" s="19"/>
      <c r="V190" s="19"/>
      <c r="W190" s="19"/>
      <c r="X190" s="19"/>
      <c r="Y190" s="19"/>
      <c r="Z190" s="19"/>
      <c r="AA190" s="19"/>
      <c r="AB190" s="19"/>
      <c r="AC190" s="19"/>
    </row>
    <row r="191" customFormat="false" ht="12" hidden="false" customHeight="true" outlineLevel="0" collapsed="false">
      <c r="A191" s="19"/>
      <c r="B191" s="98"/>
      <c r="C191" s="98" t="n">
        <f aca="false">C190+5</f>
        <v>75</v>
      </c>
      <c r="D191" s="213" t="n">
        <f aca="false">4-1.5*((4-10*LOG10(1.256*(1+COS(RADIANS(C191))))))</f>
        <v>0.984294164220279</v>
      </c>
      <c r="E191" s="98"/>
      <c r="F191" s="711"/>
      <c r="G191" s="327"/>
      <c r="H191" s="327"/>
      <c r="I191" s="327"/>
      <c r="J191" s="327"/>
      <c r="K191" s="327"/>
      <c r="L191" s="327"/>
      <c r="M191" s="19"/>
      <c r="N191" s="19"/>
      <c r="O191" s="19"/>
      <c r="P191" s="19"/>
      <c r="Q191" s="19"/>
      <c r="R191" s="19"/>
      <c r="S191" s="19"/>
      <c r="T191" s="19"/>
      <c r="U191" s="19"/>
      <c r="V191" s="19"/>
      <c r="W191" s="19"/>
      <c r="X191" s="19"/>
      <c r="Y191" s="19"/>
      <c r="Z191" s="19"/>
      <c r="AA191" s="19"/>
      <c r="AB191" s="19"/>
      <c r="AC191" s="19"/>
    </row>
    <row r="192" customFormat="false" ht="12" hidden="false" customHeight="true" outlineLevel="0" collapsed="false">
      <c r="A192" s="19"/>
      <c r="B192" s="98"/>
      <c r="C192" s="98" t="n">
        <f aca="false">C191+5</f>
        <v>80</v>
      </c>
      <c r="D192" s="213" t="n">
        <f aca="false">4-1.5*((4-10*LOG10(1.256*(1+COS(RADIANS(C192))))))</f>
        <v>0.527913522582962</v>
      </c>
      <c r="E192" s="98"/>
      <c r="F192" s="711"/>
      <c r="G192" s="327"/>
      <c r="H192" s="327"/>
      <c r="I192" s="327"/>
      <c r="J192" s="327"/>
      <c r="K192" s="327"/>
      <c r="L192" s="327"/>
      <c r="M192" s="19"/>
      <c r="N192" s="19"/>
      <c r="O192" s="19"/>
      <c r="P192" s="19"/>
      <c r="Q192" s="19"/>
      <c r="R192" s="19"/>
      <c r="S192" s="19"/>
      <c r="T192" s="19"/>
      <c r="U192" s="19"/>
      <c r="V192" s="19"/>
      <c r="W192" s="19"/>
      <c r="X192" s="19"/>
      <c r="Y192" s="19"/>
      <c r="Z192" s="19"/>
      <c r="AA192" s="19"/>
      <c r="AB192" s="19"/>
      <c r="AC192" s="19"/>
    </row>
    <row r="193" customFormat="false" ht="12" hidden="false" customHeight="true" outlineLevel="0" collapsed="false">
      <c r="A193" s="19"/>
      <c r="B193" s="98"/>
      <c r="C193" s="98" t="n">
        <f aca="false">C192+5</f>
        <v>85</v>
      </c>
      <c r="D193" s="213" t="n">
        <f aca="false">4-1.5*((4-10*LOG10(1.256*(1+COS(RADIANS(C193))))))</f>
        <v>0.0292210554976364</v>
      </c>
      <c r="E193" s="98"/>
      <c r="F193" s="711"/>
      <c r="G193" s="327"/>
      <c r="H193" s="327"/>
      <c r="I193" s="327"/>
      <c r="J193" s="327"/>
      <c r="K193" s="327"/>
      <c r="L193" s="327"/>
      <c r="M193" s="19"/>
      <c r="N193" s="19"/>
      <c r="O193" s="19"/>
      <c r="P193" s="19"/>
      <c r="Q193" s="19"/>
      <c r="R193" s="19"/>
      <c r="S193" s="19"/>
      <c r="T193" s="19"/>
      <c r="U193" s="19"/>
      <c r="V193" s="19"/>
      <c r="W193" s="19"/>
      <c r="X193" s="19"/>
      <c r="Y193" s="19"/>
      <c r="Z193" s="19"/>
      <c r="AA193" s="19"/>
      <c r="AB193" s="19"/>
      <c r="AC193" s="19"/>
    </row>
    <row r="194" customFormat="false" ht="12" hidden="false" customHeight="true" outlineLevel="0" collapsed="false">
      <c r="A194" s="19"/>
      <c r="B194" s="98"/>
      <c r="C194" s="98" t="n">
        <f aca="false">C193+5</f>
        <v>90</v>
      </c>
      <c r="D194" s="213" t="n">
        <f aca="false">4-1.5*((4-10*LOG10(1.256*(1+COS(RADIANS(C194))))))</f>
        <v>-0.51515540898234</v>
      </c>
      <c r="E194" s="98"/>
      <c r="F194" s="711"/>
      <c r="G194" s="327"/>
      <c r="H194" s="327"/>
      <c r="I194" s="327"/>
      <c r="J194" s="327"/>
      <c r="K194" s="327"/>
      <c r="L194" s="327"/>
      <c r="M194" s="19"/>
      <c r="N194" s="19"/>
      <c r="O194" s="19"/>
      <c r="P194" s="19"/>
      <c r="Q194" s="19"/>
      <c r="R194" s="19"/>
      <c r="S194" s="19"/>
      <c r="T194" s="19"/>
      <c r="U194" s="19"/>
      <c r="V194" s="19"/>
      <c r="W194" s="19"/>
      <c r="X194" s="19"/>
      <c r="Y194" s="19"/>
      <c r="Z194" s="19"/>
      <c r="AA194" s="19"/>
      <c r="AB194" s="19"/>
      <c r="AC194" s="19"/>
    </row>
    <row r="195" customFormat="false" ht="12" hidden="false" customHeight="true" outlineLevel="0" collapsed="false">
      <c r="A195" s="19"/>
      <c r="B195" s="98"/>
      <c r="C195" s="98" t="n">
        <f aca="false">C194+5</f>
        <v>95</v>
      </c>
      <c r="D195" s="213" t="n">
        <f aca="false">4-1.5*((4-10*LOG10(1.256*(1+COS(RADIANS(C195))))))</f>
        <v>-1.10920509293734</v>
      </c>
      <c r="E195" s="98"/>
      <c r="F195" s="711"/>
      <c r="G195" s="327"/>
      <c r="H195" s="327"/>
      <c r="I195" s="327"/>
      <c r="J195" s="327"/>
      <c r="K195" s="327"/>
      <c r="L195" s="327"/>
      <c r="M195" s="19"/>
      <c r="N195" s="19"/>
      <c r="O195" s="19"/>
      <c r="P195" s="19"/>
      <c r="Q195" s="19"/>
      <c r="R195" s="19"/>
      <c r="S195" s="19"/>
      <c r="T195" s="19"/>
      <c r="U195" s="19"/>
      <c r="V195" s="19"/>
      <c r="W195" s="19"/>
      <c r="X195" s="19"/>
      <c r="Y195" s="19"/>
      <c r="Z195" s="19"/>
      <c r="AA195" s="19"/>
      <c r="AB195" s="19"/>
      <c r="AC195" s="19"/>
    </row>
    <row r="196" customFormat="false" ht="12" hidden="false" customHeight="true" outlineLevel="0" collapsed="false">
      <c r="A196" s="19"/>
      <c r="B196" s="98"/>
      <c r="C196" s="98" t="n">
        <f aca="false">C195+5</f>
        <v>100</v>
      </c>
      <c r="D196" s="213" t="n">
        <f aca="false">4-1.5*((4-10*LOG10(1.256*(1+COS(RADIANS(C196))))))</f>
        <v>-1.75768057144957</v>
      </c>
      <c r="E196" s="98"/>
      <c r="F196" s="711"/>
      <c r="G196" s="327"/>
      <c r="H196" s="327"/>
      <c r="I196" s="327"/>
      <c r="J196" s="327"/>
      <c r="K196" s="327"/>
      <c r="L196" s="327"/>
      <c r="M196" s="19"/>
      <c r="N196" s="19"/>
      <c r="O196" s="19"/>
      <c r="P196" s="19"/>
      <c r="Q196" s="19"/>
      <c r="R196" s="19"/>
      <c r="S196" s="19"/>
      <c r="T196" s="19"/>
      <c r="U196" s="19"/>
      <c r="V196" s="19"/>
      <c r="W196" s="19"/>
      <c r="X196" s="19"/>
      <c r="Y196" s="19"/>
      <c r="Z196" s="19"/>
      <c r="AA196" s="19"/>
      <c r="AB196" s="19"/>
      <c r="AC196" s="19"/>
    </row>
    <row r="197" customFormat="false" ht="12" hidden="false" customHeight="true" outlineLevel="0" collapsed="false">
      <c r="A197" s="19"/>
      <c r="B197" s="98"/>
      <c r="C197" s="98" t="n">
        <f aca="false">C196+5</f>
        <v>105</v>
      </c>
      <c r="D197" s="213" t="n">
        <f aca="false">4-1.5*((4-10*LOG10(1.256*(1+COS(RADIANS(C197))))))</f>
        <v>-2.466291639104</v>
      </c>
      <c r="E197" s="98"/>
      <c r="F197" s="711"/>
      <c r="G197" s="327"/>
      <c r="H197" s="327"/>
      <c r="I197" s="327"/>
      <c r="J197" s="327"/>
      <c r="K197" s="327"/>
      <c r="L197" s="327"/>
      <c r="M197" s="19"/>
      <c r="N197" s="19"/>
      <c r="O197" s="19"/>
      <c r="P197" s="19"/>
      <c r="Q197" s="19"/>
      <c r="R197" s="19"/>
      <c r="S197" s="19"/>
      <c r="T197" s="19"/>
      <c r="U197" s="19"/>
      <c r="V197" s="19"/>
      <c r="W197" s="19"/>
      <c r="X197" s="19"/>
      <c r="Y197" s="19"/>
      <c r="Z197" s="19"/>
      <c r="AA197" s="19"/>
      <c r="AB197" s="19"/>
      <c r="AC197" s="19"/>
    </row>
    <row r="198" customFormat="false" ht="12" hidden="false" customHeight="true" outlineLevel="0" collapsed="false">
      <c r="A198" s="19"/>
      <c r="B198" s="98"/>
      <c r="C198" s="98" t="n">
        <f aca="false">C197+5</f>
        <v>110</v>
      </c>
      <c r="D198" s="213" t="n">
        <f aca="false">4-1.5*((4-10*LOG10(1.256*(1+COS(RADIANS(C198))))))</f>
        <v>-3.2419664333997</v>
      </c>
      <c r="E198" s="98"/>
      <c r="F198" s="711"/>
      <c r="G198" s="327"/>
      <c r="H198" s="327"/>
      <c r="I198" s="327"/>
      <c r="J198" s="327"/>
      <c r="K198" s="327"/>
      <c r="L198" s="327"/>
      <c r="M198" s="19"/>
      <c r="N198" s="19"/>
      <c r="O198" s="19"/>
      <c r="P198" s="19"/>
      <c r="Q198" s="19"/>
      <c r="R198" s="19"/>
      <c r="S198" s="19"/>
      <c r="T198" s="19"/>
      <c r="U198" s="19"/>
      <c r="V198" s="19"/>
      <c r="W198" s="19"/>
      <c r="X198" s="19"/>
      <c r="Y198" s="19"/>
      <c r="Z198" s="19"/>
      <c r="AA198" s="19"/>
      <c r="AB198" s="19"/>
      <c r="AC198" s="19"/>
    </row>
    <row r="199" customFormat="false" ht="12" hidden="false" customHeight="true" outlineLevel="0" collapsed="false">
      <c r="A199" s="19"/>
      <c r="B199" s="98"/>
      <c r="C199" s="98" t="n">
        <f aca="false">C198+5</f>
        <v>115</v>
      </c>
      <c r="D199" s="213" t="n">
        <f aca="false">4-1.5*((4-10*LOG10(1.256*(1+COS(RADIANS(C199))))))</f>
        <v>-4.09320975405143</v>
      </c>
      <c r="E199" s="98"/>
      <c r="F199" s="711"/>
      <c r="G199" s="327"/>
      <c r="H199" s="327"/>
      <c r="I199" s="327"/>
      <c r="J199" s="327"/>
      <c r="K199" s="327"/>
      <c r="L199" s="327"/>
      <c r="M199" s="19"/>
      <c r="N199" s="19"/>
      <c r="O199" s="19"/>
      <c r="P199" s="19"/>
      <c r="Q199" s="19"/>
      <c r="R199" s="19"/>
      <c r="S199" s="19"/>
      <c r="T199" s="19"/>
      <c r="U199" s="19"/>
      <c r="V199" s="19"/>
      <c r="W199" s="19"/>
      <c r="X199" s="19"/>
      <c r="Y199" s="19"/>
      <c r="Z199" s="19"/>
      <c r="AA199" s="19"/>
      <c r="AB199" s="19"/>
      <c r="AC199" s="19"/>
    </row>
    <row r="200" customFormat="false" ht="12" hidden="false" customHeight="true" outlineLevel="0" collapsed="false">
      <c r="A200" s="19"/>
      <c r="B200" s="98"/>
      <c r="C200" s="98" t="n">
        <f aca="false">C199+5</f>
        <v>120</v>
      </c>
      <c r="D200" s="213" t="n">
        <f aca="false">4-1.5*((4-10*LOG10(1.256*(1+COS(RADIANS(C200))))))</f>
        <v>-5.03060534394206</v>
      </c>
      <c r="E200" s="98"/>
      <c r="F200" s="19"/>
      <c r="G200" s="19"/>
      <c r="H200" s="19"/>
      <c r="I200" s="19"/>
      <c r="J200" s="19"/>
      <c r="K200" s="19"/>
      <c r="L200" s="19"/>
      <c r="M200" s="19"/>
      <c r="N200" s="19"/>
      <c r="O200" s="19"/>
      <c r="P200" s="19" t="s">
        <v>0</v>
      </c>
      <c r="Q200" s="19"/>
      <c r="R200" s="19"/>
      <c r="S200" s="19"/>
      <c r="T200" s="19"/>
      <c r="U200" s="19"/>
      <c r="V200" s="19"/>
      <c r="W200" s="19"/>
      <c r="X200" s="19"/>
      <c r="Y200" s="19"/>
      <c r="Z200" s="19"/>
      <c r="AA200" s="19"/>
      <c r="AB200" s="19"/>
      <c r="AC200" s="19"/>
    </row>
    <row r="201" customFormat="false" ht="12" hidden="false" customHeight="true" outlineLevel="0" collapsed="false">
      <c r="A201" s="19"/>
      <c r="B201" s="98"/>
      <c r="C201" s="98" t="n">
        <f aca="false">C200+5</f>
        <v>125</v>
      </c>
      <c r="D201" s="213" t="n">
        <f aca="false">4-1.5*((4-10*LOG10(1.256*(1+COS(RADIANS(C201))))))</f>
        <v>-6.06753747996298</v>
      </c>
      <c r="E201" s="98"/>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row>
    <row r="202" customFormat="false" ht="12" hidden="false" customHeight="true" outlineLevel="0" collapsed="false">
      <c r="A202" s="19"/>
      <c r="B202" s="98"/>
      <c r="C202" s="98" t="n">
        <f aca="false">C201+5</f>
        <v>130</v>
      </c>
      <c r="D202" s="213" t="n">
        <f aca="false">4-1.5*((4-10*LOG10(1.256*(1+COS(RADIANS(C202))))))</f>
        <v>-7.22125769192843</v>
      </c>
      <c r="E202" s="98"/>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row>
    <row r="203" customFormat="false" ht="12" hidden="false" customHeight="true" outlineLevel="0" collapsed="false">
      <c r="A203" s="19"/>
      <c r="B203" s="98"/>
      <c r="C203" s="98" t="n">
        <f aca="false">C202+5</f>
        <v>135</v>
      </c>
      <c r="D203" s="213" t="n">
        <f aca="false">4-1.5*((4-10*LOG10(1.256*(1+COS(RADIANS(C203))))))</f>
        <v>-8.51451565653014</v>
      </c>
      <c r="E203" s="98"/>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row>
    <row r="204" customFormat="false" ht="12" hidden="false" customHeight="true" outlineLevel="0" collapsed="false">
      <c r="A204" s="19"/>
      <c r="B204" s="98"/>
      <c r="C204" s="98" t="n">
        <f aca="false">C203+5</f>
        <v>140</v>
      </c>
      <c r="D204" s="213" t="n">
        <f aca="false">4-1.5*((4-10*LOG10(1.256*(1+COS(RADIANS(C204))))))</f>
        <v>-9.9781549346571</v>
      </c>
      <c r="E204" s="98"/>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row>
    <row r="205" customFormat="false" ht="12" hidden="false" customHeight="true" outlineLevel="0" collapsed="false">
      <c r="A205" s="19"/>
      <c r="B205" s="98"/>
      <c r="C205" s="98" t="n">
        <f aca="false">C204+5</f>
        <v>145</v>
      </c>
      <c r="D205" s="213" t="n">
        <f aca="false">4-1.5*((4-10*LOG10(1.256*(1+COS(RADIANS(C205))))))</f>
        <v>-11.6554513504868</v>
      </c>
      <c r="E205" s="98"/>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row>
    <row r="206" customFormat="false" ht="12" hidden="false" customHeight="true" outlineLevel="0" collapsed="false">
      <c r="A206" s="19"/>
      <c r="B206" s="98"/>
      <c r="C206" s="98" t="n">
        <f aca="false">C205+5</f>
        <v>150</v>
      </c>
      <c r="D206" s="213" t="n">
        <f aca="false">4-1.5*((4-10*LOG10(1.256*(1+COS(RADIANS(C206))))))</f>
        <v>-13.6098185569425</v>
      </c>
      <c r="E206" s="98" t="s">
        <v>0</v>
      </c>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row>
    <row r="207" customFormat="false" ht="12" hidden="false" customHeight="true" outlineLevel="0" collapsed="false">
      <c r="A207" s="19"/>
      <c r="B207" s="98"/>
      <c r="C207" s="98" t="n">
        <f aca="false">C206+5</f>
        <v>155</v>
      </c>
      <c r="D207" s="213" t="n">
        <f aca="false">4-1.5*((4-10*LOG10(1.256*(1+COS(RADIANS(C207))))))</f>
        <v>-15.9396029556308</v>
      </c>
      <c r="E207" s="98"/>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row>
    <row r="208" customFormat="false" ht="12" hidden="false" customHeight="true" outlineLevel="0" collapsed="false">
      <c r="A208" s="19"/>
      <c r="B208" s="98"/>
      <c r="C208" s="98" t="n">
        <f aca="false">C207+5</f>
        <v>160</v>
      </c>
      <c r="D208" s="213" t="n">
        <f aca="false">4-1.5*((4-10*LOG10(1.256*(1+COS(RADIANS(C208))))))</f>
        <v>-18.8095985736746</v>
      </c>
      <c r="E208" s="98"/>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row>
    <row r="209" customFormat="false" ht="12" hidden="false" customHeight="true" outlineLevel="0" collapsed="false">
      <c r="A209" s="19"/>
      <c r="B209" s="98"/>
      <c r="C209" s="98" t="n">
        <f aca="false">C208+5</f>
        <v>165</v>
      </c>
      <c r="D209" s="213" t="n">
        <f aca="false">4-1.5*((4-10*LOG10(1.256*(1+COS(RADIANS(C209))))))</f>
        <v>-22.5287754122403</v>
      </c>
      <c r="E209" s="98"/>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row>
    <row r="210" customFormat="false" ht="12" hidden="false" customHeight="true" outlineLevel="0" collapsed="false">
      <c r="A210" s="19"/>
      <c r="B210" s="98"/>
      <c r="C210" s="98" t="n">
        <f aca="false">C209+5</f>
        <v>170</v>
      </c>
      <c r="D210" s="213" t="n">
        <f aca="false">4-1.5*((4-10*LOG10(1.256*(1+COS(RADIANS(C210))))))</f>
        <v>-27.790825224119</v>
      </c>
      <c r="E210" s="98"/>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row>
    <row r="211" customFormat="false" ht="12" hidden="false" customHeight="true" outlineLevel="0" collapsed="false">
      <c r="A211" s="19"/>
      <c r="B211" s="98"/>
      <c r="C211" s="98" t="n">
        <f aca="false">C210+5</f>
        <v>175</v>
      </c>
      <c r="D211" s="213" t="n">
        <f aca="false">4-1.5*((4-10*LOG10(1.256*(1+COS(RADIANS(C211))))))</f>
        <v>-36.8093186255472</v>
      </c>
      <c r="E211" s="98"/>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row>
    <row r="212" customFormat="false" ht="12" hidden="false" customHeight="true" outlineLevel="0" collapsed="false">
      <c r="A212" s="19"/>
      <c r="B212" s="98"/>
      <c r="C212" s="98" t="n">
        <f aca="false">C211+5</f>
        <v>180</v>
      </c>
      <c r="D212" s="213" t="n">
        <v>-160</v>
      </c>
      <c r="E212" s="98"/>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row>
    <row r="213" customFormat="false" ht="12" hidden="false" customHeight="true" outlineLevel="0" collapsed="false">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row>
    <row r="214" customFormat="false" ht="12.75" hidden="false" customHeight="true" outlineLevel="0" collapsed="false">
      <c r="A214" s="19"/>
      <c r="B214" s="98" t="s">
        <v>0</v>
      </c>
      <c r="C214" s="19"/>
      <c r="D214" s="705" t="s">
        <v>469</v>
      </c>
      <c r="E214" s="706" t="s">
        <v>942</v>
      </c>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row>
    <row r="215" customFormat="false" ht="12" hidden="false" customHeight="true" outlineLevel="0" collapsed="false">
      <c r="A215" s="19"/>
      <c r="B215" s="701" t="s">
        <v>948</v>
      </c>
      <c r="C215" s="712" t="s">
        <v>949</v>
      </c>
      <c r="D215" s="707" t="s">
        <v>928</v>
      </c>
      <c r="E215" s="708" t="s">
        <v>928</v>
      </c>
      <c r="F215" s="327"/>
      <c r="G215" s="327" t="s">
        <v>0</v>
      </c>
      <c r="H215" s="327"/>
      <c r="I215" s="327"/>
      <c r="J215" s="327"/>
      <c r="K215" s="327"/>
      <c r="L215" s="327"/>
      <c r="M215" s="327"/>
      <c r="N215" s="713"/>
      <c r="O215" s="19"/>
      <c r="P215" s="19"/>
      <c r="Q215" s="19"/>
      <c r="R215" s="19"/>
      <c r="S215" s="19"/>
      <c r="T215" s="19"/>
      <c r="U215" s="19"/>
      <c r="V215" s="19"/>
      <c r="W215" s="19"/>
      <c r="X215" s="19"/>
      <c r="Y215" s="19"/>
      <c r="Z215" s="19"/>
      <c r="AA215" s="19"/>
      <c r="AB215" s="19"/>
      <c r="AC215" s="19"/>
    </row>
    <row r="216" customFormat="false" ht="12" hidden="false" customHeight="true" outlineLevel="0" collapsed="false">
      <c r="A216" s="19"/>
      <c r="B216" s="19"/>
      <c r="C216" s="714" t="n">
        <v>1E-005</v>
      </c>
      <c r="D216" s="213" t="n">
        <f aca="false">6-(-10*LOG10(3282.81*((SIN(RADIANS(C216*1.7724))^2)/((C216*1.7724)^2))))</f>
        <v>6.0000048287004</v>
      </c>
      <c r="E216" s="98" t="s">
        <v>0</v>
      </c>
      <c r="F216" s="327"/>
      <c r="G216" s="327"/>
      <c r="H216" s="327"/>
      <c r="I216" s="327"/>
      <c r="J216" s="327"/>
      <c r="K216" s="327"/>
      <c r="L216" s="327"/>
      <c r="M216" s="327"/>
      <c r="N216" s="715"/>
      <c r="O216" s="19"/>
      <c r="P216" s="19"/>
      <c r="Q216" s="19"/>
      <c r="R216" s="19"/>
      <c r="S216" s="19"/>
      <c r="T216" s="19"/>
      <c r="U216" s="19"/>
      <c r="V216" s="19"/>
      <c r="W216" s="19"/>
      <c r="X216" s="19"/>
      <c r="Y216" s="19"/>
      <c r="Z216" s="19"/>
      <c r="AA216" s="19"/>
      <c r="AB216" s="19"/>
      <c r="AC216" s="19"/>
    </row>
    <row r="217" customFormat="false" ht="12" hidden="false" customHeight="true" outlineLevel="0" collapsed="false">
      <c r="A217" s="19"/>
      <c r="B217" s="19"/>
      <c r="C217" s="714" t="n">
        <f aca="false">C216+5</f>
        <v>5.00001</v>
      </c>
      <c r="D217" s="213" t="n">
        <f aca="false">6-(-10*LOG10(3282.81*((SIN(RADIANS(C217*1.7724))^2)/((C217*1.7724)^2))))</f>
        <v>5.96534473493824</v>
      </c>
      <c r="E217" s="98" t="s">
        <v>0</v>
      </c>
      <c r="F217" s="327"/>
      <c r="G217" s="327"/>
      <c r="H217" s="327"/>
      <c r="I217" s="327"/>
      <c r="J217" s="327"/>
      <c r="K217" s="327"/>
      <c r="L217" s="327"/>
      <c r="M217" s="327"/>
      <c r="N217" s="715"/>
      <c r="O217" s="19"/>
      <c r="P217" s="19"/>
      <c r="Q217" s="19"/>
      <c r="R217" s="19"/>
      <c r="S217" s="19"/>
      <c r="T217" s="19"/>
      <c r="U217" s="19"/>
      <c r="V217" s="19"/>
      <c r="W217" s="19"/>
      <c r="X217" s="19"/>
      <c r="Y217" s="19"/>
      <c r="Z217" s="19"/>
      <c r="AA217" s="19"/>
      <c r="AB217" s="19"/>
      <c r="AC217" s="19"/>
    </row>
    <row r="218" customFormat="false" ht="12" hidden="false" customHeight="true" outlineLevel="0" collapsed="false">
      <c r="A218" s="19"/>
      <c r="B218" s="19"/>
      <c r="C218" s="714" t="n">
        <f aca="false">C217+5</f>
        <v>10.00001</v>
      </c>
      <c r="D218" s="213" t="n">
        <f aca="false">6-(-10*LOG10(3282.81*((SIN(RADIANS(C218*1.7724))^2)/((C218*1.7724)^2))))</f>
        <v>5.86103078844933</v>
      </c>
      <c r="E218" s="98"/>
      <c r="F218" s="327"/>
      <c r="G218" s="327"/>
      <c r="H218" s="327"/>
      <c r="I218" s="327"/>
      <c r="J218" s="327"/>
      <c r="K218" s="327"/>
      <c r="L218" s="327"/>
      <c r="M218" s="327"/>
      <c r="N218" s="715"/>
      <c r="O218" s="19"/>
      <c r="P218" s="19"/>
      <c r="Q218" s="19"/>
      <c r="R218" s="19"/>
      <c r="S218" s="19"/>
      <c r="T218" s="19"/>
      <c r="U218" s="19"/>
      <c r="V218" s="19"/>
      <c r="W218" s="19"/>
      <c r="X218" s="19"/>
      <c r="Y218" s="19"/>
      <c r="Z218" s="19"/>
      <c r="AA218" s="19"/>
      <c r="AB218" s="19"/>
      <c r="AC218" s="19"/>
    </row>
    <row r="219" customFormat="false" ht="12" hidden="false" customHeight="true" outlineLevel="0" collapsed="false">
      <c r="A219" s="19"/>
      <c r="B219" s="19"/>
      <c r="C219" s="714" t="n">
        <f aca="false">C218+5</f>
        <v>15.00001</v>
      </c>
      <c r="D219" s="213" t="n">
        <f aca="false">6-(-10*LOG10(3282.81*((SIN(RADIANS(C219*1.7724))^2)/((C219*1.7724)^2))))</f>
        <v>5.68604567511034</v>
      </c>
      <c r="E219" s="98"/>
      <c r="F219" s="327"/>
      <c r="G219" s="327"/>
      <c r="H219" s="327"/>
      <c r="I219" s="327"/>
      <c r="J219" s="327"/>
      <c r="K219" s="327"/>
      <c r="L219" s="327"/>
      <c r="M219" s="327"/>
      <c r="N219" s="715"/>
      <c r="O219" s="19"/>
      <c r="P219" s="19"/>
      <c r="Q219" s="19"/>
      <c r="R219" s="19"/>
      <c r="S219" s="19"/>
      <c r="T219" s="19"/>
      <c r="U219" s="19"/>
      <c r="V219" s="19"/>
      <c r="W219" s="19"/>
      <c r="X219" s="19"/>
      <c r="Y219" s="19"/>
      <c r="Z219" s="19"/>
      <c r="AA219" s="19"/>
      <c r="AB219" s="19"/>
      <c r="AC219" s="19"/>
    </row>
    <row r="220" customFormat="false" ht="12" hidden="false" customHeight="true" outlineLevel="0" collapsed="false">
      <c r="A220" s="19"/>
      <c r="B220" s="19"/>
      <c r="C220" s="714" t="n">
        <f aca="false">C219+5</f>
        <v>20.00001</v>
      </c>
      <c r="D220" s="213" t="n">
        <f aca="false">6-(-10*LOG10(3282.81*((SIN(RADIANS(C220*1.7724))^2)/((C220*1.7724)^2))))</f>
        <v>5.43864063420619</v>
      </c>
      <c r="E220" s="98"/>
      <c r="F220" s="327"/>
      <c r="G220" s="327"/>
      <c r="H220" s="327"/>
      <c r="I220" s="327"/>
      <c r="J220" s="327"/>
      <c r="K220" s="327"/>
      <c r="L220" s="327"/>
      <c r="M220" s="327"/>
      <c r="N220" s="715"/>
      <c r="O220" s="19"/>
      <c r="P220" s="19"/>
      <c r="Q220" s="19"/>
      <c r="R220" s="19"/>
      <c r="S220" s="19"/>
      <c r="T220" s="19"/>
      <c r="U220" s="19"/>
      <c r="V220" s="19"/>
      <c r="W220" s="19"/>
      <c r="X220" s="19"/>
      <c r="Y220" s="19"/>
      <c r="Z220" s="19"/>
      <c r="AA220" s="19"/>
      <c r="AB220" s="19"/>
      <c r="AC220" s="19"/>
    </row>
    <row r="221" customFormat="false" ht="12" hidden="false" customHeight="true" outlineLevel="0" collapsed="false">
      <c r="A221" s="19"/>
      <c r="B221" s="19"/>
      <c r="C221" s="714" t="n">
        <f aca="false">C220+5</f>
        <v>25.00001</v>
      </c>
      <c r="D221" s="213" t="n">
        <f aca="false">6-(-10*LOG10(3282.81*((SIN(RADIANS(C221*1.7724))^2)/((C221*1.7724)^2))))</f>
        <v>5.11624967347159</v>
      </c>
      <c r="E221" s="98"/>
      <c r="F221" s="327"/>
      <c r="G221" s="327"/>
      <c r="H221" s="327"/>
      <c r="I221" s="327"/>
      <c r="J221" s="327"/>
      <c r="K221" s="327"/>
      <c r="L221" s="327"/>
      <c r="M221" s="327"/>
      <c r="N221" s="715"/>
      <c r="O221" s="19"/>
      <c r="P221" s="19"/>
      <c r="Q221" s="19"/>
      <c r="R221" s="19"/>
      <c r="S221" s="19"/>
      <c r="T221" s="19"/>
      <c r="U221" s="19"/>
      <c r="V221" s="19"/>
      <c r="W221" s="19"/>
      <c r="X221" s="19"/>
      <c r="Y221" s="19"/>
      <c r="Z221" s="19"/>
      <c r="AA221" s="19"/>
      <c r="AB221" s="19"/>
      <c r="AC221" s="19"/>
    </row>
    <row r="222" customFormat="false" ht="12" hidden="false" customHeight="true" outlineLevel="0" collapsed="false">
      <c r="A222" s="19"/>
      <c r="B222" s="19"/>
      <c r="C222" s="714" t="n">
        <f aca="false">C221+5</f>
        <v>30.00001</v>
      </c>
      <c r="D222" s="213" t="n">
        <f aca="false">6-(-10*LOG10(3282.81*((SIN(RADIANS(C222*1.7724))^2)/((C222*1.7724)^2))))</f>
        <v>4.71535646446191</v>
      </c>
      <c r="E222" s="98"/>
      <c r="F222" s="327"/>
      <c r="G222" s="327"/>
      <c r="H222" s="327"/>
      <c r="I222" s="327"/>
      <c r="J222" s="327"/>
      <c r="K222" s="327"/>
      <c r="L222" s="327"/>
      <c r="M222" s="327"/>
      <c r="N222" s="715"/>
      <c r="O222" s="19"/>
      <c r="P222" s="19"/>
      <c r="Q222" s="19"/>
      <c r="R222" s="19"/>
      <c r="S222" s="19"/>
      <c r="T222" s="19"/>
      <c r="U222" s="19"/>
      <c r="V222" s="19"/>
      <c r="W222" s="19"/>
      <c r="X222" s="19"/>
      <c r="Y222" s="19"/>
      <c r="Z222" s="19"/>
      <c r="AA222" s="19"/>
      <c r="AB222" s="19"/>
      <c r="AC222" s="19"/>
    </row>
    <row r="223" customFormat="false" ht="12" hidden="false" customHeight="true" outlineLevel="0" collapsed="false">
      <c r="A223" s="19"/>
      <c r="B223" s="19"/>
      <c r="C223" s="714" t="n">
        <f aca="false">C222+5</f>
        <v>35.00001</v>
      </c>
      <c r="D223" s="213" t="n">
        <f aca="false">6-(-10*LOG10(3282.81*((SIN(RADIANS(C223*1.7724))^2)/((C223*1.7724)^2))))</f>
        <v>4.23129787992015</v>
      </c>
      <c r="E223" s="98"/>
      <c r="F223" s="327"/>
      <c r="G223" s="327"/>
      <c r="H223" s="327"/>
      <c r="I223" s="327"/>
      <c r="J223" s="327"/>
      <c r="K223" s="327"/>
      <c r="L223" s="327"/>
      <c r="M223" s="327"/>
      <c r="N223" s="715"/>
      <c r="O223" s="19"/>
      <c r="P223" s="19"/>
      <c r="Q223" s="19"/>
      <c r="R223" s="19"/>
      <c r="S223" s="19"/>
      <c r="T223" s="19"/>
      <c r="U223" s="19"/>
      <c r="V223" s="19"/>
      <c r="W223" s="19"/>
      <c r="X223" s="19"/>
      <c r="Y223" s="19"/>
      <c r="Z223" s="19"/>
      <c r="AA223" s="19"/>
      <c r="AB223" s="19"/>
      <c r="AC223" s="19"/>
    </row>
    <row r="224" customFormat="false" ht="12" hidden="false" customHeight="true" outlineLevel="0" collapsed="false">
      <c r="A224" s="19"/>
      <c r="B224" s="19"/>
      <c r="C224" s="714" t="n">
        <f aca="false">C223+5</f>
        <v>40.00001</v>
      </c>
      <c r="D224" s="213" t="n">
        <f aca="false">6-(-10*LOG10(3282.81*((SIN(RADIANS(C224*1.7724))^2)/((C224*1.7724)^2))))</f>
        <v>3.65797816520126</v>
      </c>
      <c r="E224" s="98"/>
      <c r="F224" s="327"/>
      <c r="G224" s="327"/>
      <c r="H224" s="327"/>
      <c r="I224" s="327"/>
      <c r="J224" s="327"/>
      <c r="K224" s="327"/>
      <c r="L224" s="327"/>
      <c r="M224" s="327"/>
      <c r="N224" s="715"/>
      <c r="O224" s="19"/>
      <c r="P224" s="19"/>
      <c r="Q224" s="19"/>
      <c r="R224" s="19"/>
      <c r="S224" s="19"/>
      <c r="T224" s="19"/>
      <c r="U224" s="19"/>
      <c r="V224" s="19"/>
      <c r="W224" s="19"/>
      <c r="X224" s="19"/>
      <c r="Y224" s="19"/>
      <c r="Z224" s="19"/>
      <c r="AA224" s="19"/>
      <c r="AB224" s="19"/>
      <c r="AC224" s="19"/>
    </row>
    <row r="225" customFormat="false" ht="12" hidden="false" customHeight="true" outlineLevel="0" collapsed="false">
      <c r="A225" s="19"/>
      <c r="B225" s="19"/>
      <c r="C225" s="714" t="n">
        <f aca="false">C224+5</f>
        <v>45.00001</v>
      </c>
      <c r="D225" s="213" t="n">
        <f aca="false">6-(-10*LOG10(3282.81*((SIN(RADIANS(C225*1.7724))^2)/((C225*1.7724)^2))))</f>
        <v>2.98745135255591</v>
      </c>
      <c r="E225" s="98"/>
      <c r="F225" s="327"/>
      <c r="G225" s="327"/>
      <c r="H225" s="327" t="s">
        <v>0</v>
      </c>
      <c r="I225" s="327" t="s">
        <v>950</v>
      </c>
      <c r="J225" s="327"/>
      <c r="K225" s="327"/>
      <c r="L225" s="327"/>
      <c r="M225" s="327"/>
      <c r="N225" s="715"/>
      <c r="O225" s="19"/>
      <c r="P225" s="19"/>
      <c r="Q225" s="19"/>
      <c r="R225" s="19"/>
      <c r="S225" s="19"/>
      <c r="T225" s="19"/>
      <c r="U225" s="19"/>
      <c r="V225" s="19"/>
      <c r="W225" s="19"/>
      <c r="X225" s="19"/>
      <c r="Y225" s="19"/>
      <c r="Z225" s="19"/>
      <c r="AA225" s="19"/>
      <c r="AB225" s="19"/>
      <c r="AC225" s="19"/>
    </row>
    <row r="226" customFormat="false" ht="12" hidden="false" customHeight="true" outlineLevel="0" collapsed="false">
      <c r="A226" s="19"/>
      <c r="B226" s="19"/>
      <c r="C226" s="714" t="n">
        <f aca="false">C225+5</f>
        <v>50.00001</v>
      </c>
      <c r="D226" s="213" t="n">
        <f aca="false">6-(-10*LOG10(3282.81*((SIN(RADIANS(C226*1.7724))^2)/((C226*1.7724)^2))))</f>
        <v>2.209301246348</v>
      </c>
      <c r="E226" s="98"/>
      <c r="F226" s="327"/>
      <c r="G226" s="327"/>
      <c r="H226" s="327"/>
      <c r="I226" s="327"/>
      <c r="J226" s="716" t="s">
        <v>930</v>
      </c>
      <c r="K226" s="327"/>
      <c r="L226" s="327"/>
      <c r="M226" s="327"/>
      <c r="N226" s="715"/>
      <c r="O226" s="19"/>
      <c r="P226" s="19"/>
      <c r="Q226" s="19"/>
      <c r="R226" s="19"/>
      <c r="S226" s="19"/>
      <c r="T226" s="19"/>
      <c r="U226" s="19"/>
      <c r="V226" s="19"/>
      <c r="W226" s="19"/>
      <c r="X226" s="19"/>
      <c r="Y226" s="19"/>
      <c r="Z226" s="19"/>
      <c r="AA226" s="19"/>
      <c r="AB226" s="19"/>
      <c r="AC226" s="19"/>
    </row>
    <row r="227" customFormat="false" ht="12" hidden="false" customHeight="true" outlineLevel="0" collapsed="false">
      <c r="A227" s="19"/>
      <c r="B227" s="19"/>
      <c r="C227" s="714" t="n">
        <f aca="false">C226+5</f>
        <v>55.00001</v>
      </c>
      <c r="D227" s="213" t="n">
        <f aca="false">6-(-10*LOG10(3282.81*((SIN(RADIANS(C227*1.7724))^2)/((C227*1.7724)^2))))</f>
        <v>1.30969706232094</v>
      </c>
      <c r="E227" s="98"/>
      <c r="F227" s="327"/>
      <c r="G227" s="327"/>
      <c r="H227" s="327"/>
      <c r="I227" s="327"/>
      <c r="J227" s="327"/>
      <c r="K227" s="327"/>
      <c r="L227" s="327"/>
      <c r="M227" s="327"/>
      <c r="N227" s="715"/>
      <c r="O227" s="19"/>
      <c r="P227" s="19"/>
      <c r="Q227" s="19"/>
      <c r="R227" s="19"/>
      <c r="S227" s="19"/>
      <c r="T227" s="19"/>
      <c r="U227" s="19"/>
      <c r="V227" s="19"/>
      <c r="W227" s="19"/>
      <c r="X227" s="19"/>
      <c r="Y227" s="19"/>
      <c r="Z227" s="19"/>
      <c r="AA227" s="19"/>
      <c r="AB227" s="19"/>
      <c r="AC227" s="19"/>
    </row>
    <row r="228" customFormat="false" ht="12" hidden="false" customHeight="true" outlineLevel="0" collapsed="false">
      <c r="A228" s="19"/>
      <c r="B228" s="19"/>
      <c r="C228" s="714" t="n">
        <f aca="false">C227+5</f>
        <v>60.00001</v>
      </c>
      <c r="D228" s="213" t="n">
        <f aca="false">6-(-10*LOG10(3282.81*((SIN(RADIANS(C228*1.7724))^2)/((C228*1.7724)^2))))</f>
        <v>0.269904900649277</v>
      </c>
      <c r="E228" s="98"/>
      <c r="F228" s="327"/>
      <c r="G228" s="327"/>
      <c r="H228" s="327"/>
      <c r="I228" s="327"/>
      <c r="J228" s="327"/>
      <c r="K228" s="327"/>
      <c r="L228" s="327"/>
      <c r="M228" s="327"/>
      <c r="N228" s="715"/>
      <c r="O228" s="19"/>
      <c r="P228" s="19"/>
      <c r="Q228" s="19"/>
      <c r="R228" s="19"/>
      <c r="S228" s="19"/>
      <c r="T228" s="19"/>
      <c r="U228" s="19"/>
      <c r="V228" s="19"/>
      <c r="W228" s="19"/>
      <c r="X228" s="19"/>
      <c r="Y228" s="19"/>
      <c r="Z228" s="19"/>
      <c r="AA228" s="19"/>
      <c r="AB228" s="19"/>
      <c r="AC228" s="19"/>
    </row>
    <row r="229" customFormat="false" ht="12" hidden="false" customHeight="true" outlineLevel="0" collapsed="false">
      <c r="A229" s="19"/>
      <c r="B229" s="19"/>
      <c r="C229" s="714" t="n">
        <f aca="false">C228+5</f>
        <v>65.00001</v>
      </c>
      <c r="D229" s="213" t="n">
        <f aca="false">6-(-10*LOG10(3282.81*((SIN(RADIANS(C229*1.7724))^2)/((C229*1.7724)^2))))</f>
        <v>-0.936163627741855</v>
      </c>
      <c r="E229" s="98"/>
      <c r="F229" s="327"/>
      <c r="G229" s="327"/>
      <c r="H229" s="327"/>
      <c r="I229" s="327"/>
      <c r="J229" s="327"/>
      <c r="K229" s="327"/>
      <c r="L229" s="327"/>
      <c r="M229" s="327"/>
      <c r="N229" s="715"/>
      <c r="O229" s="19"/>
      <c r="P229" s="19"/>
      <c r="Q229" s="19"/>
      <c r="R229" s="19"/>
      <c r="S229" s="19"/>
      <c r="T229" s="19"/>
      <c r="U229" s="19"/>
      <c r="V229" s="19"/>
      <c r="W229" s="19"/>
      <c r="X229" s="19"/>
      <c r="Y229" s="19"/>
      <c r="Z229" s="19"/>
      <c r="AA229" s="19"/>
      <c r="AB229" s="19"/>
      <c r="AC229" s="19"/>
    </row>
    <row r="230" customFormat="false" ht="12" hidden="false" customHeight="true" outlineLevel="0" collapsed="false">
      <c r="A230" s="19"/>
      <c r="B230" s="19"/>
      <c r="C230" s="714" t="n">
        <f aca="false">C229+5</f>
        <v>70.00001</v>
      </c>
      <c r="D230" s="213" t="n">
        <f aca="false">6-(-10*LOG10(3282.81*((SIN(RADIANS(C230*1.7724))^2)/((C230*1.7724)^2))))</f>
        <v>-2.34621909600655</v>
      </c>
      <c r="E230" s="98"/>
      <c r="F230" s="327"/>
      <c r="G230" s="327"/>
      <c r="H230" s="327"/>
      <c r="I230" s="327"/>
      <c r="J230" s="327"/>
      <c r="K230" s="327"/>
      <c r="L230" s="327"/>
      <c r="M230" s="327"/>
      <c r="N230" s="715"/>
      <c r="O230" s="19"/>
      <c r="P230" s="19"/>
      <c r="Q230" s="19"/>
      <c r="R230" s="19"/>
      <c r="S230" s="19"/>
      <c r="T230" s="19"/>
      <c r="U230" s="19"/>
      <c r="V230" s="19"/>
      <c r="W230" s="19"/>
      <c r="X230" s="19"/>
      <c r="Y230" s="19"/>
      <c r="Z230" s="19"/>
      <c r="AA230" s="19"/>
      <c r="AB230" s="19"/>
      <c r="AC230" s="19"/>
    </row>
    <row r="231" customFormat="false" ht="12" hidden="false" customHeight="true" outlineLevel="0" collapsed="false">
      <c r="A231" s="19"/>
      <c r="B231" s="19"/>
      <c r="C231" s="714" t="n">
        <f aca="false">C230+5</f>
        <v>75.00001</v>
      </c>
      <c r="D231" s="213" t="n">
        <f aca="false">6-(-10*LOG10(3282.81*((SIN(RADIANS(C231*1.7724))^2)/((C231*1.7724)^2))))</f>
        <v>-4.01757343051761</v>
      </c>
      <c r="E231" s="98"/>
      <c r="F231" s="327"/>
      <c r="G231" s="327"/>
      <c r="H231" s="327"/>
      <c r="I231" s="327"/>
      <c r="J231" s="327"/>
      <c r="K231" s="327"/>
      <c r="L231" s="327"/>
      <c r="M231" s="327"/>
      <c r="N231" s="715"/>
      <c r="O231" s="19"/>
      <c r="P231" s="19"/>
      <c r="Q231" s="19"/>
      <c r="R231" s="19"/>
      <c r="S231" s="19"/>
      <c r="T231" s="19"/>
      <c r="U231" s="19"/>
      <c r="V231" s="19"/>
      <c r="W231" s="19"/>
      <c r="X231" s="19"/>
      <c r="Y231" s="19"/>
      <c r="Z231" s="19"/>
      <c r="AA231" s="19"/>
      <c r="AB231" s="19"/>
      <c r="AC231" s="19"/>
    </row>
    <row r="232" customFormat="false" ht="12" hidden="false" customHeight="true" outlineLevel="0" collapsed="false">
      <c r="A232" s="19"/>
      <c r="B232" s="19"/>
      <c r="C232" s="714" t="n">
        <f aca="false">C231+5</f>
        <v>80.00001</v>
      </c>
      <c r="D232" s="213" t="n">
        <f aca="false">6-(-10*LOG10(3282.81*((SIN(RADIANS(C232*1.7724))^2)/((C232*1.7724)^2))))</f>
        <v>-6.04353310707954</v>
      </c>
      <c r="E232" s="98"/>
      <c r="F232" s="327"/>
      <c r="G232" s="327"/>
      <c r="H232" s="327"/>
      <c r="I232" s="327"/>
      <c r="J232" s="327"/>
      <c r="K232" s="327"/>
      <c r="L232" s="327"/>
      <c r="M232" s="327"/>
      <c r="N232" s="715"/>
      <c r="O232" s="19"/>
      <c r="P232" s="19"/>
      <c r="Q232" s="19"/>
      <c r="R232" s="19"/>
      <c r="S232" s="19"/>
      <c r="T232" s="19"/>
      <c r="U232" s="19"/>
      <c r="V232" s="19"/>
      <c r="W232" s="19"/>
      <c r="X232" s="19"/>
      <c r="Y232" s="19"/>
      <c r="Z232" s="19"/>
      <c r="AA232" s="19"/>
      <c r="AB232" s="19"/>
      <c r="AC232" s="19"/>
    </row>
    <row r="233" customFormat="false" ht="12" hidden="false" customHeight="true" outlineLevel="0" collapsed="false">
      <c r="A233" s="19"/>
      <c r="B233" s="19"/>
      <c r="C233" s="714" t="n">
        <f aca="false">C232+5</f>
        <v>85.00001</v>
      </c>
      <c r="D233" s="213" t="n">
        <f aca="false">6-(-10*LOG10(3282.81*((SIN(RADIANS(C233*1.7724))^2)/((C233*1.7724)^2))))</f>
        <v>-8.59177890144453</v>
      </c>
      <c r="E233" s="98"/>
      <c r="F233" s="327"/>
      <c r="G233" s="327"/>
      <c r="H233" s="327"/>
      <c r="I233" s="327"/>
      <c r="J233" s="327"/>
      <c r="K233" s="327"/>
      <c r="L233" s="327"/>
      <c r="M233" s="327"/>
      <c r="N233" s="715"/>
      <c r="O233" s="19"/>
      <c r="P233" s="19"/>
      <c r="Q233" s="19"/>
      <c r="R233" s="19"/>
      <c r="S233" s="19"/>
      <c r="T233" s="19"/>
      <c r="U233" s="19"/>
      <c r="V233" s="19"/>
      <c r="W233" s="19"/>
      <c r="X233" s="19"/>
      <c r="Y233" s="19"/>
      <c r="Z233" s="19"/>
      <c r="AA233" s="19"/>
      <c r="AB233" s="19"/>
      <c r="AC233" s="19"/>
    </row>
    <row r="234" customFormat="false" ht="12" hidden="false" customHeight="true" outlineLevel="0" collapsed="false">
      <c r="A234" s="19"/>
      <c r="B234" s="19"/>
      <c r="C234" s="714" t="n">
        <f aca="false">C233+5</f>
        <v>90.00001</v>
      </c>
      <c r="D234" s="213" t="n">
        <f aca="false">6-(-10*LOG10(3282.81*((SIN(RADIANS(C234*1.7724))^2)/((C234*1.7724)^2))))</f>
        <v>-12.0136200011736</v>
      </c>
      <c r="E234" s="98"/>
      <c r="F234" s="327"/>
      <c r="G234" s="327"/>
      <c r="H234" s="327"/>
      <c r="I234" s="327"/>
      <c r="J234" s="327"/>
      <c r="K234" s="327"/>
      <c r="L234" s="327"/>
      <c r="M234" s="327"/>
      <c r="N234" s="715"/>
      <c r="O234" s="19"/>
      <c r="P234" s="19"/>
      <c r="Q234" s="19"/>
      <c r="R234" s="19"/>
      <c r="S234" s="19"/>
      <c r="T234" s="19"/>
      <c r="U234" s="19"/>
      <c r="V234" s="19"/>
      <c r="W234" s="19"/>
      <c r="X234" s="19"/>
      <c r="Y234" s="19"/>
      <c r="Z234" s="19"/>
      <c r="AA234" s="19"/>
      <c r="AB234" s="19"/>
      <c r="AC234" s="19"/>
    </row>
    <row r="235" customFormat="false" ht="12" hidden="false" customHeight="true" outlineLevel="0" collapsed="false">
      <c r="A235" s="19"/>
      <c r="B235" s="19"/>
      <c r="C235" s="714" t="n">
        <f aca="false">C234+5</f>
        <v>95.00001</v>
      </c>
      <c r="D235" s="213" t="n">
        <f aca="false">6-(-10*LOG10(3282.81*((SIN(RADIANS(C235*1.7724))^2)/((C235*1.7724)^2))))</f>
        <v>-17.2797439732173</v>
      </c>
      <c r="E235" s="98"/>
      <c r="F235" s="327"/>
      <c r="G235" s="327"/>
      <c r="H235" s="327"/>
      <c r="I235" s="327"/>
      <c r="J235" s="327"/>
      <c r="K235" s="327"/>
      <c r="L235" s="327"/>
      <c r="M235" s="327"/>
      <c r="N235" s="715"/>
      <c r="O235" s="19"/>
      <c r="P235" s="19"/>
      <c r="Q235" s="19"/>
      <c r="R235" s="19"/>
      <c r="S235" s="19"/>
      <c r="T235" s="19"/>
      <c r="U235" s="19"/>
      <c r="V235" s="19"/>
      <c r="W235" s="19"/>
      <c r="X235" s="19"/>
      <c r="Y235" s="19"/>
      <c r="Z235" s="19"/>
      <c r="AA235" s="19"/>
      <c r="AB235" s="19"/>
      <c r="AC235" s="19"/>
    </row>
    <row r="236" customFormat="false" ht="12" hidden="false" customHeight="true" outlineLevel="0" collapsed="false">
      <c r="A236" s="19"/>
      <c r="B236" s="19"/>
      <c r="C236" s="714" t="n">
        <f aca="false">C235+5</f>
        <v>100.00001</v>
      </c>
      <c r="D236" s="213" t="n">
        <f aca="false">6-(-10*LOG10(3282.81*((SIN(RADIANS(C236*1.7724))^2)/((C236*1.7724)^2))))</f>
        <v>-30.156464421918</v>
      </c>
      <c r="E236" s="98" t="s">
        <v>621</v>
      </c>
      <c r="F236" s="327"/>
      <c r="G236" s="327"/>
      <c r="H236" s="327"/>
      <c r="I236" s="327"/>
      <c r="J236" s="327"/>
      <c r="K236" s="327"/>
      <c r="L236" s="327"/>
      <c r="M236" s="327"/>
      <c r="N236" s="715"/>
      <c r="O236" s="19"/>
      <c r="P236" s="19"/>
      <c r="Q236" s="19"/>
      <c r="R236" s="19"/>
      <c r="S236" s="19"/>
      <c r="T236" s="19"/>
      <c r="U236" s="19"/>
      <c r="V236" s="19"/>
      <c r="W236" s="19"/>
      <c r="X236" s="19"/>
      <c r="Y236" s="19"/>
      <c r="Z236" s="19"/>
      <c r="AA236" s="19"/>
      <c r="AB236" s="19"/>
      <c r="AC236" s="19"/>
    </row>
    <row r="237" customFormat="false" ht="12" hidden="false" customHeight="true" outlineLevel="0" collapsed="false">
      <c r="A237" s="19"/>
      <c r="B237" s="19"/>
      <c r="C237" s="714" t="n">
        <f aca="false">C236+5</f>
        <v>105.00001</v>
      </c>
      <c r="D237" s="213" t="n">
        <f aca="false">6-(-10*LOG10(3282.81*((SIN(RADIANS(C237*1.7724))^2)/((C237*1.7724)^2))))</f>
        <v>-23.7019734054069</v>
      </c>
      <c r="E237" s="98"/>
      <c r="F237" s="327"/>
      <c r="G237" s="327"/>
      <c r="H237" s="327"/>
      <c r="I237" s="327"/>
      <c r="J237" s="327"/>
      <c r="K237" s="327"/>
      <c r="L237" s="327"/>
      <c r="M237" s="327"/>
      <c r="N237" s="715"/>
      <c r="O237" s="19"/>
      <c r="P237" s="19"/>
      <c r="Q237" s="19"/>
      <c r="R237" s="19"/>
      <c r="S237" s="19"/>
      <c r="T237" s="19"/>
      <c r="U237" s="19"/>
      <c r="V237" s="19"/>
      <c r="W237" s="19"/>
      <c r="X237" s="19"/>
      <c r="Y237" s="19"/>
      <c r="Z237" s="19"/>
      <c r="AA237" s="19"/>
      <c r="AB237" s="19"/>
      <c r="AC237" s="19"/>
    </row>
    <row r="238" customFormat="false" ht="12" hidden="false" customHeight="true" outlineLevel="0" collapsed="false">
      <c r="A238" s="19"/>
      <c r="B238" s="19"/>
      <c r="C238" s="714" t="n">
        <f aca="false">C237+5</f>
        <v>110.00001</v>
      </c>
      <c r="D238" s="213" t="n">
        <f aca="false">6-(-10*LOG10(3282.81*((SIN(RADIANS(C238*1.7724))^2)/((C238*1.7724)^2))))</f>
        <v>-16.3970905011324</v>
      </c>
      <c r="E238" s="98"/>
      <c r="F238" s="327"/>
      <c r="G238" s="327"/>
      <c r="H238" s="327"/>
      <c r="I238" s="327"/>
      <c r="J238" s="327"/>
      <c r="K238" s="327"/>
      <c r="L238" s="327"/>
      <c r="M238" s="327"/>
      <c r="N238" s="715"/>
      <c r="O238" s="19"/>
      <c r="P238" s="19"/>
      <c r="Q238" s="19"/>
      <c r="R238" s="19"/>
      <c r="S238" s="19"/>
      <c r="T238" s="19"/>
      <c r="U238" s="19"/>
      <c r="V238" s="19"/>
      <c r="W238" s="19"/>
      <c r="X238" s="19"/>
      <c r="Y238" s="19"/>
      <c r="Z238" s="19"/>
      <c r="AA238" s="19"/>
      <c r="AB238" s="19"/>
      <c r="AC238" s="19"/>
    </row>
    <row r="239" customFormat="false" ht="12.75" hidden="false" customHeight="true" outlineLevel="0" collapsed="false">
      <c r="A239" s="19"/>
      <c r="B239" s="19"/>
      <c r="C239" s="714" t="n">
        <f aca="false">C238+5</f>
        <v>115.00001</v>
      </c>
      <c r="D239" s="213" t="n">
        <f aca="false">6-(-10*LOG10(3282.81*((SIN(RADIANS(C239*1.7724))^2)/((C239*1.7724)^2))))</f>
        <v>-12.8959518749307</v>
      </c>
      <c r="E239" s="98"/>
      <c r="F239" s="327"/>
      <c r="G239" s="327"/>
      <c r="H239" s="327"/>
      <c r="I239" s="327"/>
      <c r="J239" s="327"/>
      <c r="K239" s="327"/>
      <c r="L239" s="327"/>
      <c r="M239" s="327"/>
      <c r="N239" s="717"/>
      <c r="O239" s="19"/>
      <c r="P239" s="19"/>
      <c r="Q239" s="19"/>
      <c r="R239" s="19"/>
      <c r="S239" s="19"/>
      <c r="T239" s="19"/>
      <c r="U239" s="19"/>
      <c r="V239" s="19"/>
      <c r="W239" s="19"/>
      <c r="X239" s="19"/>
      <c r="Y239" s="19"/>
      <c r="Z239" s="19"/>
      <c r="AA239" s="19"/>
      <c r="AB239" s="19"/>
      <c r="AC239" s="19"/>
    </row>
    <row r="240" customFormat="false" ht="12" hidden="false" customHeight="true" outlineLevel="0" collapsed="false">
      <c r="A240" s="19"/>
      <c r="B240" s="19"/>
      <c r="C240" s="714" t="n">
        <f aca="false">C239+5</f>
        <v>120.00001</v>
      </c>
      <c r="D240" s="213" t="n">
        <f aca="false">6-(-10*LOG10(3282.81*((SIN(RADIANS(C240*1.7724))^2)/((C240*1.7724)^2))))</f>
        <v>-10.7434932200076</v>
      </c>
      <c r="E240" s="98"/>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row>
    <row r="241" customFormat="false" ht="12" hidden="false" customHeight="true" outlineLevel="0" collapsed="false">
      <c r="A241" s="19"/>
      <c r="B241" s="19"/>
      <c r="C241" s="714" t="n">
        <f aca="false">C240+5</f>
        <v>125.00001</v>
      </c>
      <c r="D241" s="213" t="n">
        <f aca="false">6-(-10*LOG10(3282.81*((SIN(RADIANS(C241*1.7724))^2)/((C241*1.7724)^2))))</f>
        <v>-9.31312388349205</v>
      </c>
      <c r="E241" s="98"/>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row>
    <row r="242" customFormat="false" ht="12" hidden="false" customHeight="true" outlineLevel="0" collapsed="false">
      <c r="A242" s="19"/>
      <c r="B242" s="19"/>
      <c r="C242" s="714" t="n">
        <f aca="false">C241+5</f>
        <v>130.00001</v>
      </c>
      <c r="D242" s="213" t="n">
        <f aca="false">6-(-10*LOG10(3282.81*((SIN(RADIANS(C242*1.7724))^2)/((C242*1.7724)^2))))</f>
        <v>-8.35053607017271</v>
      </c>
      <c r="E242" s="98"/>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row>
    <row r="243" customFormat="false" ht="12" hidden="false" customHeight="true" outlineLevel="0" collapsed="false">
      <c r="A243" s="19"/>
      <c r="B243" s="19"/>
      <c r="C243" s="714" t="n">
        <f aca="false">C242+5</f>
        <v>135.00001</v>
      </c>
      <c r="D243" s="213" t="n">
        <f aca="false">6-(-10*LOG10(3282.81*((SIN(RADIANS(C243*1.7724))^2)/((C243*1.7724)^2))))</f>
        <v>-7.72931642785516</v>
      </c>
      <c r="E243" s="98"/>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row>
    <row r="244" customFormat="false" ht="12" hidden="false" customHeight="true" outlineLevel="0" collapsed="false">
      <c r="A244" s="19"/>
      <c r="B244" s="19"/>
      <c r="C244" s="714" t="n">
        <f aca="false">C243+5</f>
        <v>140.00001</v>
      </c>
      <c r="D244" s="213" t="n">
        <f aca="false">6-(-10*LOG10(3282.81*((SIN(RADIANS(C244*1.7724))^2)/((C244*1.7724)^2))))</f>
        <v>-7.37971893504547</v>
      </c>
      <c r="E244" s="98"/>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row>
    <row r="245" customFormat="false" ht="12" hidden="false" customHeight="true" outlineLevel="0" collapsed="false">
      <c r="A245" s="19"/>
      <c r="B245" s="19"/>
      <c r="C245" s="714" t="n">
        <f aca="false">C244+5</f>
        <v>145.00001</v>
      </c>
      <c r="D245" s="213" t="n">
        <f aca="false">6-(-10*LOG10(3282.81*((SIN(RADIANS(C245*1.7724))^2)/((C245*1.7724)^2))))</f>
        <v>-7.26172872074141</v>
      </c>
      <c r="E245" s="98"/>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row>
    <row r="246" customFormat="false" ht="12" hidden="false" customHeight="true" outlineLevel="0" collapsed="false">
      <c r="A246" s="19"/>
      <c r="B246" s="19"/>
      <c r="C246" s="714" t="n">
        <f aca="false">C245+5</f>
        <v>150.00001</v>
      </c>
      <c r="D246" s="213" t="n">
        <f aca="false">6-(-10*LOG10(3282.81*((SIN(RADIANS(C246*1.7724))^2)/((C246*1.7724)^2))))</f>
        <v>-7.35329727919447</v>
      </c>
      <c r="E246" s="98"/>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row>
    <row r="247" customFormat="false" ht="12" hidden="false" customHeight="true" outlineLevel="0" collapsed="false">
      <c r="A247" s="19"/>
      <c r="B247" s="19"/>
      <c r="C247" s="714" t="n">
        <f aca="false">C246+5</f>
        <v>155.00001</v>
      </c>
      <c r="D247" s="213" t="n">
        <f aca="false">6-(-10*LOG10(3282.81*((SIN(RADIANS(C247*1.7724))^2)/((C247*1.7724)^2))))</f>
        <v>-7.64494344304176</v>
      </c>
      <c r="E247" s="98"/>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row>
    <row r="248" customFormat="false" ht="12" hidden="false" customHeight="true" outlineLevel="0" collapsed="false">
      <c r="A248" s="19"/>
      <c r="B248" s="19"/>
      <c r="C248" s="714" t="n">
        <f aca="false">C247+5</f>
        <v>160.00001</v>
      </c>
      <c r="D248" s="213" t="n">
        <f aca="false">6-(-10*LOG10(3282.81*((SIN(RADIANS(C248*1.7724))^2)/((C248*1.7724)^2))))</f>
        <v>-8.13761496099577</v>
      </c>
      <c r="E248" s="98"/>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row>
    <row r="249" customFormat="false" ht="12" hidden="false" customHeight="true" outlineLevel="0" collapsed="false">
      <c r="A249" s="19"/>
      <c r="B249" s="19"/>
      <c r="C249" s="714" t="n">
        <f aca="false">C248+5</f>
        <v>165.00001</v>
      </c>
      <c r="D249" s="213" t="n">
        <f aca="false">6-(-10*LOG10(3282.81*((SIN(RADIANS(C249*1.7724))^2)/((C249*1.7724)^2))))</f>
        <v>-8.84276461181656</v>
      </c>
      <c r="E249" s="98"/>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row>
    <row r="250" customFormat="false" ht="12" hidden="false" customHeight="true" outlineLevel="0" collapsed="false">
      <c r="A250" s="19"/>
      <c r="B250" s="19"/>
      <c r="C250" s="714" t="n">
        <f aca="false">C249+5</f>
        <v>170.00001</v>
      </c>
      <c r="D250" s="213" t="n">
        <f aca="false">6-(-10*LOG10(3282.81*((SIN(RADIANS(C250*1.7724))^2)/((C250*1.7724)^2))))</f>
        <v>-9.78467257583358</v>
      </c>
      <c r="E250" s="98"/>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row>
    <row r="251" customFormat="false" ht="12" hidden="false" customHeight="true" outlineLevel="0" collapsed="false">
      <c r="A251" s="19"/>
      <c r="B251" s="19"/>
      <c r="C251" s="714" t="n">
        <f aca="false">C250+5</f>
        <v>175.00001</v>
      </c>
      <c r="D251" s="213" t="n">
        <f aca="false">6-(-10*LOG10(3282.81*((SIN(RADIANS(C251*1.7724))^2)/((C251*1.7724)^2))))</f>
        <v>-11.0061519190342</v>
      </c>
      <c r="E251" s="98"/>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row>
    <row r="252" customFormat="false" ht="12" hidden="false" customHeight="true" outlineLevel="0" collapsed="false">
      <c r="A252" s="19"/>
      <c r="B252" s="19"/>
      <c r="C252" s="714" t="n">
        <f aca="false">C251+5</f>
        <v>180.00001</v>
      </c>
      <c r="D252" s="213" t="n">
        <f aca="false">6-(-10*LOG10(3282.81*((SIN(RADIANS(C252*1.7724))^2)/((C252*1.7724)^2))))</f>
        <v>-12.580956411964</v>
      </c>
      <c r="E252" s="98"/>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row>
    <row r="253" customFormat="false" ht="12" hidden="false" customHeight="true" outlineLevel="0" collapsed="false">
      <c r="A253" s="19"/>
      <c r="B253" s="19"/>
      <c r="C253" s="714" t="n">
        <f aca="false">C252+5</f>
        <v>185.00001</v>
      </c>
      <c r="D253" s="213" t="n">
        <v>-11</v>
      </c>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row>
    <row r="254" customFormat="false" ht="12" hidden="false" customHeight="true" outlineLevel="0" collapsed="false">
      <c r="A254" s="19"/>
      <c r="B254" s="19"/>
      <c r="C254" s="714" t="n">
        <f aca="false">C253+5</f>
        <v>190.00001</v>
      </c>
      <c r="D254" s="213" t="n">
        <v>-9.8</v>
      </c>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row>
    <row r="255" customFormat="false" ht="12" hidden="false" customHeight="true" outlineLevel="0" collapsed="false">
      <c r="A255" s="19"/>
      <c r="B255" s="19"/>
      <c r="C255" s="714" t="n">
        <f aca="false">C254+5</f>
        <v>195.00001</v>
      </c>
      <c r="D255" s="98" t="n">
        <v>-8.8</v>
      </c>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row>
    <row r="256" customFormat="false" ht="12" hidden="false" customHeight="true" outlineLevel="0" collapsed="false">
      <c r="A256" s="19"/>
      <c r="B256" s="19"/>
      <c r="C256" s="714" t="n">
        <f aca="false">C255+5</f>
        <v>200.00001</v>
      </c>
      <c r="D256" s="98" t="n">
        <v>-8.1</v>
      </c>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row>
    <row r="257" customFormat="false" ht="12" hidden="false" customHeight="true" outlineLevel="0" collapsed="false">
      <c r="A257" s="19"/>
      <c r="B257" s="19"/>
      <c r="C257" s="714" t="n">
        <f aca="false">C256+5</f>
        <v>205.00001</v>
      </c>
      <c r="D257" s="98" t="n">
        <v>-7.6</v>
      </c>
      <c r="E257" s="19" t="s">
        <v>0</v>
      </c>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row>
    <row r="258" customFormat="false" ht="12" hidden="false" customHeight="true" outlineLevel="0" collapsed="false">
      <c r="A258" s="19"/>
      <c r="B258" s="19"/>
      <c r="C258" s="714" t="n">
        <f aca="false">C257+5</f>
        <v>210.00001</v>
      </c>
      <c r="D258" s="98" t="n">
        <v>-7.4</v>
      </c>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row>
    <row r="259" customFormat="false" ht="12" hidden="false" customHeight="true" outlineLevel="0" collapsed="false">
      <c r="A259" s="19"/>
      <c r="B259" s="19"/>
      <c r="C259" s="714" t="n">
        <f aca="false">C258+5</f>
        <v>215.00001</v>
      </c>
      <c r="D259" s="98" t="n">
        <v>-7.3</v>
      </c>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row>
    <row r="260" customFormat="false" ht="12" hidden="false" customHeight="true" outlineLevel="0" collapsed="false">
      <c r="A260" s="19"/>
      <c r="B260" s="19"/>
      <c r="C260" s="714" t="n">
        <f aca="false">C259+5</f>
        <v>220.00001</v>
      </c>
      <c r="D260" s="98" t="n">
        <v>-7.4</v>
      </c>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row>
    <row r="261" customFormat="false" ht="12" hidden="false" customHeight="true" outlineLevel="0" collapsed="false">
      <c r="A261" s="19"/>
      <c r="B261" s="19"/>
      <c r="C261" s="714" t="n">
        <f aca="false">C260+5</f>
        <v>225.00001</v>
      </c>
      <c r="D261" s="98" t="n">
        <v>-7.7</v>
      </c>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row>
    <row r="262" customFormat="false" ht="12" hidden="false" customHeight="true" outlineLevel="0" collapsed="false">
      <c r="A262" s="19"/>
      <c r="B262" s="19"/>
      <c r="C262" s="714" t="n">
        <f aca="false">C261+5</f>
        <v>230.00001</v>
      </c>
      <c r="D262" s="98" t="n">
        <v>-8.4</v>
      </c>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row>
    <row r="263" customFormat="false" ht="12" hidden="false" customHeight="true" outlineLevel="0" collapsed="false">
      <c r="A263" s="19"/>
      <c r="B263" s="19"/>
      <c r="C263" s="714" t="n">
        <f aca="false">C262+5</f>
        <v>235.00001</v>
      </c>
      <c r="D263" s="98" t="n">
        <v>-9.3</v>
      </c>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row>
    <row r="264" customFormat="false" ht="12" hidden="false" customHeight="true" outlineLevel="0" collapsed="false">
      <c r="A264" s="19"/>
      <c r="B264" s="19"/>
      <c r="C264" s="714" t="n">
        <f aca="false">C263+5</f>
        <v>240.00001</v>
      </c>
      <c r="D264" s="98" t="n">
        <v>-10.7</v>
      </c>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row>
    <row r="265" customFormat="false" ht="12" hidden="false" customHeight="true" outlineLevel="0" collapsed="false">
      <c r="A265" s="19"/>
      <c r="B265" s="19"/>
      <c r="C265" s="714" t="n">
        <f aca="false">C264+5</f>
        <v>245.00001</v>
      </c>
      <c r="D265" s="98" t="n">
        <v>-12.9</v>
      </c>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row>
    <row r="266" customFormat="false" ht="12" hidden="false" customHeight="true" outlineLevel="0" collapsed="false">
      <c r="A266" s="19"/>
      <c r="B266" s="19"/>
      <c r="C266" s="714" t="n">
        <f aca="false">C265+5</f>
        <v>250.00001</v>
      </c>
      <c r="D266" s="98" t="n">
        <v>-16.4</v>
      </c>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row>
    <row r="267" customFormat="false" ht="12" hidden="false" customHeight="true" outlineLevel="0" collapsed="false">
      <c r="A267" s="19"/>
      <c r="B267" s="19"/>
      <c r="C267" s="714" t="n">
        <f aca="false">C266+5</f>
        <v>255.00001</v>
      </c>
      <c r="D267" s="98" t="n">
        <v>-23.7</v>
      </c>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row>
    <row r="268" customFormat="false" ht="12" hidden="false" customHeight="true" outlineLevel="0" collapsed="false">
      <c r="A268" s="19"/>
      <c r="B268" s="19"/>
      <c r="C268" s="714" t="n">
        <f aca="false">C267+5</f>
        <v>260.00001</v>
      </c>
      <c r="D268" s="98" t="n">
        <v>-30.2</v>
      </c>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row>
    <row r="269" customFormat="false" ht="12" hidden="false" customHeight="true" outlineLevel="0" collapsed="false">
      <c r="A269" s="19"/>
      <c r="B269" s="19"/>
      <c r="C269" s="714" t="n">
        <f aca="false">C268+5</f>
        <v>265.00001</v>
      </c>
      <c r="D269" s="98" t="n">
        <v>-17.3</v>
      </c>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row>
    <row r="270" customFormat="false" ht="12" hidden="false" customHeight="true" outlineLevel="0" collapsed="false">
      <c r="A270" s="19"/>
      <c r="B270" s="19"/>
      <c r="C270" s="714" t="n">
        <f aca="false">C269+5</f>
        <v>270.00001</v>
      </c>
      <c r="D270" s="213" t="n">
        <v>-8.6</v>
      </c>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row>
    <row r="271" customFormat="false" ht="12" hidden="false" customHeight="true" outlineLevel="0" collapsed="false">
      <c r="A271" s="19"/>
      <c r="B271" s="19"/>
      <c r="C271" s="714" t="n">
        <f aca="false">C270+5</f>
        <v>275.00001</v>
      </c>
      <c r="D271" s="213" t="n">
        <v>-6</v>
      </c>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row>
    <row r="272" customFormat="false" ht="12" hidden="false" customHeight="true" outlineLevel="0" collapsed="false">
      <c r="A272" s="19"/>
      <c r="B272" s="19"/>
      <c r="C272" s="714" t="n">
        <f aca="false">C271+5</f>
        <v>280.00001</v>
      </c>
      <c r="D272" s="213" t="n">
        <v>-4</v>
      </c>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row>
    <row r="273" customFormat="false" ht="12" hidden="false" customHeight="true" outlineLevel="0" collapsed="false">
      <c r="A273" s="19"/>
      <c r="B273" s="19"/>
      <c r="C273" s="714" t="n">
        <f aca="false">C272+5</f>
        <v>285.00001</v>
      </c>
      <c r="D273" s="98" t="n">
        <v>-2.3</v>
      </c>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row>
    <row r="274" customFormat="false" ht="12" hidden="false" customHeight="true" outlineLevel="0" collapsed="false">
      <c r="A274" s="19"/>
      <c r="B274" s="19"/>
      <c r="C274" s="714" t="n">
        <f aca="false">C273+5</f>
        <v>290.00001</v>
      </c>
      <c r="D274" s="98" t="n">
        <v>-0.9</v>
      </c>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row>
    <row r="275" customFormat="false" ht="12" hidden="false" customHeight="true" outlineLevel="0" collapsed="false">
      <c r="A275" s="19"/>
      <c r="B275" s="19"/>
      <c r="C275" s="714" t="n">
        <f aca="false">C274+5</f>
        <v>295.00001</v>
      </c>
      <c r="D275" s="98" t="n">
        <v>0.3</v>
      </c>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row>
    <row r="276" customFormat="false" ht="12" hidden="false" customHeight="true" outlineLevel="0" collapsed="false">
      <c r="A276" s="19"/>
      <c r="B276" s="19"/>
      <c r="C276" s="714" t="n">
        <f aca="false">C275+5</f>
        <v>300.00001</v>
      </c>
      <c r="D276" s="98" t="n">
        <v>1.3</v>
      </c>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row>
    <row r="277" customFormat="false" ht="12" hidden="false" customHeight="true" outlineLevel="0" collapsed="false">
      <c r="A277" s="19"/>
      <c r="B277" s="19"/>
      <c r="C277" s="714" t="n">
        <f aca="false">C276+5</f>
        <v>305.00001</v>
      </c>
      <c r="D277" s="98" t="n">
        <v>2.2</v>
      </c>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row>
    <row r="278" customFormat="false" ht="12" hidden="false" customHeight="true" outlineLevel="0" collapsed="false">
      <c r="A278" s="19"/>
      <c r="B278" s="19"/>
      <c r="C278" s="714" t="n">
        <f aca="false">C277+5</f>
        <v>310.00001</v>
      </c>
      <c r="D278" s="213" t="n">
        <v>3</v>
      </c>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row>
    <row r="279" customFormat="false" ht="12" hidden="false" customHeight="true" outlineLevel="0" collapsed="false">
      <c r="A279" s="19"/>
      <c r="B279" s="19"/>
      <c r="C279" s="714" t="n">
        <f aca="false">C278+5</f>
        <v>315.00001</v>
      </c>
      <c r="D279" s="98" t="n">
        <v>3.7</v>
      </c>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row>
    <row r="280" customFormat="false" ht="12" hidden="false" customHeight="true" outlineLevel="0" collapsed="false">
      <c r="A280" s="19"/>
      <c r="B280" s="19"/>
      <c r="C280" s="714" t="n">
        <f aca="false">C279+5</f>
        <v>320.00001</v>
      </c>
      <c r="D280" s="98" t="n">
        <v>4.2</v>
      </c>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row>
    <row r="281" customFormat="false" ht="12" hidden="false" customHeight="true" outlineLevel="0" collapsed="false">
      <c r="A281" s="19"/>
      <c r="B281" s="19"/>
      <c r="C281" s="714" t="n">
        <f aca="false">C280+5</f>
        <v>325.00001</v>
      </c>
      <c r="D281" s="98" t="n">
        <v>4.7</v>
      </c>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row>
    <row r="282" customFormat="false" ht="12" hidden="false" customHeight="true" outlineLevel="0" collapsed="false">
      <c r="A282" s="19"/>
      <c r="B282" s="19"/>
      <c r="C282" s="714" t="n">
        <f aca="false">C281+5</f>
        <v>330.00001</v>
      </c>
      <c r="D282" s="98" t="n">
        <v>5.1</v>
      </c>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row>
    <row r="283" customFormat="false" ht="12" hidden="false" customHeight="true" outlineLevel="0" collapsed="false">
      <c r="A283" s="19"/>
      <c r="B283" s="19"/>
      <c r="C283" s="714" t="n">
        <f aca="false">C282+5</f>
        <v>335.00001</v>
      </c>
      <c r="D283" s="98" t="n">
        <v>5.4</v>
      </c>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row>
    <row r="284" customFormat="false" ht="12" hidden="false" customHeight="true" outlineLevel="0" collapsed="false">
      <c r="A284" s="19"/>
      <c r="B284" s="19"/>
      <c r="C284" s="714" t="n">
        <f aca="false">C283+5</f>
        <v>340.00001</v>
      </c>
      <c r="D284" s="98" t="n">
        <v>5.7</v>
      </c>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row>
    <row r="285" customFormat="false" ht="12" hidden="false" customHeight="true" outlineLevel="0" collapsed="false">
      <c r="A285" s="19"/>
      <c r="B285" s="19"/>
      <c r="C285" s="714" t="n">
        <f aca="false">C284+5</f>
        <v>345.00001</v>
      </c>
      <c r="D285" s="98" t="n">
        <v>5.9</v>
      </c>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row>
    <row r="286" customFormat="false" ht="12" hidden="false" customHeight="true" outlineLevel="0" collapsed="false">
      <c r="A286" s="19"/>
      <c r="B286" s="19"/>
      <c r="C286" s="714" t="n">
        <f aca="false">C285+5</f>
        <v>350.00001</v>
      </c>
      <c r="D286" s="213" t="n">
        <v>6</v>
      </c>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row>
    <row r="287" customFormat="false" ht="12" hidden="false" customHeight="true" outlineLevel="0" collapsed="false">
      <c r="A287" s="19"/>
      <c r="B287" s="19"/>
      <c r="C287" s="714" t="n">
        <f aca="false">C286+5</f>
        <v>355.00001</v>
      </c>
      <c r="D287" s="213" t="n">
        <v>6</v>
      </c>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row>
    <row r="288" customFormat="false" ht="12" hidden="false" customHeight="true" outlineLevel="0" collapsed="false">
      <c r="A288" s="19"/>
      <c r="B288" s="19"/>
      <c r="C288" s="714" t="s">
        <v>0</v>
      </c>
      <c r="D288" s="98"/>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row>
    <row r="289" customFormat="false" ht="12" hidden="false" customHeight="true" outlineLevel="0" collapsed="false">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row>
    <row r="290" customFormat="false" ht="12" hidden="false" customHeight="true" outlineLevel="0" collapsed="false">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row>
    <row r="291" customFormat="false" ht="12" hidden="false" customHeight="true" outlineLevel="0" collapsed="false">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row>
    <row r="292" customFormat="false" ht="12" hidden="false" customHeight="true" outlineLevel="0" collapsed="false">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row>
    <row r="293" customFormat="false" ht="12" hidden="false" customHeight="true" outlineLevel="0" collapsed="false">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row>
    <row r="294" customFormat="false" ht="12" hidden="false" customHeight="true" outlineLevel="0" collapsed="false">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row>
    <row r="295" customFormat="false" ht="12" hidden="false" customHeight="true" outlineLevel="0" collapsed="false">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row>
    <row r="296" customFormat="false" ht="12" hidden="false" customHeight="true" outlineLevel="0" collapsed="false">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row>
    <row r="297" customFormat="false" ht="12" hidden="false" customHeight="true" outlineLevel="0" collapsed="false">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row>
    <row r="298" customFormat="false" ht="12" hidden="false" customHeight="true" outlineLevel="0" collapsed="false">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row>
    <row r="299" customFormat="false" ht="12" hidden="false" customHeight="true" outlineLevel="0" collapsed="false">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row>
    <row r="300" customFormat="false" ht="12" hidden="false" customHeight="true" outlineLevel="0" collapsed="false">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row>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17.13"/>
    <col collapsed="false" customWidth="true" hidden="false" outlineLevel="0" max="2" min="2" style="1" width="9"/>
    <col collapsed="false" customWidth="true" hidden="false" outlineLevel="0" max="3" min="3" style="1" width="12.25"/>
    <col collapsed="false" customWidth="true" hidden="false" outlineLevel="0" max="4" min="4" style="1" width="10.88"/>
    <col collapsed="false" customWidth="true" hidden="false" outlineLevel="0" max="5" min="5" style="1" width="16.12"/>
    <col collapsed="false" customWidth="true" hidden="false" outlineLevel="0" max="6" min="6" style="1" width="14.75"/>
    <col collapsed="false" customWidth="true" hidden="false" outlineLevel="0" max="9" min="7" style="1" width="8.88"/>
    <col collapsed="false" customWidth="true" hidden="false" outlineLevel="0" max="10" min="10" style="1" width="12.38"/>
    <col collapsed="false" customWidth="true" hidden="false" outlineLevel="0" max="21" min="11" style="1" width="8.88"/>
    <col collapsed="false" customWidth="true" hidden="false" outlineLevel="0" max="26" min="22" style="1" width="14.38"/>
  </cols>
  <sheetData>
    <row r="1" customFormat="false" ht="16.5" hidden="false" customHeight="true" outlineLevel="0" collapsed="false">
      <c r="A1" s="718"/>
      <c r="B1" s="719"/>
      <c r="C1" s="720" t="s">
        <v>951</v>
      </c>
      <c r="D1" s="720"/>
      <c r="E1" s="719"/>
      <c r="F1" s="719"/>
      <c r="G1" s="721"/>
      <c r="H1" s="19"/>
      <c r="I1" s="19"/>
      <c r="J1" s="19"/>
      <c r="K1" s="19"/>
      <c r="L1" s="19"/>
      <c r="M1" s="19"/>
      <c r="N1" s="19"/>
      <c r="O1" s="19"/>
      <c r="P1" s="19"/>
      <c r="Q1" s="19"/>
      <c r="R1" s="19"/>
      <c r="S1" s="711"/>
      <c r="T1" s="711"/>
      <c r="U1" s="711"/>
    </row>
    <row r="2" customFormat="false" ht="16.5" hidden="false" customHeight="true" outlineLevel="0" collapsed="false">
      <c r="A2" s="722" t="s">
        <v>952</v>
      </c>
      <c r="B2" s="723"/>
      <c r="C2" s="723"/>
      <c r="D2" s="723"/>
      <c r="E2" s="499"/>
      <c r="F2" s="499"/>
      <c r="G2" s="724"/>
      <c r="H2" s="19"/>
      <c r="I2" s="19"/>
      <c r="J2" s="19"/>
      <c r="K2" s="19"/>
      <c r="L2" s="19"/>
      <c r="M2" s="19"/>
      <c r="N2" s="19"/>
      <c r="O2" s="19"/>
      <c r="P2" s="19"/>
      <c r="Q2" s="19"/>
      <c r="R2" s="19"/>
      <c r="S2" s="711"/>
      <c r="T2" s="711"/>
      <c r="U2" s="711"/>
    </row>
    <row r="3" customFormat="false" ht="18" hidden="false" customHeight="true" outlineLevel="0" collapsed="false">
      <c r="A3" s="725" t="s">
        <v>953</v>
      </c>
      <c r="B3" s="504"/>
      <c r="C3" s="504"/>
      <c r="D3" s="504"/>
      <c r="E3" s="726"/>
      <c r="F3" s="10"/>
      <c r="G3" s="727"/>
      <c r="H3" s="19"/>
      <c r="I3" s="710" t="s">
        <v>954</v>
      </c>
      <c r="J3" s="728" t="str">
        <f aca="false">'Title Page'!F23</f>
        <v>2025 June 06</v>
      </c>
      <c r="K3" s="187"/>
      <c r="L3" s="21" t="s">
        <v>0</v>
      </c>
      <c r="M3" s="21" t="s">
        <v>0</v>
      </c>
      <c r="N3" s="19"/>
      <c r="O3" s="19"/>
      <c r="P3" s="19"/>
      <c r="Q3" s="19"/>
      <c r="R3" s="19"/>
      <c r="S3" s="711"/>
      <c r="T3" s="711"/>
      <c r="U3" s="711"/>
    </row>
    <row r="4" customFormat="false" ht="12.75" hidden="false" customHeight="true" outlineLevel="0" collapsed="false">
      <c r="A4" s="21"/>
      <c r="B4" s="19"/>
      <c r="C4" s="19"/>
      <c r="D4" s="19"/>
      <c r="E4" s="19"/>
      <c r="F4" s="19"/>
      <c r="G4" s="19"/>
      <c r="H4" s="19"/>
      <c r="I4" s="19"/>
      <c r="J4" s="19"/>
      <c r="K4" s="19"/>
      <c r="L4" s="19"/>
      <c r="M4" s="21"/>
      <c r="N4" s="19"/>
      <c r="O4" s="19"/>
      <c r="P4" s="19"/>
      <c r="Q4" s="19"/>
      <c r="R4" s="19"/>
      <c r="S4" s="711"/>
      <c r="T4" s="711"/>
      <c r="U4" s="711"/>
    </row>
    <row r="5" customFormat="false" ht="12.75" hidden="false" customHeight="true" outlineLevel="0" collapsed="false">
      <c r="A5" s="729" t="s">
        <v>309</v>
      </c>
      <c r="B5" s="730" t="n">
        <v>8.2</v>
      </c>
      <c r="C5" s="19" t="s">
        <v>955</v>
      </c>
      <c r="D5" s="19"/>
      <c r="E5" s="731" t="s">
        <v>933</v>
      </c>
      <c r="F5" s="732" t="n">
        <f aca="false">20.4+20*LOG10(B6)+20*LOG10(B5)+10*LOG10(B7/100)</f>
        <v>58.68657931</v>
      </c>
      <c r="G5" s="19" t="s">
        <v>0</v>
      </c>
      <c r="H5" s="733" t="s">
        <v>956</v>
      </c>
      <c r="I5" s="382"/>
      <c r="J5" s="340"/>
      <c r="K5" s="19"/>
      <c r="L5" s="19"/>
      <c r="M5" s="19"/>
      <c r="N5" s="19"/>
      <c r="O5" s="19"/>
      <c r="P5" s="19"/>
      <c r="Q5" s="19"/>
      <c r="R5" s="19"/>
      <c r="S5" s="711"/>
      <c r="T5" s="711"/>
      <c r="U5" s="711"/>
    </row>
    <row r="6" customFormat="false" ht="12.75" hidden="false" customHeight="true" outlineLevel="0" collapsed="false">
      <c r="A6" s="729" t="s">
        <v>957</v>
      </c>
      <c r="B6" s="730" t="n">
        <v>13.5</v>
      </c>
      <c r="C6" s="19" t="s">
        <v>958</v>
      </c>
      <c r="D6" s="19"/>
      <c r="E6" s="19"/>
      <c r="F6" s="98"/>
      <c r="G6" s="19"/>
      <c r="H6" s="19"/>
      <c r="I6" s="19"/>
      <c r="J6" s="19"/>
      <c r="K6" s="19"/>
      <c r="L6" s="19"/>
      <c r="M6" s="19"/>
      <c r="N6" s="19"/>
      <c r="O6" s="19"/>
      <c r="P6" s="19"/>
      <c r="Q6" s="19"/>
      <c r="R6" s="19"/>
      <c r="S6" s="711"/>
      <c r="T6" s="711"/>
      <c r="U6" s="711"/>
    </row>
    <row r="7" customFormat="false" ht="12.75" hidden="false" customHeight="true" outlineLevel="0" collapsed="false">
      <c r="A7" s="734" t="s">
        <v>488</v>
      </c>
      <c r="B7" s="730" t="n">
        <v>55</v>
      </c>
      <c r="C7" s="19" t="s">
        <v>959</v>
      </c>
      <c r="D7" s="93" t="s">
        <v>960</v>
      </c>
      <c r="E7" s="21" t="s">
        <v>961</v>
      </c>
      <c r="F7" s="204" t="n">
        <f aca="false">21/(B5*B6)</f>
        <v>0.189701897</v>
      </c>
      <c r="G7" s="19" t="s">
        <v>215</v>
      </c>
      <c r="H7" s="21" t="s">
        <v>962</v>
      </c>
      <c r="I7" s="19"/>
      <c r="J7" s="19"/>
      <c r="K7" s="19"/>
      <c r="L7" s="19"/>
      <c r="M7" s="19"/>
      <c r="N7" s="19"/>
      <c r="O7" s="19"/>
      <c r="P7" s="19"/>
      <c r="Q7" s="19"/>
      <c r="R7" s="104" t="s">
        <v>0</v>
      </c>
      <c r="S7" s="735" t="n">
        <f aca="false">F7/2</f>
        <v>0.09485094851</v>
      </c>
      <c r="T7" s="711"/>
      <c r="U7" s="711"/>
    </row>
    <row r="8" customFormat="false" ht="12.75" hidden="false" customHeight="true" outlineLevel="0" collapsed="false">
      <c r="A8" s="736"/>
      <c r="B8" s="737"/>
      <c r="C8" s="711"/>
      <c r="D8" s="738"/>
      <c r="E8" s="739"/>
      <c r="F8" s="740"/>
      <c r="G8" s="19"/>
      <c r="H8" s="21"/>
      <c r="I8" s="19"/>
      <c r="J8" s="19"/>
      <c r="K8" s="19"/>
      <c r="L8" s="19"/>
      <c r="M8" s="19"/>
      <c r="N8" s="19"/>
      <c r="O8" s="19"/>
      <c r="P8" s="19"/>
      <c r="Q8" s="19"/>
      <c r="R8" s="104"/>
      <c r="S8" s="735"/>
      <c r="T8" s="711"/>
      <c r="U8" s="711"/>
    </row>
    <row r="9" customFormat="false" ht="12.75" hidden="false" customHeight="true" outlineLevel="0" collapsed="false">
      <c r="A9" s="736"/>
      <c r="B9" s="737"/>
      <c r="C9" s="711"/>
      <c r="D9" s="738" t="s">
        <v>466</v>
      </c>
      <c r="E9" s="739"/>
      <c r="F9" s="741" t="n">
        <f aca="false">299.8/(B5*1000)</f>
        <v>0.03656097561</v>
      </c>
      <c r="G9" s="19" t="s">
        <v>963</v>
      </c>
      <c r="H9" s="21"/>
      <c r="I9" s="19"/>
      <c r="J9" s="19"/>
      <c r="K9" s="19"/>
      <c r="L9" s="19"/>
      <c r="M9" s="19"/>
      <c r="N9" s="19"/>
      <c r="O9" s="19"/>
      <c r="P9" s="19"/>
      <c r="Q9" s="19"/>
      <c r="R9" s="104"/>
      <c r="S9" s="735"/>
      <c r="T9" s="711"/>
      <c r="U9" s="711"/>
    </row>
    <row r="10" customFormat="false" ht="12.75" hidden="false" customHeight="true" outlineLevel="0" collapsed="false">
      <c r="A10" s="736"/>
      <c r="B10" s="737"/>
      <c r="C10" s="711"/>
      <c r="D10" s="738"/>
      <c r="E10" s="739"/>
      <c r="F10" s="740"/>
      <c r="G10" s="19"/>
      <c r="H10" s="742" t="s">
        <v>964</v>
      </c>
      <c r="I10" s="19"/>
      <c r="J10" s="19"/>
      <c r="K10" s="19" t="s">
        <v>0</v>
      </c>
      <c r="L10" s="19"/>
      <c r="M10" s="19"/>
      <c r="N10" s="19"/>
      <c r="O10" s="19"/>
      <c r="P10" s="19"/>
      <c r="Q10" s="19"/>
      <c r="R10" s="104"/>
      <c r="S10" s="735"/>
      <c r="T10" s="711"/>
      <c r="U10" s="711"/>
    </row>
    <row r="11" customFormat="false" ht="12.75" hidden="false" customHeight="true" outlineLevel="0" collapsed="false">
      <c r="A11" s="736"/>
      <c r="B11" s="737"/>
      <c r="C11" s="711"/>
      <c r="D11" s="743" t="s">
        <v>965</v>
      </c>
      <c r="E11" s="739"/>
      <c r="F11" s="744" t="n">
        <f aca="false">B6/F9</f>
        <v>369.2461641</v>
      </c>
      <c r="G11" s="19" t="s">
        <v>966</v>
      </c>
      <c r="H11" s="745" t="str">
        <f aca="false">IF(F11&gt;9.99,"OK","Too Small")</f>
        <v>OK</v>
      </c>
      <c r="I11" s="19"/>
      <c r="J11" s="19"/>
      <c r="K11" s="19"/>
      <c r="L11" s="19"/>
      <c r="M11" s="19"/>
      <c r="N11" s="19"/>
      <c r="O11" s="19"/>
      <c r="P11" s="19"/>
      <c r="Q11" s="19"/>
      <c r="R11" s="104"/>
      <c r="S11" s="735"/>
      <c r="T11" s="711"/>
      <c r="U11" s="711"/>
    </row>
    <row r="12" customFormat="false" ht="12.75" hidden="false" customHeight="true" outlineLevel="0" collapsed="false">
      <c r="A12" s="746"/>
      <c r="B12" s="19"/>
      <c r="C12" s="19"/>
      <c r="D12" s="19"/>
      <c r="E12" s="21"/>
      <c r="F12" s="104"/>
      <c r="G12" s="19"/>
      <c r="H12" s="21"/>
      <c r="I12" s="19"/>
      <c r="J12" s="19"/>
      <c r="K12" s="19"/>
      <c r="L12" s="19"/>
      <c r="M12" s="19"/>
      <c r="N12" s="19"/>
      <c r="O12" s="19"/>
      <c r="P12" s="19"/>
      <c r="Q12" s="19"/>
      <c r="R12" s="104"/>
      <c r="S12" s="735"/>
      <c r="T12" s="711"/>
      <c r="U12" s="711"/>
    </row>
    <row r="13" customFormat="false" ht="12" hidden="false" customHeight="true" outlineLevel="0" collapsed="false">
      <c r="A13" s="747" t="s">
        <v>60</v>
      </c>
      <c r="B13" s="748" t="s">
        <v>967</v>
      </c>
      <c r="C13" s="358"/>
      <c r="D13" s="358"/>
      <c r="E13" s="358"/>
      <c r="F13" s="749"/>
      <c r="G13" s="510"/>
      <c r="H13" s="510"/>
      <c r="I13" s="510"/>
      <c r="J13" s="510"/>
      <c r="K13" s="511"/>
      <c r="L13" s="19"/>
      <c r="M13" s="19"/>
      <c r="N13" s="19"/>
      <c r="O13" s="19"/>
      <c r="P13" s="19"/>
      <c r="Q13" s="19"/>
      <c r="R13" s="711"/>
      <c r="S13" s="711"/>
      <c r="T13" s="711"/>
      <c r="U13" s="711"/>
    </row>
    <row r="14" customFormat="false" ht="12.75" hidden="false" customHeight="true" outlineLevel="0" collapsed="false">
      <c r="A14" s="750"/>
      <c r="B14" s="751"/>
      <c r="C14" s="750" t="s">
        <v>0</v>
      </c>
      <c r="D14" s="750"/>
      <c r="E14" s="750"/>
      <c r="F14" s="752" t="s">
        <v>968</v>
      </c>
      <c r="G14" s="753"/>
      <c r="H14" s="753"/>
      <c r="I14" s="754" t="s">
        <v>969</v>
      </c>
      <c r="J14" s="753"/>
      <c r="K14" s="755"/>
      <c r="L14" s="19"/>
      <c r="M14" s="19"/>
      <c r="N14" s="19"/>
      <c r="O14" s="19"/>
      <c r="P14" s="19"/>
      <c r="Q14" s="21"/>
      <c r="R14" s="711"/>
      <c r="S14" s="711"/>
      <c r="T14" s="711"/>
      <c r="U14" s="756"/>
    </row>
    <row r="15" customFormat="false" ht="12" hidden="false" customHeight="true" outlineLevel="0" collapsed="false">
      <c r="A15" s="757"/>
      <c r="B15" s="757" t="n">
        <v>0.0001</v>
      </c>
      <c r="C15" s="758" t="n">
        <f aca="false">((SIN(RADIANS(B15)))^2)/B15^2</f>
        <v>0.000304617419786399</v>
      </c>
      <c r="D15" s="757" t="n">
        <f aca="false">C15*1000000</f>
        <v>304.617419786399</v>
      </c>
      <c r="E15" s="758" t="n">
        <f aca="false">D15/304.6174</f>
        <v>1.00000006495492</v>
      </c>
      <c r="F15" s="759" t="n">
        <v>0</v>
      </c>
      <c r="G15" s="433" t="s">
        <v>258</v>
      </c>
      <c r="H15" s="433"/>
      <c r="I15" s="760" t="n">
        <f aca="false">(S7*B15)/79.76</f>
        <v>1.18920447E-007</v>
      </c>
      <c r="J15" s="761" t="s">
        <v>970</v>
      </c>
      <c r="K15" s="432"/>
      <c r="L15" s="19"/>
      <c r="M15" s="19"/>
      <c r="N15" s="19"/>
      <c r="O15" s="19"/>
      <c r="P15" s="19"/>
      <c r="Q15" s="19"/>
      <c r="R15" s="711"/>
      <c r="S15" s="762"/>
      <c r="T15" s="711"/>
      <c r="U15" s="763"/>
    </row>
    <row r="16" customFormat="false" ht="12" hidden="false" customHeight="true" outlineLevel="0" collapsed="false">
      <c r="A16" s="757"/>
      <c r="B16" s="757" t="n">
        <v>0.1</v>
      </c>
      <c r="C16" s="758" t="n">
        <f aca="false">((SIN(RADIANS(B16)))^2)/B16^2</f>
        <v>0.000304617110480926</v>
      </c>
      <c r="D16" s="757" t="n">
        <f aca="false">C16*1000000</f>
        <v>304.617110480926</v>
      </c>
      <c r="E16" s="757" t="n">
        <f aca="false">D16/304.6174</f>
        <v>0.999999049564884</v>
      </c>
      <c r="F16" s="764" t="n">
        <f aca="false">10*LOG10(E16)</f>
        <v>-4.12768922464339E-006</v>
      </c>
      <c r="G16" s="433" t="s">
        <v>258</v>
      </c>
      <c r="H16" s="433"/>
      <c r="I16" s="765" t="n">
        <f aca="false">(S7*B16)/79.76</f>
        <v>0.000118920447</v>
      </c>
      <c r="J16" s="42"/>
      <c r="K16" s="432"/>
      <c r="L16" s="19"/>
      <c r="M16" s="19"/>
      <c r="N16" s="19"/>
      <c r="O16" s="19"/>
      <c r="P16" s="19"/>
      <c r="Q16" s="19"/>
      <c r="R16" s="711"/>
      <c r="S16" s="711"/>
      <c r="T16" s="711"/>
      <c r="U16" s="766"/>
    </row>
    <row r="17" customFormat="false" ht="12" hidden="false" customHeight="true" outlineLevel="0" collapsed="false">
      <c r="A17" s="757" t="s">
        <v>0</v>
      </c>
      <c r="B17" s="757" t="n">
        <v>3.5</v>
      </c>
      <c r="C17" s="757" t="n">
        <f aca="false">((SIN(RADIANS(B17)))^2)/B17^2</f>
        <v>0.000304238708517468</v>
      </c>
      <c r="D17" s="757" t="n">
        <f aca="false">C17*1000000</f>
        <v>304.238708517468</v>
      </c>
      <c r="E17" s="757" t="n">
        <f aca="false">D17/304.6174</f>
        <v>0.998756829115697</v>
      </c>
      <c r="F17" s="759" t="n">
        <f aca="false">10*LOG10(E17)</f>
        <v>-0.00540238128891986</v>
      </c>
      <c r="G17" s="433" t="s">
        <v>258</v>
      </c>
      <c r="H17" s="433" t="s">
        <v>0</v>
      </c>
      <c r="I17" s="765" t="n">
        <f aca="false">(S7*B17)/79.76</f>
        <v>0.004162215644</v>
      </c>
      <c r="J17" s="42" t="s">
        <v>0</v>
      </c>
      <c r="K17" s="432"/>
      <c r="L17" s="19"/>
      <c r="M17" s="19"/>
      <c r="N17" s="19"/>
      <c r="O17" s="19"/>
      <c r="P17" s="19"/>
      <c r="Q17" s="19"/>
      <c r="R17" s="711"/>
      <c r="S17" s="711"/>
      <c r="T17" s="711"/>
      <c r="U17" s="767"/>
    </row>
    <row r="18" customFormat="false" ht="12" hidden="false" customHeight="true" outlineLevel="0" collapsed="false">
      <c r="A18" s="757"/>
      <c r="B18" s="757" t="n">
        <v>10</v>
      </c>
      <c r="C18" s="757" t="n">
        <f aca="false">((SIN(RADIANS(B18)))^2)/B18^2</f>
        <v>0.000301536896070458</v>
      </c>
      <c r="D18" s="757" t="n">
        <f aca="false">C18*1000000</f>
        <v>301.536896070458</v>
      </c>
      <c r="E18" s="757" t="n">
        <f aca="false">D18/304.6174</f>
        <v>0.989887301481984</v>
      </c>
      <c r="F18" s="759" t="n">
        <f aca="false">10*LOG10(E18)</f>
        <v>-0.044142469484505</v>
      </c>
      <c r="G18" s="433" t="s">
        <v>258</v>
      </c>
      <c r="H18" s="433"/>
      <c r="I18" s="765" t="n">
        <f aca="false">(S7*B18)/79.76</f>
        <v>0.0118920447</v>
      </c>
      <c r="J18" s="42"/>
      <c r="K18" s="432"/>
      <c r="L18" s="19"/>
      <c r="M18" s="19"/>
      <c r="N18" s="19"/>
      <c r="O18" s="19"/>
      <c r="P18" s="19"/>
      <c r="Q18" s="104"/>
      <c r="R18" s="711"/>
      <c r="S18" s="711"/>
      <c r="T18" s="711"/>
      <c r="U18" s="767"/>
    </row>
    <row r="19" customFormat="false" ht="12" hidden="false" customHeight="true" outlineLevel="0" collapsed="false">
      <c r="A19" s="757"/>
      <c r="B19" s="757" t="n">
        <v>25</v>
      </c>
      <c r="C19" s="757" t="n">
        <f aca="false">((SIN(RADIANS(B19)))^2)/B19^2</f>
        <v>0.000285769912250769</v>
      </c>
      <c r="D19" s="757" t="n">
        <f aca="false">C19*1000000</f>
        <v>285.769912250769</v>
      </c>
      <c r="E19" s="757" t="n">
        <f aca="false">D19/304.6174</f>
        <v>0.938127343516058</v>
      </c>
      <c r="F19" s="768" t="n">
        <f aca="false">10*LOG10(E19)</f>
        <v>-0.277382055094473</v>
      </c>
      <c r="G19" s="433" t="s">
        <v>258</v>
      </c>
      <c r="H19" s="433"/>
      <c r="I19" s="769" t="n">
        <f aca="false">(S7*B19)/79.76</f>
        <v>0.02973011174</v>
      </c>
      <c r="J19" s="42"/>
      <c r="K19" s="432"/>
      <c r="L19" s="19"/>
      <c r="M19" s="19"/>
      <c r="N19" s="19"/>
      <c r="O19" s="19"/>
      <c r="P19" s="19"/>
      <c r="Q19" s="704"/>
      <c r="R19" s="711"/>
      <c r="S19" s="711"/>
      <c r="T19" s="711"/>
      <c r="U19" s="767"/>
    </row>
    <row r="20" customFormat="false" ht="12" hidden="false" customHeight="true" outlineLevel="0" collapsed="false">
      <c r="A20" s="757"/>
      <c r="B20" s="757" t="n">
        <v>30</v>
      </c>
      <c r="C20" s="757" t="n">
        <f aca="false">((SIN(RADIANS(B20)))^2)/B20^2</f>
        <v>0.000277777777777778</v>
      </c>
      <c r="D20" s="757" t="n">
        <f aca="false">C20*1000000</f>
        <v>277.777777777778</v>
      </c>
      <c r="E20" s="757" t="n">
        <f aca="false">D20/304.6174</f>
        <v>0.911890712013752</v>
      </c>
      <c r="F20" s="768" t="n">
        <f aca="false">10*LOG10(E20)</f>
        <v>-0.400572077389389</v>
      </c>
      <c r="G20" s="433" t="s">
        <v>258</v>
      </c>
      <c r="H20" s="433"/>
      <c r="I20" s="769" t="n">
        <f aca="false">(S7*B20)/79.76</f>
        <v>0.03567613409</v>
      </c>
      <c r="J20" s="42"/>
      <c r="K20" s="432"/>
      <c r="L20" s="19"/>
      <c r="M20" s="19"/>
      <c r="N20" s="19"/>
      <c r="O20" s="19"/>
      <c r="P20" s="19"/>
      <c r="Q20" s="704"/>
      <c r="R20" s="711"/>
      <c r="S20" s="711"/>
      <c r="T20" s="711"/>
      <c r="U20" s="767"/>
    </row>
    <row r="21" customFormat="false" ht="12" hidden="false" customHeight="true" outlineLevel="0" collapsed="false">
      <c r="A21" s="757"/>
      <c r="B21" s="757" t="n">
        <v>40</v>
      </c>
      <c r="C21" s="757" t="n">
        <f aca="false">((SIN(RADIANS(B21)))^2)/B21^2</f>
        <v>0.000258234944479084</v>
      </c>
      <c r="D21" s="757" t="n">
        <f aca="false">C21*1000000</f>
        <v>258.234944479084</v>
      </c>
      <c r="E21" s="757" t="n">
        <f aca="false">D21/304.6174</f>
        <v>0.847735370596309</v>
      </c>
      <c r="F21" s="768" t="n">
        <f aca="false">10*LOG10(E21)</f>
        <v>-0.717396961227066</v>
      </c>
      <c r="G21" s="433" t="s">
        <v>258</v>
      </c>
      <c r="H21" s="433"/>
      <c r="I21" s="770" t="n">
        <f aca="false">(S7*B21)/79.76</f>
        <v>0.04756817879</v>
      </c>
      <c r="J21" s="42" t="s">
        <v>0</v>
      </c>
      <c r="K21" s="432"/>
      <c r="L21" s="19"/>
      <c r="M21" s="19"/>
      <c r="N21" s="19"/>
      <c r="O21" s="19"/>
      <c r="P21" s="19"/>
      <c r="Q21" s="704"/>
      <c r="R21" s="711"/>
      <c r="S21" s="711"/>
      <c r="T21" s="711"/>
      <c r="U21" s="767"/>
    </row>
    <row r="22" customFormat="false" ht="12" hidden="false" customHeight="true" outlineLevel="0" collapsed="false">
      <c r="A22" s="757"/>
      <c r="B22" s="757" t="n">
        <v>47</v>
      </c>
      <c r="C22" s="757" t="n">
        <f aca="false">((SIN(RADIANS(B22)))^2)/B22^2</f>
        <v>0.000242135915288394</v>
      </c>
      <c r="D22" s="757" t="n">
        <f aca="false">C22*1000000</f>
        <v>242.135915288394</v>
      </c>
      <c r="E22" s="757" t="n">
        <f aca="false">D22/304.6174</f>
        <v>0.794885371907167</v>
      </c>
      <c r="F22" s="771" t="n">
        <f aca="false">10*LOG10(E22)</f>
        <v>-0.996954951642838</v>
      </c>
      <c r="G22" s="772" t="s">
        <v>258</v>
      </c>
      <c r="H22" s="772"/>
      <c r="I22" s="773" t="n">
        <f aca="false">(S7*B22)/79.76</f>
        <v>0.05589261008</v>
      </c>
      <c r="J22" s="774"/>
      <c r="K22" s="775"/>
      <c r="L22" s="19"/>
      <c r="M22" s="19"/>
      <c r="N22" s="19"/>
      <c r="O22" s="19"/>
      <c r="P22" s="19"/>
      <c r="Q22" s="704"/>
      <c r="R22" s="711"/>
      <c r="S22" s="711"/>
      <c r="T22" s="711"/>
      <c r="U22" s="776"/>
    </row>
    <row r="23" customFormat="false" ht="12" hidden="false" customHeight="true" outlineLevel="0" collapsed="false">
      <c r="A23" s="757"/>
      <c r="B23" s="757" t="n">
        <v>56.5</v>
      </c>
      <c r="C23" s="757" t="n">
        <f aca="false">((SIN(RADIANS(B23)))^2)/B23^2</f>
        <v>0.000217829294148214</v>
      </c>
      <c r="D23" s="757" t="n">
        <f aca="false">C23*1000000</f>
        <v>217.829294148214</v>
      </c>
      <c r="E23" s="757" t="n">
        <f aca="false">D23/304.6174</f>
        <v>0.715091436497765</v>
      </c>
      <c r="F23" s="768" t="n">
        <f aca="false">10*LOG10(E23)</f>
        <v>-1.45638422775849</v>
      </c>
      <c r="G23" s="433" t="s">
        <v>258</v>
      </c>
      <c r="H23" s="433"/>
      <c r="I23" s="769" t="n">
        <f aca="false">(S7*B23)/79.76</f>
        <v>0.06719005254</v>
      </c>
      <c r="J23" s="42" t="s">
        <v>0</v>
      </c>
      <c r="K23" s="432"/>
      <c r="L23" s="19"/>
      <c r="M23" s="19"/>
      <c r="N23" s="19"/>
      <c r="O23" s="19"/>
      <c r="P23" s="19"/>
      <c r="Q23" s="704"/>
      <c r="R23" s="711"/>
      <c r="S23" s="711"/>
      <c r="T23" s="711"/>
      <c r="U23" s="776"/>
    </row>
    <row r="24" customFormat="false" ht="12" hidden="false" customHeight="true" outlineLevel="0" collapsed="false">
      <c r="A24" s="757"/>
      <c r="B24" s="757" t="n">
        <v>60</v>
      </c>
      <c r="C24" s="757" t="n">
        <f aca="false">((SIN(RADIANS(B24)))^2)/B24^2</f>
        <v>0.000208333333333333</v>
      </c>
      <c r="D24" s="757" t="n">
        <f aca="false">C24*1000000</f>
        <v>208.333333333333</v>
      </c>
      <c r="E24" s="757" t="n">
        <f aca="false">D24/304.6174</f>
        <v>0.683918034010314</v>
      </c>
      <c r="F24" s="768" t="n">
        <f aca="false">10*LOG10(E24)</f>
        <v>-1.64995944347239</v>
      </c>
      <c r="G24" s="433" t="s">
        <v>258</v>
      </c>
      <c r="H24" s="433"/>
      <c r="I24" s="769" t="n">
        <f aca="false">(S7*B24)/79.76</f>
        <v>0.07135226819</v>
      </c>
      <c r="J24" s="42"/>
      <c r="K24" s="432"/>
      <c r="L24" s="19"/>
      <c r="M24" s="19"/>
      <c r="N24" s="19"/>
      <c r="O24" s="19"/>
      <c r="P24" s="19"/>
      <c r="Q24" s="704"/>
      <c r="R24" s="711"/>
      <c r="S24" s="711"/>
      <c r="T24" s="711"/>
      <c r="U24" s="776"/>
    </row>
    <row r="25" customFormat="false" ht="12" hidden="false" customHeight="true" outlineLevel="0" collapsed="false">
      <c r="A25" s="757"/>
      <c r="B25" s="757" t="n">
        <v>65</v>
      </c>
      <c r="C25" s="757" t="n">
        <f aca="false">((SIN(RADIANS(B25)))^2)/B25^2</f>
        <v>0.000194412734874147</v>
      </c>
      <c r="D25" s="757" t="n">
        <f aca="false">C25*1000000</f>
        <v>194.412734874147</v>
      </c>
      <c r="E25" s="757" t="n">
        <f aca="false">D25/304.6174</f>
        <v>0.638219402024135</v>
      </c>
      <c r="F25" s="777" t="n">
        <f aca="false">10*LOG10(E25)</f>
        <v>-1.95029997284566</v>
      </c>
      <c r="G25" s="772" t="s">
        <v>258</v>
      </c>
      <c r="H25" s="772"/>
      <c r="I25" s="773" t="n">
        <f aca="false">(S7*B25)/79.76</f>
        <v>0.07729829054</v>
      </c>
      <c r="J25" s="774"/>
      <c r="K25" s="775"/>
      <c r="L25" s="19"/>
      <c r="M25" s="19" t="s">
        <v>0</v>
      </c>
      <c r="N25" s="19"/>
      <c r="O25" s="19"/>
      <c r="P25" s="19"/>
      <c r="Q25" s="704"/>
      <c r="R25" s="711"/>
      <c r="S25" s="711"/>
      <c r="T25" s="711"/>
      <c r="U25" s="776"/>
    </row>
    <row r="26" customFormat="false" ht="12" hidden="false" customHeight="true" outlineLevel="0" collapsed="false">
      <c r="A26" s="757"/>
      <c r="B26" s="757" t="n">
        <v>70</v>
      </c>
      <c r="C26" s="757" t="n">
        <f aca="false">((SIN(RADIANS(B26)))^2)/B26^2</f>
        <v>0.000180208616644794</v>
      </c>
      <c r="D26" s="757" t="n">
        <f aca="false">C26*1000000</f>
        <v>180.208616644794</v>
      </c>
      <c r="E26" s="757" t="n">
        <f aca="false">D26/304.6174</f>
        <v>0.591590029475643</v>
      </c>
      <c r="F26" s="768" t="n">
        <f aca="false">10*LOG10(E26)</f>
        <v>-2.27979154114292</v>
      </c>
      <c r="G26" s="433" t="s">
        <v>258</v>
      </c>
      <c r="H26" s="433"/>
      <c r="I26" s="769" t="n">
        <f aca="false">(S7*B26)/79.76</f>
        <v>0.08324431288</v>
      </c>
      <c r="J26" s="42"/>
      <c r="K26" s="432"/>
      <c r="L26" s="19"/>
      <c r="M26" s="19"/>
      <c r="N26" s="19"/>
      <c r="O26" s="19"/>
      <c r="P26" s="19"/>
      <c r="Q26" s="778"/>
      <c r="R26" s="711"/>
      <c r="S26" s="762"/>
      <c r="T26" s="711"/>
      <c r="U26" s="766"/>
    </row>
    <row r="27" customFormat="false" ht="12" hidden="false" customHeight="true" outlineLevel="0" collapsed="false">
      <c r="A27" s="757"/>
      <c r="B27" s="757" t="n">
        <v>79.76</v>
      </c>
      <c r="C27" s="757" t="n">
        <f aca="false">((SIN(RADIANS(B27)))^2)/B27^2</f>
        <v>0.000152224034944755</v>
      </c>
      <c r="D27" s="757" t="n">
        <f aca="false">C27*1000000</f>
        <v>152.224034944755</v>
      </c>
      <c r="E27" s="757" t="n">
        <f aca="false">D27/304.6174</f>
        <v>0.499722061000965</v>
      </c>
      <c r="F27" s="779" t="n">
        <f aca="false">10*LOG10(E27)</f>
        <v>-3.01271477534604</v>
      </c>
      <c r="G27" s="780" t="s">
        <v>258</v>
      </c>
      <c r="H27" s="780"/>
      <c r="I27" s="781" t="n">
        <f aca="false">(S7*B27)/79.76</f>
        <v>0.09485094851</v>
      </c>
      <c r="J27" s="782" t="s">
        <v>971</v>
      </c>
      <c r="K27" s="783"/>
      <c r="L27" s="19"/>
      <c r="M27" s="19"/>
      <c r="N27" s="19"/>
      <c r="O27" s="19"/>
      <c r="P27" s="19"/>
      <c r="Q27" s="704"/>
      <c r="R27" s="711"/>
      <c r="S27" s="711"/>
      <c r="T27" s="711"/>
      <c r="U27" s="776"/>
    </row>
    <row r="28" customFormat="false" ht="12" hidden="false" customHeight="true" outlineLevel="0" collapsed="false">
      <c r="A28" s="757"/>
      <c r="B28" s="757" t="n">
        <v>80</v>
      </c>
      <c r="C28" s="757" t="n">
        <f aca="false">((SIN(RADIANS(B28)))^2)/B28^2</f>
        <v>0.000151538485998899</v>
      </c>
      <c r="D28" s="757" t="n">
        <f aca="false">C28*1000000</f>
        <v>151.538485998899</v>
      </c>
      <c r="E28" s="757" t="n">
        <f aca="false">D28/304.6174</f>
        <v>0.497471536422079</v>
      </c>
      <c r="F28" s="759" t="n">
        <f aca="false">10*LOG10(E28)</f>
        <v>-3.03231763015668</v>
      </c>
      <c r="G28" s="433" t="s">
        <v>258</v>
      </c>
      <c r="H28" s="433"/>
      <c r="I28" s="769" t="n">
        <f aca="false">(S7*B28)/79.76</f>
        <v>0.09513635758</v>
      </c>
      <c r="J28" s="42" t="s">
        <v>0</v>
      </c>
      <c r="K28" s="432"/>
      <c r="L28" s="19"/>
      <c r="M28" s="19"/>
      <c r="N28" s="19"/>
      <c r="O28" s="19"/>
      <c r="P28" s="19"/>
      <c r="Q28" s="704"/>
      <c r="R28" s="711"/>
      <c r="S28" s="711"/>
      <c r="T28" s="711"/>
      <c r="U28" s="776"/>
    </row>
    <row r="29" customFormat="false" ht="12" hidden="false" customHeight="true" outlineLevel="0" collapsed="false">
      <c r="A29" s="757"/>
      <c r="B29" s="757" t="n">
        <v>90.8</v>
      </c>
      <c r="C29" s="757" t="n">
        <f aca="false">((SIN(RADIANS(B29)))^2)/B29^2</f>
        <v>0.00012126727880419</v>
      </c>
      <c r="D29" s="757" t="n">
        <f aca="false">C29*1000000</f>
        <v>121.26727880419</v>
      </c>
      <c r="E29" s="757" t="n">
        <f aca="false">D29/304.6174</f>
        <v>0.398097018765803</v>
      </c>
      <c r="F29" s="771" t="n">
        <f aca="false">10*LOG10(E29)</f>
        <v>-4.00011074710323</v>
      </c>
      <c r="G29" s="772" t="s">
        <v>258</v>
      </c>
      <c r="H29" s="772"/>
      <c r="I29" s="784" t="n">
        <f aca="false">(S7*B29)/79.76</f>
        <v>0.1079797659</v>
      </c>
      <c r="J29" s="774"/>
      <c r="K29" s="775"/>
      <c r="L29" s="19"/>
      <c r="M29" s="19"/>
      <c r="N29" s="19"/>
      <c r="O29" s="19"/>
      <c r="P29" s="19"/>
      <c r="Q29" s="704"/>
      <c r="R29" s="711"/>
      <c r="S29" s="711"/>
      <c r="T29" s="711"/>
      <c r="U29" s="776"/>
    </row>
    <row r="30" customFormat="false" ht="12" hidden="false" customHeight="true" outlineLevel="0" collapsed="false">
      <c r="A30" s="757"/>
      <c r="B30" s="757" t="n">
        <v>100</v>
      </c>
      <c r="C30" s="757" t="n">
        <f aca="false">((SIN(RADIANS(B30)))^2)/B30^2</f>
        <v>9.69846310392954E-005</v>
      </c>
      <c r="D30" s="757" t="n">
        <f aca="false">C30*1000000</f>
        <v>96.9846310392954</v>
      </c>
      <c r="E30" s="757" t="n">
        <f aca="false">D30/304.6174</f>
        <v>0.318381783310131</v>
      </c>
      <c r="F30" s="777" t="n">
        <f aca="false">10*LOG10(E30)</f>
        <v>-4.9705178903178</v>
      </c>
      <c r="G30" s="772" t="s">
        <v>258</v>
      </c>
      <c r="H30" s="772"/>
      <c r="I30" s="773" t="n">
        <f aca="false">(S7*B30)/79.76</f>
        <v>0.118920447</v>
      </c>
      <c r="J30" s="774"/>
      <c r="K30" s="775"/>
      <c r="L30" s="19"/>
      <c r="M30" s="19"/>
      <c r="N30" s="19"/>
      <c r="O30" s="19"/>
      <c r="P30" s="19"/>
      <c r="Q30" s="704"/>
      <c r="R30" s="711"/>
      <c r="S30" s="711"/>
      <c r="T30" s="711"/>
      <c r="U30" s="776"/>
    </row>
    <row r="31" customFormat="false" ht="12" hidden="false" customHeight="true" outlineLevel="0" collapsed="false">
      <c r="A31" s="757"/>
      <c r="B31" s="757" t="n">
        <v>110</v>
      </c>
      <c r="C31" s="757" t="n">
        <f aca="false">((SIN(RADIANS(B31)))^2)/B31^2</f>
        <v>7.297704310409E-005</v>
      </c>
      <c r="D31" s="757" t="n">
        <f aca="false">C31*1000000</f>
        <v>72.97704310409</v>
      </c>
      <c r="E31" s="757" t="n">
        <f aca="false">D31/304.6174</f>
        <v>0.239569516068649</v>
      </c>
      <c r="F31" s="768" t="n">
        <f aca="false">10*LOG10(E31)</f>
        <v>-6.20568444402229</v>
      </c>
      <c r="G31" s="433" t="s">
        <v>258</v>
      </c>
      <c r="H31" s="433"/>
      <c r="I31" s="769" t="n">
        <f aca="false">(S7*B31)/79.76</f>
        <v>0.1308124917</v>
      </c>
      <c r="J31" s="42"/>
      <c r="K31" s="432"/>
      <c r="L31" s="19"/>
      <c r="M31" s="19"/>
      <c r="N31" s="19"/>
      <c r="O31" s="19"/>
      <c r="P31" s="19"/>
      <c r="Q31" s="704"/>
      <c r="R31" s="711"/>
      <c r="S31" s="711"/>
      <c r="T31" s="711"/>
      <c r="U31" s="776"/>
    </row>
    <row r="32" customFormat="false" ht="12" hidden="false" customHeight="true" outlineLevel="0" collapsed="false">
      <c r="A32" s="757"/>
      <c r="B32" s="757" t="n">
        <v>122</v>
      </c>
      <c r="C32" s="757" t="n">
        <f aca="false">((SIN(RADIANS(B32)))^2)/B32^2</f>
        <v>4.83193747241695E-005</v>
      </c>
      <c r="D32" s="757" t="n">
        <f aca="false">C32*1000000</f>
        <v>48.3193747241695</v>
      </c>
      <c r="E32" s="757" t="n">
        <f aca="false">D32/304.6174</f>
        <v>0.158623160476616</v>
      </c>
      <c r="F32" s="777" t="n">
        <f aca="false">10*LOG10(E32)</f>
        <v>-7.99633401300626</v>
      </c>
      <c r="G32" s="772" t="s">
        <v>258</v>
      </c>
      <c r="H32" s="772"/>
      <c r="I32" s="784" t="n">
        <f aca="false">(S7*B32)/79.76</f>
        <v>0.1450829453</v>
      </c>
      <c r="J32" s="774"/>
      <c r="K32" s="775"/>
      <c r="L32" s="19"/>
      <c r="M32" s="19"/>
      <c r="N32" s="19"/>
      <c r="O32" s="19"/>
      <c r="P32" s="19"/>
      <c r="Q32" s="704"/>
      <c r="R32" s="711"/>
      <c r="S32" s="711"/>
      <c r="T32" s="711"/>
      <c r="U32" s="776"/>
    </row>
    <row r="33" customFormat="false" ht="12" hidden="false" customHeight="true" outlineLevel="0" collapsed="false">
      <c r="A33" s="757"/>
      <c r="B33" s="757" t="n">
        <v>130</v>
      </c>
      <c r="C33" s="757" t="n">
        <f aca="false">((SIN(RADIANS(B33)))^2)/B33^2</f>
        <v>3.47233188658855E-005</v>
      </c>
      <c r="D33" s="757" t="n">
        <f aca="false">C33*1000000</f>
        <v>34.7233188658855</v>
      </c>
      <c r="E33" s="757" t="n">
        <f aca="false">D33/304.6174</f>
        <v>0.113989939070734</v>
      </c>
      <c r="F33" s="768" t="n">
        <f aca="false">10*LOG10(E33)</f>
        <v>-9.43133478478286</v>
      </c>
      <c r="G33" s="433" t="s">
        <v>258</v>
      </c>
      <c r="H33" s="433"/>
      <c r="I33" s="769" t="n">
        <f aca="false">(S7*B33)/79.76</f>
        <v>0.1545965811</v>
      </c>
      <c r="J33" s="42"/>
      <c r="K33" s="432"/>
      <c r="L33" s="19"/>
      <c r="M33" s="19"/>
      <c r="N33" s="19"/>
      <c r="O33" s="19"/>
      <c r="P33" s="19"/>
      <c r="Q33" s="704"/>
      <c r="R33" s="711"/>
      <c r="S33" s="711"/>
      <c r="T33" s="711"/>
      <c r="U33" s="776"/>
    </row>
    <row r="34" customFormat="false" ht="12" hidden="false" customHeight="true" outlineLevel="0" collapsed="false">
      <c r="A34" s="757"/>
      <c r="B34" s="757" t="n">
        <v>132.85</v>
      </c>
      <c r="C34" s="757" t="n">
        <f aca="false">((SIN(RADIANS(B34)))^2)/B34^2</f>
        <v>3.04541692321057E-005</v>
      </c>
      <c r="D34" s="757" t="n">
        <f aca="false">C34*1000000</f>
        <v>30.4541692321057</v>
      </c>
      <c r="E34" s="757" t="n">
        <f aca="false">D34/304.6174</f>
        <v>0.0999751466334677</v>
      </c>
      <c r="F34" s="771" t="n">
        <f aca="false">10*LOG10(E34)</f>
        <v>-10.001079502146</v>
      </c>
      <c r="G34" s="772" t="s">
        <v>258</v>
      </c>
      <c r="H34" s="772"/>
      <c r="I34" s="773" t="n">
        <f aca="false">(S7*B34)/79.76</f>
        <v>0.1579858138</v>
      </c>
      <c r="J34" s="774"/>
      <c r="K34" s="775"/>
      <c r="L34" s="19"/>
      <c r="M34" s="19"/>
      <c r="N34" s="19"/>
      <c r="O34" s="19"/>
      <c r="P34" s="19"/>
      <c r="Q34" s="704"/>
      <c r="R34" s="711"/>
      <c r="S34" s="711"/>
      <c r="T34" s="711"/>
      <c r="U34" s="776"/>
    </row>
    <row r="35" customFormat="false" ht="12" hidden="false" customHeight="true" outlineLevel="0" collapsed="false">
      <c r="A35" s="757"/>
      <c r="B35" s="757" t="n">
        <v>140</v>
      </c>
      <c r="C35" s="757" t="n">
        <f aca="false">((SIN(RADIANS(B35)))^2)/B35^2</f>
        <v>2.10804036309457E-005</v>
      </c>
      <c r="D35" s="757" t="n">
        <f aca="false">C35*1000000</f>
        <v>21.0804036309457</v>
      </c>
      <c r="E35" s="757" t="n">
        <f aca="false">D35/304.6174</f>
        <v>0.0692028873956171</v>
      </c>
      <c r="F35" s="768" t="n">
        <f aca="false">10*LOG10(E35)</f>
        <v>-11.5987578482326</v>
      </c>
      <c r="G35" s="433" t="s">
        <v>258</v>
      </c>
      <c r="H35" s="433"/>
      <c r="I35" s="769" t="n">
        <f aca="false">(S7*B35)/79.76</f>
        <v>0.1664886258</v>
      </c>
      <c r="J35" s="42" t="s">
        <v>0</v>
      </c>
      <c r="K35" s="432"/>
      <c r="L35" s="19"/>
      <c r="M35" s="19"/>
      <c r="N35" s="19"/>
      <c r="O35" s="19"/>
      <c r="P35" s="19"/>
      <c r="Q35" s="704"/>
      <c r="R35" s="711"/>
      <c r="S35" s="711"/>
      <c r="T35" s="711"/>
      <c r="U35" s="776"/>
    </row>
    <row r="36" customFormat="false" ht="12" hidden="false" customHeight="true" outlineLevel="0" collapsed="false">
      <c r="A36" s="757"/>
      <c r="B36" s="757" t="n">
        <v>150</v>
      </c>
      <c r="C36" s="757" t="n">
        <f aca="false">((SIN(RADIANS(B36)))^2)/B36^2</f>
        <v>1.11111111111111E-005</v>
      </c>
      <c r="D36" s="757" t="n">
        <f aca="false">C36*1000000</f>
        <v>11.1111111111111</v>
      </c>
      <c r="E36" s="757" t="n">
        <f aca="false">D36/304.6174</f>
        <v>0.0364756284805501</v>
      </c>
      <c r="F36" s="768" t="n">
        <f aca="false">10*LOG10(E36)</f>
        <v>-14.3799721641098</v>
      </c>
      <c r="G36" s="433" t="s">
        <v>258</v>
      </c>
      <c r="H36" s="433"/>
      <c r="I36" s="769" t="n">
        <f aca="false">(S7*B36)/79.76</f>
        <v>0.1783806705</v>
      </c>
      <c r="J36" s="42"/>
      <c r="K36" s="432"/>
      <c r="L36" s="19"/>
      <c r="M36" s="19"/>
      <c r="N36" s="19"/>
      <c r="O36" s="19"/>
      <c r="P36" s="19"/>
      <c r="Q36" s="704"/>
      <c r="R36" s="711"/>
      <c r="S36" s="711"/>
      <c r="T36" s="711"/>
      <c r="U36" s="776"/>
    </row>
    <row r="37" customFormat="false" ht="12" hidden="false" customHeight="true" outlineLevel="0" collapsed="false">
      <c r="A37" s="757"/>
      <c r="B37" s="757" t="n">
        <v>160</v>
      </c>
      <c r="C37" s="757" t="n">
        <f aca="false">((SIN(RADIANS(B37)))^2)/B37^2</f>
        <v>4.56944447033246E-006</v>
      </c>
      <c r="D37" s="757" t="n">
        <f aca="false">C37*1000000</f>
        <v>4.56944447033246</v>
      </c>
      <c r="E37" s="757" t="n">
        <f aca="false">D37/304.6174</f>
        <v>0.0150006022976116</v>
      </c>
      <c r="F37" s="768" t="n">
        <f aca="false">10*LOG10(E37)</f>
        <v>-18.2389130299247</v>
      </c>
      <c r="G37" s="433" t="s">
        <v>258</v>
      </c>
      <c r="H37" s="433"/>
      <c r="I37" s="769" t="n">
        <f aca="false">(S7*B37)/79.76</f>
        <v>0.1902727152</v>
      </c>
      <c r="J37" s="42"/>
      <c r="K37" s="432"/>
      <c r="L37" s="19"/>
      <c r="M37" s="19"/>
      <c r="N37" s="19"/>
      <c r="O37" s="19"/>
      <c r="P37" s="19"/>
      <c r="Q37" s="704"/>
      <c r="R37" s="711"/>
      <c r="S37" s="711"/>
      <c r="T37" s="711"/>
      <c r="U37" s="776"/>
    </row>
    <row r="38" customFormat="false" ht="12" hidden="false" customHeight="true" outlineLevel="0" collapsed="false">
      <c r="A38" s="757" t="n">
        <v>170</v>
      </c>
      <c r="B38" s="757" t="n">
        <v>172.5</v>
      </c>
      <c r="C38" s="757" t="n">
        <f aca="false">((SIN(RADIANS(B38)))^2)/B38^2</f>
        <v>5.7255490377537E-007</v>
      </c>
      <c r="D38" s="757" t="n">
        <f aca="false">C38*1000000</f>
        <v>0.57255490377537</v>
      </c>
      <c r="E38" s="757" t="n">
        <f aca="false">D38/304.6174</f>
        <v>0.00187958699593447</v>
      </c>
      <c r="F38" s="768" t="n">
        <f aca="false">10*LOG10(E38)</f>
        <v>-27.2593756833808</v>
      </c>
      <c r="G38" s="433" t="s">
        <v>258</v>
      </c>
      <c r="H38" s="433"/>
      <c r="I38" s="765" t="n">
        <f aca="false">(S7*B38)/79.76</f>
        <v>0.205137771</v>
      </c>
      <c r="J38" s="42"/>
      <c r="K38" s="432"/>
      <c r="L38" s="19"/>
      <c r="M38" s="19"/>
      <c r="N38" s="19"/>
      <c r="O38" s="19"/>
      <c r="P38" s="19"/>
      <c r="Q38" s="704"/>
      <c r="R38" s="711"/>
      <c r="S38" s="711"/>
      <c r="T38" s="711"/>
      <c r="U38" s="776"/>
    </row>
    <row r="39" customFormat="false" ht="12" hidden="false" customHeight="true" outlineLevel="0" collapsed="false">
      <c r="A39" s="757"/>
      <c r="B39" s="757" t="n">
        <v>180</v>
      </c>
      <c r="C39" s="757" t="n">
        <f aca="false">((SIN(RADIANS(B39)))^2)/B39^2</f>
        <v>4.62888821809215E-037</v>
      </c>
      <c r="D39" s="757" t="n">
        <f aca="false">C39*1000000</f>
        <v>4.62888821809215E-031</v>
      </c>
      <c r="E39" s="757" t="n">
        <f aca="false">D39/304.6174</f>
        <v>1.51957446229012E-033</v>
      </c>
      <c r="F39" s="785" t="n">
        <f aca="false">10*LOG10(E39)</f>
        <v>-328.182780137352</v>
      </c>
      <c r="G39" s="433" t="s">
        <v>258</v>
      </c>
      <c r="H39" s="433"/>
      <c r="I39" s="786" t="n">
        <f aca="false">(S7*B39)/79.76</f>
        <v>0.2140568046</v>
      </c>
      <c r="J39" s="388" t="s">
        <v>972</v>
      </c>
      <c r="K39" s="432"/>
      <c r="L39" s="19"/>
      <c r="M39" s="19"/>
      <c r="N39" s="19"/>
      <c r="O39" s="19"/>
      <c r="P39" s="19"/>
      <c r="Q39" s="704"/>
      <c r="R39" s="711"/>
      <c r="S39" s="711"/>
      <c r="T39" s="711"/>
      <c r="U39" s="776"/>
    </row>
    <row r="40" customFormat="false" ht="12" hidden="false" customHeight="true" outlineLevel="0" collapsed="false">
      <c r="A40" s="757"/>
      <c r="B40" s="757" t="n">
        <v>190</v>
      </c>
      <c r="C40" s="757" t="n">
        <f aca="false">((SIN(RADIANS(B40)))^2)/B40^2</f>
        <v>8.35282260582988E-007</v>
      </c>
      <c r="D40" s="757" t="n">
        <f aca="false">C40*1000000</f>
        <v>0.835282260582988</v>
      </c>
      <c r="E40" s="757" t="n">
        <f aca="false">D40/304.6174</f>
        <v>0.00274207008720772</v>
      </c>
      <c r="F40" s="768" t="n">
        <f aca="false">10*LOG10(E40)</f>
        <v>-25.6192144885411</v>
      </c>
      <c r="G40" s="433" t="s">
        <v>258</v>
      </c>
      <c r="H40" s="433"/>
      <c r="I40" s="769" t="n">
        <f aca="false">(S7*B40)/79.76</f>
        <v>0.2259488493</v>
      </c>
      <c r="J40" s="42"/>
      <c r="K40" s="432"/>
      <c r="L40" s="19"/>
      <c r="M40" s="19"/>
      <c r="N40" s="19"/>
      <c r="O40" s="19"/>
      <c r="P40" s="19"/>
      <c r="Q40" s="704"/>
      <c r="R40" s="711"/>
      <c r="S40" s="711"/>
      <c r="T40" s="711"/>
      <c r="U40" s="776"/>
    </row>
    <row r="41" customFormat="false" ht="12" hidden="false" customHeight="true" outlineLevel="0" collapsed="false">
      <c r="A41" s="757"/>
      <c r="B41" s="757" t="n">
        <v>200</v>
      </c>
      <c r="C41" s="757" t="n">
        <f aca="false">((SIN(RADIANS(B41)))^2)/B41^2</f>
        <v>2.92444446101277E-006</v>
      </c>
      <c r="D41" s="757" t="n">
        <f aca="false">C41*1000000</f>
        <v>2.92444446101277</v>
      </c>
      <c r="E41" s="757" t="n">
        <f aca="false">D41/304.6174</f>
        <v>0.0096003854704714</v>
      </c>
      <c r="F41" s="768" t="n">
        <f aca="false">10*LOG10(E41)</f>
        <v>-20.1771132900858</v>
      </c>
      <c r="G41" s="433" t="s">
        <v>258</v>
      </c>
      <c r="H41" s="433"/>
      <c r="I41" s="769" t="n">
        <f aca="false">(S7*B41)/79.76</f>
        <v>0.237840894</v>
      </c>
      <c r="J41" s="42"/>
      <c r="K41" s="432"/>
      <c r="L41" s="19"/>
      <c r="M41" s="19"/>
      <c r="N41" s="19"/>
      <c r="O41" s="19"/>
      <c r="P41" s="19"/>
      <c r="Q41" s="704"/>
      <c r="R41" s="711"/>
      <c r="S41" s="711"/>
      <c r="T41" s="711"/>
      <c r="U41" s="776"/>
    </row>
    <row r="42" customFormat="false" ht="12" hidden="false" customHeight="true" outlineLevel="0" collapsed="false">
      <c r="A42" s="757"/>
      <c r="B42" s="757" t="n">
        <v>210</v>
      </c>
      <c r="C42" s="757" t="n">
        <f aca="false">((SIN(RADIANS(B42)))^2)/B42^2</f>
        <v>5.66893424036281E-006</v>
      </c>
      <c r="D42" s="757" t="n">
        <f aca="false">C42*1000000</f>
        <v>5.66893424036281</v>
      </c>
      <c r="E42" s="757" t="n">
        <f aca="false">D42/304.6174</f>
        <v>0.0186100145308929</v>
      </c>
      <c r="F42" s="768" t="n">
        <f aca="false">10*LOG10(E42)</f>
        <v>-17.3025328776745</v>
      </c>
      <c r="G42" s="433" t="s">
        <v>258</v>
      </c>
      <c r="H42" s="433"/>
      <c r="I42" s="769" t="n">
        <f aca="false">(S7*B42)/79.76</f>
        <v>0.2497329387</v>
      </c>
      <c r="J42" s="42"/>
      <c r="K42" s="432"/>
      <c r="L42" s="19"/>
      <c r="M42" s="19"/>
      <c r="N42" s="19"/>
      <c r="O42" s="19"/>
      <c r="P42" s="19"/>
      <c r="Q42" s="704"/>
      <c r="R42" s="711"/>
      <c r="S42" s="711"/>
      <c r="T42" s="711"/>
      <c r="U42" s="776"/>
    </row>
    <row r="43" customFormat="false" ht="12" hidden="false" customHeight="true" outlineLevel="0" collapsed="false">
      <c r="A43" s="757"/>
      <c r="B43" s="757" t="n">
        <v>220</v>
      </c>
      <c r="C43" s="757" t="n">
        <f aca="false">((SIN(RADIANS(B43)))^2)/B43^2</f>
        <v>8.53669237947386E-006</v>
      </c>
      <c r="D43" s="757" t="n">
        <f aca="false">C43*1000000</f>
        <v>8.53669237947386</v>
      </c>
      <c r="E43" s="757" t="n">
        <f aca="false">D43/304.6174</f>
        <v>0.0280243097717788</v>
      </c>
      <c r="F43" s="768" t="n">
        <f aca="false">10*LOG10(E43)</f>
        <v>-15.5246507511119</v>
      </c>
      <c r="G43" s="433" t="s">
        <v>258</v>
      </c>
      <c r="H43" s="433"/>
      <c r="I43" s="769" t="n">
        <f aca="false">(S7*B43)/79.76</f>
        <v>0.2616249834</v>
      </c>
      <c r="J43" s="42"/>
      <c r="K43" s="432"/>
      <c r="L43" s="19"/>
      <c r="M43" s="19"/>
      <c r="N43" s="19"/>
      <c r="O43" s="19"/>
      <c r="P43" s="19"/>
      <c r="Q43" s="704"/>
      <c r="R43" s="711"/>
      <c r="S43" s="711"/>
      <c r="T43" s="711"/>
      <c r="U43" s="776"/>
    </row>
    <row r="44" customFormat="false" ht="12" hidden="false" customHeight="true" outlineLevel="0" collapsed="false">
      <c r="A44" s="757"/>
      <c r="B44" s="757" t="n">
        <v>230</v>
      </c>
      <c r="C44" s="757" t="n">
        <f aca="false">((SIN(RADIANS(B44)))^2)/B44^2</f>
        <v>1.10930829647158E-005</v>
      </c>
      <c r="D44" s="757" t="n">
        <f aca="false">C44*1000000</f>
        <v>11.0930829647158</v>
      </c>
      <c r="E44" s="757" t="n">
        <f aca="false">D44/304.6174</f>
        <v>0.0364164455632403</v>
      </c>
      <c r="F44" s="768" t="n">
        <f aca="false">10*LOG10(E44)</f>
        <v>-14.387024458998</v>
      </c>
      <c r="G44" s="433" t="s">
        <v>258</v>
      </c>
      <c r="H44" s="433"/>
      <c r="I44" s="769" t="n">
        <f aca="false">(S7*B44)/79.76</f>
        <v>0.273517028</v>
      </c>
      <c r="J44" s="42"/>
      <c r="K44" s="432"/>
      <c r="L44" s="19"/>
      <c r="M44" s="19"/>
      <c r="N44" s="19"/>
      <c r="O44" s="19"/>
      <c r="P44" s="19"/>
      <c r="Q44" s="704"/>
      <c r="R44" s="711"/>
      <c r="S44" s="711"/>
      <c r="T44" s="711"/>
      <c r="U44" s="776"/>
    </row>
    <row r="45" customFormat="false" ht="12" hidden="false" customHeight="true" outlineLevel="0" collapsed="false">
      <c r="A45" s="757"/>
      <c r="B45" s="757" t="n">
        <v>240</v>
      </c>
      <c r="C45" s="757" t="n">
        <f aca="false">((SIN(RADIANS(B45)))^2)/B45^2</f>
        <v>1.30208333333333E-005</v>
      </c>
      <c r="D45" s="757" t="n">
        <f aca="false">C45*1000000</f>
        <v>13.0208333333333</v>
      </c>
      <c r="E45" s="757" t="n">
        <f aca="false">D45/304.6174</f>
        <v>0.0427448771256446</v>
      </c>
      <c r="F45" s="768" t="n">
        <f aca="false">10*LOG10(E45)</f>
        <v>-13.6911592700316</v>
      </c>
      <c r="G45" s="433" t="s">
        <v>258</v>
      </c>
      <c r="H45" s="433"/>
      <c r="I45" s="769" t="n">
        <f aca="false">(S7*B45)/79.76</f>
        <v>0.2854090727</v>
      </c>
      <c r="J45" s="42"/>
      <c r="K45" s="432"/>
      <c r="L45" s="19"/>
      <c r="M45" s="19"/>
      <c r="N45" s="19"/>
      <c r="O45" s="19"/>
      <c r="P45" s="19"/>
      <c r="Q45" s="704"/>
      <c r="R45" s="711"/>
      <c r="S45" s="762"/>
      <c r="T45" s="711"/>
      <c r="U45" s="776"/>
    </row>
    <row r="46" customFormat="false" ht="12" hidden="false" customHeight="true" outlineLevel="0" collapsed="false">
      <c r="A46" s="757"/>
      <c r="B46" s="757" t="n">
        <v>250</v>
      </c>
      <c r="C46" s="757" t="n">
        <f aca="false">((SIN(RADIANS(B46)))^2)/B46^2</f>
        <v>1.41283555449518E-005</v>
      </c>
      <c r="D46" s="757" t="n">
        <f aca="false">C46*1000000</f>
        <v>14.1283555449518</v>
      </c>
      <c r="E46" s="757" t="n">
        <f aca="false">D46/304.6174</f>
        <v>0.0463806583108904</v>
      </c>
      <c r="F46" s="787" t="n">
        <f aca="false">10*LOG10(E46)</f>
        <v>-13.3366309142985</v>
      </c>
      <c r="G46" s="433" t="s">
        <v>258</v>
      </c>
      <c r="H46" s="433"/>
      <c r="I46" s="788" t="n">
        <f aca="false">(S7*B46)/79.76</f>
        <v>0.2973011174</v>
      </c>
      <c r="J46" s="789" t="s">
        <v>973</v>
      </c>
      <c r="K46" s="790"/>
      <c r="L46" s="19"/>
      <c r="M46" s="19"/>
      <c r="N46" s="19"/>
      <c r="O46" s="19"/>
      <c r="P46" s="19"/>
      <c r="Q46" s="704"/>
      <c r="R46" s="711"/>
      <c r="S46" s="711"/>
      <c r="T46" s="711"/>
      <c r="U46" s="776"/>
    </row>
    <row r="47" customFormat="false" ht="12" hidden="false" customHeight="true" outlineLevel="0" collapsed="false">
      <c r="A47" s="757"/>
      <c r="B47" s="757" t="n">
        <v>260</v>
      </c>
      <c r="C47" s="757" t="n">
        <f aca="false">((SIN(RADIANS(B47)))^2)/B47^2</f>
        <v>1.43468389111384E-005</v>
      </c>
      <c r="D47" s="757" t="n">
        <f aca="false">C47*1000000</f>
        <v>14.3468389111384</v>
      </c>
      <c r="E47" s="757" t="n">
        <f aca="false">D47/304.6174</f>
        <v>0.0470978969393685</v>
      </c>
      <c r="F47" s="768" t="n">
        <f aca="false">10*LOG10(E47)</f>
        <v>-13.2699848497342</v>
      </c>
      <c r="G47" s="433" t="s">
        <v>258</v>
      </c>
      <c r="H47" s="433"/>
      <c r="I47" s="769" t="n">
        <f aca="false">(S7*B47)/79.76</f>
        <v>0.3091931621</v>
      </c>
      <c r="J47" s="42"/>
      <c r="K47" s="432"/>
      <c r="L47" s="19"/>
      <c r="M47" s="19"/>
      <c r="N47" s="19"/>
      <c r="O47" s="19"/>
      <c r="P47" s="19"/>
      <c r="Q47" s="704"/>
      <c r="R47" s="711"/>
      <c r="S47" s="711"/>
      <c r="T47" s="711"/>
      <c r="U47" s="776"/>
    </row>
    <row r="48" customFormat="false" ht="12" hidden="false" customHeight="true" outlineLevel="0" collapsed="false">
      <c r="A48" s="757"/>
      <c r="B48" s="757" t="n">
        <v>270</v>
      </c>
      <c r="C48" s="757" t="n">
        <f aca="false">((SIN(RADIANS(B48)))^2)/B48^2</f>
        <v>1.37174211248285E-005</v>
      </c>
      <c r="D48" s="757" t="n">
        <f aca="false">C48*1000000</f>
        <v>13.7174211248285</v>
      </c>
      <c r="E48" s="757" t="n">
        <f aca="false">D48/304.6174</f>
        <v>0.0450316400994445</v>
      </c>
      <c r="F48" s="768" t="n">
        <f aca="false">10*LOG10(E48)</f>
        <v>-13.4648223528963</v>
      </c>
      <c r="G48" s="433" t="s">
        <v>258</v>
      </c>
      <c r="H48" s="433"/>
      <c r="I48" s="769" t="n">
        <f aca="false">(S7*B48)/79.76</f>
        <v>0.3210852068</v>
      </c>
      <c r="J48" s="42"/>
      <c r="K48" s="432"/>
      <c r="L48" s="19"/>
      <c r="M48" s="19"/>
      <c r="N48" s="19"/>
      <c r="O48" s="19"/>
      <c r="P48" s="19"/>
      <c r="Q48" s="704"/>
      <c r="R48" s="711"/>
      <c r="S48" s="711"/>
      <c r="T48" s="711"/>
      <c r="U48" s="776"/>
    </row>
    <row r="49" customFormat="false" ht="12" hidden="false" customHeight="true" outlineLevel="0" collapsed="false">
      <c r="A49" s="757"/>
      <c r="B49" s="757" t="n">
        <v>280</v>
      </c>
      <c r="C49" s="757" t="n">
        <f aca="false">((SIN(RADIANS(B49)))^2)/B49^2</f>
        <v>1.23704886529714E-005</v>
      </c>
      <c r="D49" s="757" t="n">
        <f aca="false">C49*1000000</f>
        <v>12.3704886529714</v>
      </c>
      <c r="E49" s="757" t="n">
        <f aca="false">D49/304.6174</f>
        <v>0.0406099213405779</v>
      </c>
      <c r="F49" s="768" t="n">
        <f aca="false">10*LOG10(E49)</f>
        <v>-13.9136785171622</v>
      </c>
      <c r="G49" s="433" t="s">
        <v>258</v>
      </c>
      <c r="H49" s="433"/>
      <c r="I49" s="769" t="n">
        <f aca="false">(S7*B49)/79.76</f>
        <v>0.3329772515</v>
      </c>
      <c r="J49" s="42"/>
      <c r="K49" s="432"/>
      <c r="L49" s="19"/>
      <c r="M49" s="19"/>
      <c r="N49" s="19"/>
      <c r="O49" s="19"/>
      <c r="P49" s="19"/>
      <c r="Q49" s="704"/>
      <c r="R49" s="711"/>
      <c r="S49" s="711"/>
      <c r="T49" s="711"/>
      <c r="U49" s="776"/>
    </row>
    <row r="50" customFormat="false" ht="12" hidden="false" customHeight="true" outlineLevel="0" collapsed="false">
      <c r="A50" s="757"/>
      <c r="B50" s="757" t="n">
        <v>290</v>
      </c>
      <c r="C50" s="757" t="n">
        <f aca="false">((SIN(RADIANS(B50)))^2)/B50^2</f>
        <v>1.04996696974969E-005</v>
      </c>
      <c r="D50" s="757" t="n">
        <f aca="false">C50*1000000</f>
        <v>10.4996696974969</v>
      </c>
      <c r="E50" s="757" t="n">
        <f aca="false">D50/304.6174</f>
        <v>0.0344683845948948</v>
      </c>
      <c r="F50" s="768" t="n">
        <f aca="false">10*LOG10(E50)</f>
        <v>-14.6257906988369</v>
      </c>
      <c r="G50" s="433" t="s">
        <v>258</v>
      </c>
      <c r="H50" s="433"/>
      <c r="I50" s="769" t="n">
        <f aca="false">(S7*B50)/79.76</f>
        <v>0.3448692962</v>
      </c>
      <c r="J50" s="42"/>
      <c r="K50" s="432"/>
      <c r="L50" s="19"/>
      <c r="M50" s="19"/>
      <c r="N50" s="19"/>
      <c r="O50" s="19"/>
      <c r="P50" s="19"/>
      <c r="Q50" s="704"/>
      <c r="R50" s="711"/>
      <c r="S50" s="711"/>
      <c r="T50" s="711"/>
      <c r="U50" s="776"/>
    </row>
    <row r="51" customFormat="false" ht="12" hidden="false" customHeight="true" outlineLevel="0" collapsed="false">
      <c r="A51" s="757"/>
      <c r="B51" s="757" t="n">
        <v>300</v>
      </c>
      <c r="C51" s="757" t="n">
        <f aca="false">((SIN(RADIANS(B51)))^2)/B51^2</f>
        <v>8.33333333333333E-006</v>
      </c>
      <c r="D51" s="757" t="n">
        <f aca="false">C51*1000000</f>
        <v>8.33333333333333</v>
      </c>
      <c r="E51" s="757" t="n">
        <f aca="false">D51/304.6174</f>
        <v>0.0273567213604125</v>
      </c>
      <c r="F51" s="768" t="n">
        <f aca="false">10*LOG10(E51)</f>
        <v>-15.6293595301928</v>
      </c>
      <c r="G51" s="433" t="s">
        <v>258</v>
      </c>
      <c r="H51" s="433"/>
      <c r="I51" s="769" t="n">
        <f aca="false">(S7*B51)/79.76</f>
        <v>0.3567613409</v>
      </c>
      <c r="J51" s="42"/>
      <c r="K51" s="432"/>
      <c r="L51" s="19"/>
      <c r="M51" s="19"/>
      <c r="N51" s="19"/>
      <c r="O51" s="19"/>
      <c r="P51" s="19"/>
      <c r="Q51" s="704"/>
      <c r="R51" s="711"/>
      <c r="S51" s="711"/>
      <c r="T51" s="711"/>
      <c r="U51" s="776"/>
    </row>
    <row r="52" customFormat="false" ht="12" hidden="false" customHeight="true" outlineLevel="0" collapsed="false">
      <c r="A52" s="757"/>
      <c r="B52" s="757" t="n">
        <v>310</v>
      </c>
      <c r="C52" s="757" t="n">
        <f aca="false">((SIN(RADIANS(B52)))^2)/B52^2</f>
        <v>6.10639010232534E-006</v>
      </c>
      <c r="D52" s="757" t="n">
        <f aca="false">C52*1000000</f>
        <v>6.10639010232534</v>
      </c>
      <c r="E52" s="757" t="n">
        <f aca="false">D52/304.6174</f>
        <v>0.0200460975056755</v>
      </c>
      <c r="F52" s="768" t="n">
        <f aca="false">10*LOG10(E52)</f>
        <v>-16.9797016153316</v>
      </c>
      <c r="G52" s="433" t="s">
        <v>258</v>
      </c>
      <c r="H52" s="433"/>
      <c r="I52" s="769" t="n">
        <f aca="false">(S7*B52)/79.76</f>
        <v>0.3686533856</v>
      </c>
      <c r="J52" s="42"/>
      <c r="K52" s="432"/>
      <c r="L52" s="19"/>
      <c r="M52" s="19"/>
      <c r="N52" s="19"/>
      <c r="O52" s="19"/>
      <c r="P52" s="19"/>
      <c r="Q52" s="704"/>
      <c r="R52" s="711"/>
      <c r="S52" s="711"/>
      <c r="T52" s="711"/>
      <c r="U52" s="776"/>
    </row>
    <row r="53" customFormat="false" ht="12" hidden="false" customHeight="true" outlineLevel="0" collapsed="false">
      <c r="A53" s="757"/>
      <c r="B53" s="757" t="n">
        <v>320</v>
      </c>
      <c r="C53" s="757" t="n">
        <f aca="false">((SIN(RADIANS(B53)))^2)/B53^2</f>
        <v>4.0349210074857E-006</v>
      </c>
      <c r="D53" s="757" t="n">
        <f aca="false">C53*1000000</f>
        <v>4.0349210074857</v>
      </c>
      <c r="E53" s="757" t="n">
        <f aca="false">D53/304.6174</f>
        <v>0.0132458651655674</v>
      </c>
      <c r="F53" s="768" t="n">
        <f aca="false">10*LOG10(E53)</f>
        <v>-18.7791967010659</v>
      </c>
      <c r="G53" s="433" t="s">
        <v>258</v>
      </c>
      <c r="H53" s="433"/>
      <c r="I53" s="769" t="n">
        <f aca="false">(S7*B53)/79.76</f>
        <v>0.3805454303</v>
      </c>
      <c r="J53" s="42"/>
      <c r="K53" s="432"/>
      <c r="L53" s="19"/>
      <c r="M53" s="19"/>
      <c r="N53" s="19"/>
      <c r="O53" s="19"/>
      <c r="P53" s="19"/>
      <c r="Q53" s="704"/>
      <c r="R53" s="711"/>
      <c r="S53" s="711"/>
      <c r="T53" s="711"/>
      <c r="U53" s="776"/>
    </row>
    <row r="54" customFormat="false" ht="12" hidden="false" customHeight="true" outlineLevel="0" collapsed="false">
      <c r="A54" s="757"/>
      <c r="B54" s="757" t="n">
        <v>330</v>
      </c>
      <c r="C54" s="757" t="n">
        <f aca="false">((SIN(RADIANS(B54)))^2)/B54^2</f>
        <v>2.29568411386594E-006</v>
      </c>
      <c r="D54" s="757" t="n">
        <f aca="false">C54*1000000</f>
        <v>2.29568411386594</v>
      </c>
      <c r="E54" s="757" t="n">
        <f aca="false">D54/304.6174</f>
        <v>0.00753628687614672</v>
      </c>
      <c r="F54" s="768" t="n">
        <f aca="false">10*LOG10(E54)</f>
        <v>-21.2284257805539</v>
      </c>
      <c r="G54" s="433" t="s">
        <v>258</v>
      </c>
      <c r="H54" s="433" t="s">
        <v>0</v>
      </c>
      <c r="I54" s="769" t="n">
        <f aca="false">(S7*B54)/79.76</f>
        <v>0.392437475</v>
      </c>
      <c r="J54" s="42"/>
      <c r="K54" s="432"/>
      <c r="L54" s="19"/>
      <c r="M54" s="19"/>
      <c r="N54" s="19"/>
      <c r="O54" s="19"/>
      <c r="P54" s="19"/>
      <c r="Q54" s="704"/>
      <c r="R54" s="711"/>
      <c r="S54" s="711"/>
      <c r="T54" s="711"/>
      <c r="U54" s="776"/>
    </row>
    <row r="55" customFormat="false" ht="12" hidden="false" customHeight="true" outlineLevel="0" collapsed="false">
      <c r="A55" s="757"/>
      <c r="B55" s="757" t="n">
        <v>340</v>
      </c>
      <c r="C55" s="757" t="n">
        <f aca="false">((SIN(RADIANS(B55)))^2)/B55^2</f>
        <v>1.01191849862034E-006</v>
      </c>
      <c r="D55" s="757" t="n">
        <f aca="false">C55*1000000</f>
        <v>1.01191849862034</v>
      </c>
      <c r="E55" s="757" t="n">
        <f aca="false">D55/304.6174</f>
        <v>0.00332193268874444</v>
      </c>
      <c r="F55" s="768" t="n">
        <f aca="false">10*LOG10(E55)</f>
        <v>-24.7860917176513</v>
      </c>
      <c r="G55" s="433" t="s">
        <v>258</v>
      </c>
      <c r="H55" s="433"/>
      <c r="I55" s="769" t="n">
        <f aca="false">(S7*B55)/79.76</f>
        <v>0.4043295197</v>
      </c>
      <c r="J55" s="42"/>
      <c r="K55" s="432"/>
      <c r="L55" s="19"/>
      <c r="M55" s="19"/>
      <c r="N55" s="19"/>
      <c r="O55" s="19"/>
      <c r="P55" s="19"/>
      <c r="Q55" s="704"/>
      <c r="R55" s="711"/>
      <c r="S55" s="711"/>
      <c r="T55" s="711"/>
      <c r="U55" s="776"/>
    </row>
    <row r="56" customFormat="false" ht="12" hidden="false" customHeight="true" outlineLevel="0" collapsed="false">
      <c r="A56" s="757"/>
      <c r="B56" s="757" t="n">
        <v>350</v>
      </c>
      <c r="C56" s="757" t="n">
        <f aca="false">((SIN(RADIANS(B56)))^2)/B56^2</f>
        <v>2.46152568220782E-007</v>
      </c>
      <c r="D56" s="757" t="n">
        <f aca="false">C56*1000000</f>
        <v>0.246152568220782</v>
      </c>
      <c r="E56" s="757" t="n">
        <f aca="false">D56/304.6174</f>
        <v>0.000808071266515906</v>
      </c>
      <c r="F56" s="768" t="n">
        <f aca="false">10*LOG10(E56)</f>
        <v>-30.92550335649</v>
      </c>
      <c r="G56" s="433" t="s">
        <v>258</v>
      </c>
      <c r="H56" s="433"/>
      <c r="I56" s="769" t="n">
        <f aca="false">(S7*B56)/79.76</f>
        <v>0.4162215644</v>
      </c>
      <c r="J56" s="42"/>
      <c r="K56" s="432"/>
      <c r="L56" s="19"/>
      <c r="M56" s="19"/>
      <c r="N56" s="19"/>
      <c r="O56" s="19"/>
      <c r="P56" s="19"/>
      <c r="Q56" s="704"/>
      <c r="R56" s="711"/>
      <c r="S56" s="762"/>
      <c r="T56" s="711"/>
      <c r="U56" s="776"/>
    </row>
    <row r="57" customFormat="false" ht="12" hidden="false" customHeight="true" outlineLevel="0" collapsed="false">
      <c r="A57" s="757"/>
      <c r="B57" s="757" t="n">
        <v>360</v>
      </c>
      <c r="C57" s="757" t="n">
        <f aca="false">((SIN(RADIANS(B57)))^2)/B57^2</f>
        <v>4.62888821809215E-037</v>
      </c>
      <c r="D57" s="757" t="n">
        <f aca="false">C57*1000000</f>
        <v>4.62888821809215E-031</v>
      </c>
      <c r="E57" s="757" t="n">
        <f aca="false">D57/304.6174</f>
        <v>1.51957446229012E-033</v>
      </c>
      <c r="F57" s="785" t="n">
        <f aca="false">10*LOG10(E57)</f>
        <v>-328.182780137352</v>
      </c>
      <c r="G57" s="433" t="s">
        <v>258</v>
      </c>
      <c r="H57" s="433"/>
      <c r="I57" s="786" t="n">
        <f aca="false">(S7*B57)/79.76</f>
        <v>0.4281136091</v>
      </c>
      <c r="J57" s="789" t="s">
        <v>974</v>
      </c>
      <c r="K57" s="432"/>
      <c r="L57" s="19"/>
      <c r="M57" s="19"/>
      <c r="N57" s="19"/>
      <c r="O57" s="19"/>
      <c r="P57" s="19"/>
      <c r="Q57" s="704"/>
      <c r="R57" s="711"/>
      <c r="S57" s="711"/>
      <c r="T57" s="711"/>
      <c r="U57" s="776"/>
    </row>
    <row r="58" customFormat="false" ht="12" hidden="false" customHeight="true" outlineLevel="0" collapsed="false">
      <c r="A58" s="757"/>
      <c r="B58" s="757" t="n">
        <v>370</v>
      </c>
      <c r="C58" s="757" t="n">
        <f aca="false">((SIN(RADIANS(B58)))^2)/B58^2</f>
        <v>2.20260698371407E-007</v>
      </c>
      <c r="D58" s="757" t="n">
        <f aca="false">C58*1000000</f>
        <v>0.220260698371407</v>
      </c>
      <c r="E58" s="757" t="n">
        <f aca="false">D58/304.6174</f>
        <v>0.000723073266239576</v>
      </c>
      <c r="F58" s="768" t="n">
        <f aca="false">10*LOG10(E58)</f>
        <v>-31.4081769508244</v>
      </c>
      <c r="G58" s="433" t="s">
        <v>258</v>
      </c>
      <c r="H58" s="433"/>
      <c r="I58" s="769" t="n">
        <f aca="false">(S7*B58)/79.76</f>
        <v>0.4400056538</v>
      </c>
      <c r="J58" s="42"/>
      <c r="K58" s="432"/>
      <c r="L58" s="19"/>
      <c r="M58" s="19"/>
      <c r="N58" s="19"/>
      <c r="O58" s="19"/>
      <c r="P58" s="19"/>
      <c r="Q58" s="704"/>
      <c r="R58" s="711"/>
      <c r="S58" s="711"/>
      <c r="T58" s="711"/>
      <c r="U58" s="776"/>
    </row>
    <row r="59" customFormat="false" ht="12" hidden="false" customHeight="true" outlineLevel="0" collapsed="false">
      <c r="A59" s="757"/>
      <c r="B59" s="757" t="n">
        <v>380</v>
      </c>
      <c r="C59" s="757" t="n">
        <f aca="false">((SIN(RADIANS(B59)))^2)/B59^2</f>
        <v>8.10095418563096E-007</v>
      </c>
      <c r="D59" s="757" t="n">
        <f aca="false">C59*1000000</f>
        <v>0.810095418563096</v>
      </c>
      <c r="E59" s="757" t="n">
        <f aca="false">D59/304.6174</f>
        <v>0.00265938655691729</v>
      </c>
      <c r="F59" s="768" t="n">
        <f aca="false">10*LOG10(E59)</f>
        <v>-25.7521853091424</v>
      </c>
      <c r="G59" s="433" t="s">
        <v>258</v>
      </c>
      <c r="H59" s="433"/>
      <c r="I59" s="769" t="n">
        <f aca="false">(S7*B59)/79.76</f>
        <v>0.4518976985</v>
      </c>
      <c r="J59" s="42"/>
      <c r="K59" s="432"/>
      <c r="L59" s="19"/>
      <c r="M59" s="19"/>
      <c r="N59" s="19"/>
      <c r="O59" s="19"/>
      <c r="P59" s="19"/>
      <c r="Q59" s="704"/>
      <c r="R59" s="711"/>
      <c r="S59" s="711"/>
      <c r="T59" s="711"/>
      <c r="U59" s="776"/>
    </row>
    <row r="60" customFormat="false" ht="12" hidden="false" customHeight="true" outlineLevel="0" collapsed="false">
      <c r="A60" s="757"/>
      <c r="B60" s="757" t="n">
        <v>390</v>
      </c>
      <c r="C60" s="757" t="n">
        <f aca="false">((SIN(RADIANS(B60)))^2)/B60^2</f>
        <v>1.64365548980933E-006</v>
      </c>
      <c r="D60" s="757" t="n">
        <f aca="false">C60*1000000</f>
        <v>1.64365548980933</v>
      </c>
      <c r="E60" s="757" t="n">
        <f aca="false">D60/304.6174</f>
        <v>0.00539580302966715</v>
      </c>
      <c r="F60" s="768" t="n">
        <f aca="false">10*LOG10(E60)</f>
        <v>-22.6794391235261</v>
      </c>
      <c r="G60" s="433" t="s">
        <v>258</v>
      </c>
      <c r="H60" s="433"/>
      <c r="I60" s="769" t="n">
        <f aca="false">(S7*B60)/79.76</f>
        <v>0.4637897432</v>
      </c>
      <c r="J60" s="42"/>
      <c r="K60" s="432"/>
      <c r="L60" s="19"/>
      <c r="M60" s="19"/>
      <c r="N60" s="19"/>
      <c r="O60" s="19"/>
      <c r="P60" s="19"/>
      <c r="Q60" s="704"/>
      <c r="R60" s="711"/>
      <c r="S60" s="711"/>
      <c r="T60" s="711"/>
      <c r="U60" s="776"/>
    </row>
    <row r="61" customFormat="false" ht="12" hidden="false" customHeight="true" outlineLevel="0" collapsed="false">
      <c r="A61" s="757"/>
      <c r="B61" s="757" t="n">
        <v>400</v>
      </c>
      <c r="C61" s="757" t="n">
        <f aca="false">((SIN(RADIANS(B61)))^2)/B61^2</f>
        <v>2.58234944479084E-006</v>
      </c>
      <c r="D61" s="757" t="n">
        <f aca="false">C61*1000000</f>
        <v>2.58234944479084</v>
      </c>
      <c r="E61" s="757" t="n">
        <f aca="false">D61/304.6174</f>
        <v>0.00847735370596309</v>
      </c>
      <c r="F61" s="768" t="n">
        <f aca="false">10*LOG10(E61)</f>
        <v>-20.7173969612271</v>
      </c>
      <c r="G61" s="433" t="s">
        <v>258</v>
      </c>
      <c r="H61" s="433"/>
      <c r="I61" s="769" t="n">
        <f aca="false">(S7*B61)/79.76</f>
        <v>0.4756817879</v>
      </c>
      <c r="J61" s="42"/>
      <c r="K61" s="432"/>
      <c r="L61" s="19"/>
      <c r="M61" s="19"/>
      <c r="N61" s="19"/>
      <c r="O61" s="19"/>
      <c r="P61" s="19"/>
      <c r="Q61" s="704"/>
      <c r="R61" s="711"/>
      <c r="S61" s="711"/>
      <c r="T61" s="711"/>
      <c r="U61" s="776"/>
    </row>
    <row r="62" customFormat="false" ht="12" hidden="false" customHeight="true" outlineLevel="0" collapsed="false">
      <c r="A62" s="757"/>
      <c r="B62" s="757" t="n">
        <v>410</v>
      </c>
      <c r="C62" s="757" t="n">
        <f aca="false">((SIN(RADIANS(B62)))^2)/B62^2</f>
        <v>3.49092259865238E-006</v>
      </c>
      <c r="D62" s="757" t="n">
        <f aca="false">C62*1000000</f>
        <v>3.49092259865238</v>
      </c>
      <c r="E62" s="757" t="n">
        <f aca="false">D62/304.6174</f>
        <v>0.011460023618652</v>
      </c>
      <c r="F62" s="768" t="n">
        <f aca="false">10*LOG10(E62)</f>
        <v>-19.4081448730408</v>
      </c>
      <c r="G62" s="433" t="s">
        <v>258</v>
      </c>
      <c r="H62" s="433"/>
      <c r="I62" s="769" t="n">
        <f aca="false">(S7*B62)/79.76</f>
        <v>0.4875738326</v>
      </c>
      <c r="J62" s="42"/>
      <c r="K62" s="432"/>
      <c r="L62" s="19"/>
      <c r="M62" s="19"/>
      <c r="N62" s="19"/>
      <c r="O62" s="19"/>
      <c r="P62" s="19"/>
      <c r="Q62" s="704"/>
      <c r="R62" s="711"/>
      <c r="S62" s="711"/>
      <c r="T62" s="711"/>
      <c r="U62" s="776"/>
    </row>
    <row r="63" customFormat="false" ht="12" hidden="false" customHeight="true" outlineLevel="0" collapsed="false">
      <c r="A63" s="757"/>
      <c r="B63" s="757" t="n">
        <v>420</v>
      </c>
      <c r="C63" s="757" t="n">
        <f aca="false">((SIN(RADIANS(B63)))^2)/B63^2</f>
        <v>4.25170068027211E-006</v>
      </c>
      <c r="D63" s="757" t="n">
        <f aca="false">C63*1000000</f>
        <v>4.25170068027211</v>
      </c>
      <c r="E63" s="757" t="n">
        <f aca="false">D63/304.6174</f>
        <v>0.0139575108981697</v>
      </c>
      <c r="F63" s="768" t="n">
        <f aca="false">10*LOG10(E63)</f>
        <v>-18.5519202437575</v>
      </c>
      <c r="G63" s="433" t="s">
        <v>258</v>
      </c>
      <c r="H63" s="433"/>
      <c r="I63" s="769" t="n">
        <f aca="false">(S7*B63)/79.76</f>
        <v>0.4994658773</v>
      </c>
      <c r="J63" s="42"/>
      <c r="K63" s="432"/>
      <c r="L63" s="19"/>
      <c r="M63" s="19"/>
      <c r="N63" s="19"/>
      <c r="O63" s="19"/>
      <c r="P63" s="19"/>
      <c r="Q63" s="704"/>
      <c r="R63" s="711"/>
      <c r="S63" s="711"/>
      <c r="T63" s="711"/>
      <c r="U63" s="776"/>
    </row>
    <row r="64" customFormat="false" ht="12" hidden="false" customHeight="true" outlineLevel="0" collapsed="false">
      <c r="A64" s="757"/>
      <c r="B64" s="757" t="n">
        <v>430</v>
      </c>
      <c r="C64" s="757" t="n">
        <f aca="false">((SIN(RADIANS(B64)))^2)/B64^2</f>
        <v>4.77567453520545E-006</v>
      </c>
      <c r="D64" s="757" t="n">
        <f aca="false">C64*1000000</f>
        <v>4.77567453520545</v>
      </c>
      <c r="E64" s="757" t="n">
        <f aca="false">D64/304.6174</f>
        <v>0.015677615708116</v>
      </c>
      <c r="F64" s="768" t="n">
        <f aca="false">10*LOG10(E64)</f>
        <v>-18.0471998524495</v>
      </c>
      <c r="G64" s="433" t="s">
        <v>258</v>
      </c>
      <c r="H64" s="433"/>
      <c r="I64" s="769" t="n">
        <f aca="false">(S7*B64)/79.76</f>
        <v>0.511357922</v>
      </c>
      <c r="J64" s="42"/>
      <c r="K64" s="432"/>
      <c r="L64" s="19"/>
      <c r="M64" s="19"/>
      <c r="N64" s="19"/>
      <c r="O64" s="19"/>
      <c r="P64" s="19"/>
      <c r="Q64" s="704"/>
      <c r="R64" s="711"/>
      <c r="S64" s="762"/>
      <c r="T64" s="711"/>
      <c r="U64" s="776"/>
    </row>
    <row r="65" customFormat="false" ht="12" hidden="false" customHeight="true" outlineLevel="0" collapsed="false">
      <c r="A65" s="757"/>
      <c r="B65" s="757" t="n">
        <v>440</v>
      </c>
      <c r="C65" s="757" t="n">
        <f aca="false">((SIN(RADIANS(B65)))^2)/B65^2</f>
        <v>5.00953672723633E-006</v>
      </c>
      <c r="D65" s="757" t="n">
        <f aca="false">C65*1000000</f>
        <v>5.00953672723633</v>
      </c>
      <c r="E65" s="757" t="n">
        <f aca="false">D65/304.6174</f>
        <v>0.0164453400470109</v>
      </c>
      <c r="F65" s="787" t="n">
        <f aca="false">10*LOG10(E65)</f>
        <v>-17.8395714200416</v>
      </c>
      <c r="G65" s="433" t="s">
        <v>258</v>
      </c>
      <c r="H65" s="433"/>
      <c r="I65" s="788" t="n">
        <f aca="false">(S7*B65)/79.76</f>
        <v>0.5232499667</v>
      </c>
      <c r="J65" s="789" t="s">
        <v>975</v>
      </c>
      <c r="K65" s="790"/>
      <c r="L65" s="19"/>
      <c r="M65" s="19"/>
      <c r="N65" s="19"/>
      <c r="O65" s="19"/>
      <c r="P65" s="19"/>
      <c r="Q65" s="704"/>
      <c r="R65" s="711"/>
      <c r="S65" s="711"/>
      <c r="T65" s="711"/>
      <c r="U65" s="776"/>
    </row>
    <row r="66" customFormat="false" ht="12" hidden="false" customHeight="true" outlineLevel="0" collapsed="false">
      <c r="A66" s="757"/>
      <c r="B66" s="757" t="n">
        <v>450</v>
      </c>
      <c r="C66" s="757" t="n">
        <f aca="false">((SIN(RADIANS(B66)))^2)/B66^2</f>
        <v>4.93827160493827E-006</v>
      </c>
      <c r="D66" s="757" t="n">
        <f aca="false">C66*1000000</f>
        <v>4.93827160493827</v>
      </c>
      <c r="E66" s="757" t="n">
        <f aca="false">D66/304.6174</f>
        <v>0.0162113904358</v>
      </c>
      <c r="F66" s="768" t="n">
        <f aca="false">10*LOG10(E66)</f>
        <v>-17.9017973452234</v>
      </c>
      <c r="G66" s="433" t="s">
        <v>258</v>
      </c>
      <c r="H66" s="433"/>
      <c r="I66" s="769" t="n">
        <f aca="false">(S7*B66)/79.76</f>
        <v>0.5351420114</v>
      </c>
      <c r="J66" s="42"/>
      <c r="K66" s="432"/>
      <c r="L66" s="19"/>
      <c r="M66" s="19"/>
      <c r="N66" s="19"/>
      <c r="O66" s="19"/>
      <c r="P66" s="19"/>
      <c r="Q66" s="704"/>
      <c r="R66" s="711"/>
      <c r="S66" s="711"/>
      <c r="T66" s="711"/>
      <c r="U66" s="776"/>
    </row>
    <row r="67" customFormat="false" ht="12" hidden="false" customHeight="true" outlineLevel="0" collapsed="false">
      <c r="A67" s="757"/>
      <c r="B67" s="757" t="n">
        <v>460</v>
      </c>
      <c r="C67" s="757" t="n">
        <f aca="false">((SIN(RADIANS(B67)))^2)/B67^2</f>
        <v>4.58339466159241E-006</v>
      </c>
      <c r="D67" s="757" t="n">
        <f aca="false">C67*1000000</f>
        <v>4.58339466159241</v>
      </c>
      <c r="E67" s="757" t="n">
        <f aca="false">D67/304.6174</f>
        <v>0.0150463980770383</v>
      </c>
      <c r="F67" s="768" t="n">
        <f aca="false">10*LOG10(E67)</f>
        <v>-18.2256745239493</v>
      </c>
      <c r="G67" s="433" t="s">
        <v>258</v>
      </c>
      <c r="H67" s="433"/>
      <c r="I67" s="769" t="n">
        <f aca="false">(S7*B67)/79.76</f>
        <v>0.5470340561</v>
      </c>
      <c r="J67" s="42"/>
      <c r="K67" s="432"/>
      <c r="L67" s="19"/>
      <c r="M67" s="19"/>
      <c r="N67" s="19"/>
      <c r="O67" s="19"/>
      <c r="P67" s="19"/>
      <c r="Q67" s="704"/>
      <c r="R67" s="711"/>
      <c r="S67" s="711"/>
      <c r="T67" s="711"/>
      <c r="U67" s="776"/>
    </row>
    <row r="68" customFormat="false" ht="12" hidden="false" customHeight="true" outlineLevel="0" collapsed="false">
      <c r="A68" s="757"/>
      <c r="B68" s="757" t="n">
        <v>470</v>
      </c>
      <c r="C68" s="757" t="n">
        <f aca="false">((SIN(RADIANS(B68)))^2)/B68^2</f>
        <v>3.9973844344024E-006</v>
      </c>
      <c r="D68" s="757" t="n">
        <f aca="false">C68*1000000</f>
        <v>3.9973844344024</v>
      </c>
      <c r="E68" s="757" t="n">
        <f aca="false">D68/304.6174</f>
        <v>0.0131226398570876</v>
      </c>
      <c r="F68" s="768" t="n">
        <f aca="false">10*LOG10(E68)</f>
        <v>-18.8197878995721</v>
      </c>
      <c r="G68" s="433" t="s">
        <v>258</v>
      </c>
      <c r="H68" s="433"/>
      <c r="I68" s="769" t="n">
        <f aca="false">(S7*B68)/79.76</f>
        <v>0.5589261008</v>
      </c>
      <c r="J68" s="42"/>
      <c r="K68" s="432"/>
      <c r="L68" s="19"/>
      <c r="M68" s="19"/>
      <c r="N68" s="19"/>
      <c r="O68" s="19"/>
      <c r="P68" s="19"/>
      <c r="Q68" s="704"/>
      <c r="R68" s="711"/>
      <c r="S68" s="711"/>
      <c r="T68" s="711"/>
      <c r="U68" s="776"/>
    </row>
    <row r="69" customFormat="false" ht="12" hidden="false" customHeight="true" outlineLevel="0" collapsed="false">
      <c r="A69" s="757"/>
      <c r="B69" s="757" t="n">
        <v>480</v>
      </c>
      <c r="C69" s="757" t="n">
        <f aca="false">((SIN(RADIANS(B69)))^2)/B69^2</f>
        <v>3.25520833333334E-006</v>
      </c>
      <c r="D69" s="757" t="n">
        <f aca="false">C69*1000000</f>
        <v>3.25520833333334</v>
      </c>
      <c r="E69" s="757" t="n">
        <f aca="false">D69/304.6174</f>
        <v>0.0106862192814112</v>
      </c>
      <c r="F69" s="768" t="n">
        <f aca="false">10*LOG10(E69)</f>
        <v>-19.7117591833113</v>
      </c>
      <c r="G69" s="433" t="s">
        <v>258</v>
      </c>
      <c r="H69" s="433"/>
      <c r="I69" s="769" t="n">
        <f aca="false">(S7*B69)/79.76</f>
        <v>0.5708181455</v>
      </c>
      <c r="J69" s="42"/>
      <c r="K69" s="432"/>
      <c r="L69" s="19"/>
      <c r="M69" s="19"/>
      <c r="N69" s="19"/>
      <c r="O69" s="19"/>
      <c r="P69" s="19"/>
      <c r="Q69" s="704"/>
      <c r="R69" s="711"/>
      <c r="S69" s="711"/>
      <c r="T69" s="711"/>
      <c r="U69" s="776"/>
    </row>
    <row r="70" customFormat="false" ht="12" hidden="false" customHeight="true" outlineLevel="0" collapsed="false">
      <c r="A70" s="757"/>
      <c r="B70" s="757" t="n">
        <v>490</v>
      </c>
      <c r="C70" s="757" t="n">
        <f aca="false">((SIN(RADIANS(B70)))^2)/B70^2</f>
        <v>2.44408200263834E-006</v>
      </c>
      <c r="D70" s="757" t="n">
        <f aca="false">C70*1000000</f>
        <v>2.44408200263834</v>
      </c>
      <c r="E70" s="757" t="n">
        <f aca="false">D70/304.6174</f>
        <v>0.00802344843938113</v>
      </c>
      <c r="F70" s="768" t="n">
        <f aca="false">10*LOG10(E70)</f>
        <v>-20.9563893392164</v>
      </c>
      <c r="G70" s="433" t="s">
        <v>258</v>
      </c>
      <c r="H70" s="433"/>
      <c r="I70" s="769" t="n">
        <f aca="false">(S7*B70)/79.76</f>
        <v>0.5827101902</v>
      </c>
      <c r="J70" s="42"/>
      <c r="K70" s="432"/>
      <c r="L70" s="19"/>
      <c r="M70" s="19"/>
      <c r="N70" s="19"/>
      <c r="O70" s="19"/>
      <c r="P70" s="19"/>
      <c r="Q70" s="704"/>
      <c r="R70" s="711"/>
      <c r="S70" s="711"/>
      <c r="T70" s="711"/>
      <c r="U70" s="776"/>
    </row>
    <row r="71" customFormat="false" ht="12" hidden="false" customHeight="true" outlineLevel="0" collapsed="false">
      <c r="A71" s="757"/>
      <c r="B71" s="757" t="n">
        <v>500</v>
      </c>
      <c r="C71" s="757" t="n">
        <f aca="false">((SIN(RADIANS(B71)))^2)/B71^2</f>
        <v>1.65270364466614E-006</v>
      </c>
      <c r="D71" s="757" t="n">
        <f aca="false">C71*1000000</f>
        <v>1.65270364466614</v>
      </c>
      <c r="E71" s="757" t="n">
        <f aca="false">D71/304.6174</f>
        <v>0.0054255063718164</v>
      </c>
      <c r="F71" s="768" t="n">
        <f aca="false">10*LOG10(E71)</f>
        <v>-22.6555972213882</v>
      </c>
      <c r="G71" s="433" t="s">
        <v>258</v>
      </c>
      <c r="H71" s="433"/>
      <c r="I71" s="769" t="n">
        <f aca="false">(S7*B71)/79.76</f>
        <v>0.5946022349</v>
      </c>
      <c r="J71" s="42"/>
      <c r="K71" s="432"/>
      <c r="L71" s="19"/>
      <c r="M71" s="19"/>
      <c r="N71" s="19"/>
      <c r="O71" s="19"/>
      <c r="P71" s="19"/>
      <c r="Q71" s="704"/>
      <c r="R71" s="711"/>
      <c r="S71" s="711"/>
      <c r="T71" s="711"/>
      <c r="U71" s="776"/>
    </row>
    <row r="72" customFormat="false" ht="12" hidden="false" customHeight="true" outlineLevel="0" collapsed="false">
      <c r="A72" s="757"/>
      <c r="B72" s="757" t="n">
        <v>510</v>
      </c>
      <c r="C72" s="757" t="n">
        <f aca="false">((SIN(RADIANS(B72)))^2)/B72^2</f>
        <v>9.61168781237984E-007</v>
      </c>
      <c r="D72" s="757" t="n">
        <f aca="false">C72*1000000</f>
        <v>0.961168781237984</v>
      </c>
      <c r="E72" s="757" t="n">
        <f aca="false">D72/304.6174</f>
        <v>0.00315533118343858</v>
      </c>
      <c r="F72" s="768" t="n">
        <f aca="false">10*LOG10(E72)</f>
        <v>-25.0095505049549</v>
      </c>
      <c r="G72" s="433" t="s">
        <v>258</v>
      </c>
      <c r="H72" s="433"/>
      <c r="I72" s="769" t="n">
        <f aca="false">(S7*B72)/79.76</f>
        <v>0.6064942796</v>
      </c>
      <c r="J72" s="42"/>
      <c r="K72" s="432"/>
      <c r="L72" s="19"/>
      <c r="M72" s="19"/>
      <c r="N72" s="19"/>
      <c r="O72" s="19"/>
      <c r="P72" s="19"/>
      <c r="Q72" s="704"/>
      <c r="R72" s="711"/>
      <c r="S72" s="711"/>
      <c r="T72" s="711"/>
      <c r="U72" s="776"/>
    </row>
    <row r="73" customFormat="false" ht="12" hidden="false" customHeight="true" outlineLevel="0" collapsed="false">
      <c r="A73" s="757"/>
      <c r="B73" s="757" t="n">
        <v>520</v>
      </c>
      <c r="C73" s="757" t="n">
        <f aca="false">((SIN(RADIANS(B73)))^2)/B73^2</f>
        <v>4.32610127368754E-007</v>
      </c>
      <c r="D73" s="757" t="n">
        <f aca="false">C73*1000000</f>
        <v>0.432610127368754</v>
      </c>
      <c r="E73" s="757" t="n">
        <f aca="false">D73/304.6174</f>
        <v>0.00142017536545435</v>
      </c>
      <c r="F73" s="768" t="n">
        <f aca="false">10*LOG10(E73)</f>
        <v>-28.4765802495022</v>
      </c>
      <c r="G73" s="433" t="s">
        <v>258</v>
      </c>
      <c r="H73" s="433"/>
      <c r="I73" s="769" t="n">
        <f aca="false">(S7*B73)/79.76</f>
        <v>0.6183863243</v>
      </c>
      <c r="J73" s="42"/>
      <c r="K73" s="432"/>
      <c r="L73" s="19"/>
      <c r="M73" s="19"/>
      <c r="N73" s="19"/>
      <c r="O73" s="19"/>
      <c r="P73" s="19"/>
      <c r="Q73" s="704"/>
      <c r="R73" s="711"/>
      <c r="S73" s="711"/>
      <c r="T73" s="711"/>
      <c r="U73" s="776"/>
    </row>
    <row r="74" customFormat="false" ht="12" hidden="false" customHeight="true" outlineLevel="0" collapsed="false">
      <c r="A74" s="757"/>
      <c r="B74" s="757" t="n">
        <v>530</v>
      </c>
      <c r="C74" s="757" t="n">
        <f aca="false">((SIN(RADIANS(B74)))^2)/B74^2</f>
        <v>1.07346705614261E-007</v>
      </c>
      <c r="D74" s="757" t="n">
        <f aca="false">C74*1000000</f>
        <v>0.107346705614261</v>
      </c>
      <c r="E74" s="757" t="n">
        <f aca="false">D74/304.6174</f>
        <v>0.000352398469733708</v>
      </c>
      <c r="F74" s="768" t="n">
        <f aca="false">10*LOG10(E74)</f>
        <v>-34.5296598615003</v>
      </c>
      <c r="G74" s="433" t="s">
        <v>258</v>
      </c>
      <c r="H74" s="433"/>
      <c r="I74" s="769" t="n">
        <f aca="false">(S7*B74)/79.76</f>
        <v>0.630278369</v>
      </c>
      <c r="J74" s="42"/>
      <c r="K74" s="432"/>
      <c r="L74" s="19"/>
      <c r="M74" s="19"/>
      <c r="N74" s="19"/>
      <c r="O74" s="19"/>
      <c r="P74" s="19"/>
      <c r="Q74" s="704"/>
      <c r="R74" s="711"/>
      <c r="S74" s="762"/>
      <c r="T74" s="711"/>
      <c r="U74" s="776"/>
    </row>
    <row r="75" customFormat="false" ht="12" hidden="false" customHeight="true" outlineLevel="0" collapsed="false">
      <c r="A75" s="757"/>
      <c r="B75" s="757" t="n">
        <v>540</v>
      </c>
      <c r="C75" s="757" t="n">
        <f aca="false">((SIN(RADIANS(B75)))^2)/B75^2</f>
        <v>4.62888821809215E-037</v>
      </c>
      <c r="D75" s="757" t="n">
        <f aca="false">C75*1000000</f>
        <v>4.62888821809215E-031</v>
      </c>
      <c r="E75" s="757" t="n">
        <f aca="false">D75/304.6174</f>
        <v>1.51957446229012E-033</v>
      </c>
      <c r="F75" s="785" t="n">
        <f aca="false">10*LOG10(E75)</f>
        <v>-328.182780137352</v>
      </c>
      <c r="G75" s="433" t="s">
        <v>258</v>
      </c>
      <c r="H75" s="433"/>
      <c r="I75" s="786" t="n">
        <f aca="false">(S7*B75)/79.76</f>
        <v>0.6421704137</v>
      </c>
      <c r="J75" s="789" t="s">
        <v>976</v>
      </c>
      <c r="K75" s="432"/>
      <c r="L75" s="19"/>
      <c r="M75" s="19"/>
      <c r="N75" s="19"/>
      <c r="O75" s="19"/>
      <c r="P75" s="19"/>
      <c r="Q75" s="704"/>
      <c r="R75" s="711"/>
      <c r="S75" s="711"/>
      <c r="T75" s="711"/>
      <c r="U75" s="776"/>
    </row>
    <row r="76" customFormat="false" ht="12" hidden="false" customHeight="true" outlineLevel="0" collapsed="false">
      <c r="A76" s="757"/>
      <c r="B76" s="757" t="n">
        <v>550</v>
      </c>
      <c r="C76" s="757" t="n">
        <f aca="false">((SIN(RADIANS(B76)))^2)/B76^2</f>
        <v>9.9681618535688E-008</v>
      </c>
      <c r="D76" s="757" t="n">
        <f aca="false">C76*1000000</f>
        <v>0.099681618535688</v>
      </c>
      <c r="E76" s="757" t="n">
        <f aca="false">D76/304.6174</f>
        <v>0.00032723547156429</v>
      </c>
      <c r="F76" s="768" t="n">
        <f aca="false">10*LOG10(E76)</f>
        <v>-34.8513962593694</v>
      </c>
      <c r="G76" s="433" t="s">
        <v>258</v>
      </c>
      <c r="H76" s="433"/>
      <c r="I76" s="769" t="n">
        <f aca="false">(S7*B76)/79.76</f>
        <v>0.6540624584</v>
      </c>
      <c r="J76" s="42"/>
      <c r="K76" s="432"/>
      <c r="L76" s="19"/>
      <c r="M76" s="19"/>
      <c r="N76" s="19"/>
      <c r="O76" s="19"/>
      <c r="P76" s="19"/>
      <c r="Q76" s="704"/>
      <c r="R76" s="711"/>
      <c r="S76" s="711"/>
      <c r="T76" s="711"/>
      <c r="U76" s="776"/>
    </row>
    <row r="77" customFormat="false" ht="12" hidden="false" customHeight="true" outlineLevel="0" collapsed="false">
      <c r="A77" s="757"/>
      <c r="B77" s="757" t="n">
        <v>560</v>
      </c>
      <c r="C77" s="757" t="n">
        <f aca="false">((SIN(RADIANS(B77)))^2)/B77^2</f>
        <v>3.73015875129179E-007</v>
      </c>
      <c r="D77" s="757" t="n">
        <f aca="false">C77*1000000</f>
        <v>0.373015875129179</v>
      </c>
      <c r="E77" s="757" t="n">
        <f aca="false">D77/304.6174</f>
        <v>0.00122453896307033</v>
      </c>
      <c r="F77" s="768" t="n">
        <f aca="false">10*LOG10(E77)</f>
        <v>-29.1202739169302</v>
      </c>
      <c r="G77" s="433" t="s">
        <v>258</v>
      </c>
      <c r="H77" s="433"/>
      <c r="I77" s="769" t="n">
        <f aca="false">(S7*B77)/79.76</f>
        <v>0.6659545031</v>
      </c>
      <c r="J77" s="42"/>
      <c r="K77" s="432"/>
      <c r="L77" s="19"/>
      <c r="M77" s="19"/>
      <c r="N77" s="19"/>
      <c r="O77" s="19"/>
      <c r="P77" s="19"/>
      <c r="Q77" s="704"/>
      <c r="R77" s="711"/>
      <c r="S77" s="711"/>
      <c r="T77" s="711"/>
      <c r="U77" s="776"/>
    </row>
    <row r="78" customFormat="false" ht="12" hidden="false" customHeight="true" outlineLevel="0" collapsed="false">
      <c r="A78" s="757"/>
      <c r="B78" s="757" t="n">
        <v>570</v>
      </c>
      <c r="C78" s="757" t="n">
        <f aca="false">((SIN(RADIANS(B78)))^2)/B78^2</f>
        <v>7.69467528470296E-007</v>
      </c>
      <c r="D78" s="757" t="n">
        <f aca="false">C78*1000000</f>
        <v>0.769467528470296</v>
      </c>
      <c r="E78" s="757" t="n">
        <f aca="false">D78/304.6174</f>
        <v>0.00252601305266966</v>
      </c>
      <c r="F78" s="768" t="n">
        <f aca="false">10*LOG10(E78)</f>
        <v>-25.975644096446</v>
      </c>
      <c r="G78" s="433" t="s">
        <v>258</v>
      </c>
      <c r="H78" s="433"/>
      <c r="I78" s="769" t="n">
        <f aca="false">(S7*B78)/79.76</f>
        <v>0.6778465478</v>
      </c>
      <c r="J78" s="42"/>
      <c r="K78" s="432"/>
      <c r="L78" s="19"/>
      <c r="M78" s="19"/>
      <c r="N78" s="19"/>
      <c r="O78" s="19"/>
      <c r="P78" s="19"/>
      <c r="Q78" s="704"/>
      <c r="R78" s="711"/>
      <c r="S78" s="711"/>
      <c r="T78" s="711"/>
      <c r="U78" s="776"/>
    </row>
    <row r="79" customFormat="false" ht="12" hidden="false" customHeight="true" outlineLevel="0" collapsed="false">
      <c r="A79" s="757"/>
      <c r="B79" s="757" t="n">
        <v>580</v>
      </c>
      <c r="C79" s="757" t="n">
        <f aca="false">((SIN(RADIANS(B79)))^2)/B79^2</f>
        <v>1.22822803557234E-006</v>
      </c>
      <c r="D79" s="757" t="n">
        <f aca="false">C79*1000000</f>
        <v>1.22822803557234</v>
      </c>
      <c r="E79" s="757" t="n">
        <f aca="false">D79/304.6174</f>
        <v>0.00403203505634393</v>
      </c>
      <c r="F79" s="768" t="n">
        <f aca="false">10*LOG10(E79)</f>
        <v>-23.9447570059266</v>
      </c>
      <c r="G79" s="433" t="s">
        <v>258</v>
      </c>
      <c r="H79" s="433"/>
      <c r="I79" s="769" t="n">
        <f aca="false">(S7*B79)/79.76</f>
        <v>0.6897385925</v>
      </c>
      <c r="J79" s="42"/>
      <c r="K79" s="432"/>
      <c r="L79" s="19"/>
      <c r="M79" s="19"/>
      <c r="N79" s="19"/>
      <c r="O79" s="19"/>
      <c r="P79" s="19"/>
      <c r="Q79" s="704"/>
      <c r="R79" s="711"/>
      <c r="S79" s="711"/>
      <c r="T79" s="711"/>
      <c r="U79" s="776"/>
    </row>
    <row r="80" customFormat="false" ht="12" hidden="false" customHeight="true" outlineLevel="0" collapsed="false">
      <c r="A80" s="757"/>
      <c r="B80" s="757" t="n">
        <v>590</v>
      </c>
      <c r="C80" s="757" t="n">
        <f aca="false">((SIN(RADIANS(B80)))^2)/B80^2</f>
        <v>1.68579169443684E-006</v>
      </c>
      <c r="D80" s="757" t="n">
        <f aca="false">C80*1000000</f>
        <v>1.68579169443684</v>
      </c>
      <c r="E80" s="757" t="n">
        <f aca="false">D80/304.6174</f>
        <v>0.00553412803876876</v>
      </c>
      <c r="F80" s="768" t="n">
        <f aca="false">10*LOG10(E80)</f>
        <v>-22.569507971489</v>
      </c>
      <c r="G80" s="433" t="s">
        <v>258</v>
      </c>
      <c r="H80" s="433"/>
      <c r="I80" s="769" t="n">
        <f aca="false">(S7*B80)/79.76</f>
        <v>0.7016306372</v>
      </c>
      <c r="J80" s="42"/>
      <c r="K80" s="432"/>
      <c r="L80" s="19"/>
      <c r="M80" s="19"/>
      <c r="N80" s="19"/>
      <c r="O80" s="19"/>
      <c r="P80" s="19"/>
      <c r="Q80" s="704"/>
      <c r="R80" s="711"/>
      <c r="S80" s="711"/>
      <c r="T80" s="711"/>
      <c r="U80" s="776"/>
    </row>
    <row r="81" customFormat="false" ht="12" hidden="false" customHeight="true" outlineLevel="0" collapsed="false">
      <c r="A81" s="757"/>
      <c r="B81" s="757" t="n">
        <v>600</v>
      </c>
      <c r="C81" s="757" t="n">
        <f aca="false">((SIN(RADIANS(B81)))^2)/B81^2</f>
        <v>2.08333333333333E-006</v>
      </c>
      <c r="D81" s="757" t="n">
        <f aca="false">C81*1000000</f>
        <v>2.08333333333333</v>
      </c>
      <c r="E81" s="757" t="n">
        <f aca="false">D81/304.6174</f>
        <v>0.00683918034010314</v>
      </c>
      <c r="F81" s="768" t="n">
        <f aca="false">10*LOG10(E81)</f>
        <v>-21.6499594434724</v>
      </c>
      <c r="G81" s="433" t="s">
        <v>258</v>
      </c>
      <c r="H81" s="433"/>
      <c r="I81" s="769" t="n">
        <f aca="false">(S7*B81)/79.76</f>
        <v>0.7135226819</v>
      </c>
      <c r="J81" s="42"/>
      <c r="K81" s="432"/>
      <c r="L81" s="19"/>
      <c r="M81" s="19"/>
      <c r="N81" s="19"/>
      <c r="O81" s="19"/>
      <c r="P81" s="19"/>
      <c r="Q81" s="704"/>
      <c r="R81" s="711"/>
      <c r="S81" s="711"/>
      <c r="T81" s="711"/>
      <c r="U81" s="776"/>
    </row>
    <row r="82" customFormat="false" ht="12" hidden="false" customHeight="true" outlineLevel="0" collapsed="false">
      <c r="A82" s="757"/>
      <c r="B82" s="757" t="n">
        <v>610</v>
      </c>
      <c r="C82" s="757" t="n">
        <f aca="false">((SIN(RADIANS(B82)))^2)/B82^2</f>
        <v>2.37307772523378E-006</v>
      </c>
      <c r="D82" s="757" t="n">
        <f aca="false">C82*1000000</f>
        <v>2.37307772523378</v>
      </c>
      <c r="E82" s="757" t="n">
        <f aca="false">D82/304.6174</f>
        <v>0.00779035513149866</v>
      </c>
      <c r="F82" s="768" t="n">
        <f aca="false">10*LOG10(E82)</f>
        <v>-21.0844274410731</v>
      </c>
      <c r="G82" s="433" t="s">
        <v>258</v>
      </c>
      <c r="H82" s="433"/>
      <c r="I82" s="769" t="n">
        <f aca="false">(S7*B82)/79.76</f>
        <v>0.7254147266</v>
      </c>
      <c r="J82" s="42"/>
      <c r="K82" s="432"/>
      <c r="L82" s="19"/>
      <c r="M82" s="19"/>
      <c r="N82" s="19"/>
      <c r="O82" s="19"/>
      <c r="P82" s="19"/>
      <c r="Q82" s="704"/>
      <c r="R82" s="711"/>
      <c r="S82" s="762"/>
      <c r="T82" s="711"/>
      <c r="U82" s="776"/>
    </row>
    <row r="83" customFormat="false" ht="12" hidden="false" customHeight="true" outlineLevel="0" collapsed="false">
      <c r="A83" s="757"/>
      <c r="B83" s="757" t="n">
        <v>620</v>
      </c>
      <c r="C83" s="757" t="n">
        <f aca="false">((SIN(RADIANS(B83)))^2)/B83^2</f>
        <v>2.52301329446658E-006</v>
      </c>
      <c r="D83" s="757" t="n">
        <f aca="false">C83*1000000</f>
        <v>2.52301329446658</v>
      </c>
      <c r="E83" s="757" t="n">
        <f aca="false">D83/304.6174</f>
        <v>0.00828256460224065</v>
      </c>
      <c r="F83" s="787" t="n">
        <f aca="false">10*LOG10(E83)</f>
        <v>-20.8183516802829</v>
      </c>
      <c r="G83" s="433" t="s">
        <v>258</v>
      </c>
      <c r="H83" s="433"/>
      <c r="I83" s="788" t="n">
        <f aca="false">(S7*B83)/79.76</f>
        <v>0.7373067713</v>
      </c>
      <c r="J83" s="789" t="s">
        <v>977</v>
      </c>
      <c r="K83" s="790"/>
      <c r="L83" s="19"/>
      <c r="M83" s="19"/>
      <c r="N83" s="19"/>
      <c r="O83" s="19"/>
      <c r="P83" s="19"/>
      <c r="Q83" s="704"/>
      <c r="R83" s="711"/>
      <c r="S83" s="711"/>
      <c r="T83" s="711"/>
      <c r="U83" s="776"/>
    </row>
    <row r="84" customFormat="false" ht="12" hidden="false" customHeight="true" outlineLevel="0" collapsed="false">
      <c r="A84" s="757"/>
      <c r="B84" s="757" t="n">
        <v>630</v>
      </c>
      <c r="C84" s="757" t="n">
        <f aca="false">((SIN(RADIANS(B84)))^2)/B84^2</f>
        <v>2.51952632905014E-006</v>
      </c>
      <c r="D84" s="757" t="n">
        <f aca="false">C84*1000000</f>
        <v>2.51952632905014</v>
      </c>
      <c r="E84" s="757" t="n">
        <f aca="false">D84/304.6174</f>
        <v>0.00827111756928573</v>
      </c>
      <c r="F84" s="768" t="n">
        <f aca="false">10*LOG10(E84)</f>
        <v>-20.8243580587882</v>
      </c>
      <c r="G84" s="433" t="s">
        <v>258</v>
      </c>
      <c r="H84" s="433"/>
      <c r="I84" s="769" t="n">
        <f aca="false">(S7*B84)/79.76</f>
        <v>0.749198816</v>
      </c>
      <c r="J84" s="42"/>
      <c r="K84" s="432"/>
      <c r="L84" s="19"/>
      <c r="M84" s="19"/>
      <c r="N84" s="19"/>
      <c r="O84" s="19"/>
      <c r="P84" s="19"/>
      <c r="Q84" s="704"/>
      <c r="R84" s="711"/>
      <c r="S84" s="711"/>
      <c r="T84" s="711"/>
      <c r="U84" s="776"/>
    </row>
    <row r="85" customFormat="false" ht="12" hidden="false" customHeight="true" outlineLevel="0" collapsed="false">
      <c r="A85" s="757"/>
      <c r="B85" s="757" t="n">
        <v>640</v>
      </c>
      <c r="C85" s="757" t="n">
        <f aca="false">((SIN(RADIANS(B85)))^2)/B85^2</f>
        <v>2.3677888437328E-006</v>
      </c>
      <c r="D85" s="757" t="n">
        <f aca="false">C85*1000000</f>
        <v>2.3677888437328</v>
      </c>
      <c r="E85" s="757" t="n">
        <f aca="false">D85/304.6174</f>
        <v>0.00777299275659499</v>
      </c>
      <c r="F85" s="768" t="n">
        <f aca="false">10*LOG10(E85)</f>
        <v>-21.0941173699955</v>
      </c>
      <c r="G85" s="433" t="s">
        <v>258</v>
      </c>
      <c r="H85" s="433"/>
      <c r="I85" s="769" t="n">
        <f aca="false">(S7*B85)/79.76</f>
        <v>0.7610908607</v>
      </c>
      <c r="J85" s="42"/>
      <c r="K85" s="432"/>
      <c r="L85" s="19"/>
      <c r="M85" s="19"/>
      <c r="N85" s="19"/>
      <c r="O85" s="19"/>
      <c r="P85" s="19"/>
      <c r="Q85" s="704"/>
      <c r="R85" s="711"/>
      <c r="S85" s="711"/>
      <c r="T85" s="711"/>
      <c r="U85" s="776"/>
    </row>
    <row r="86" customFormat="false" ht="12" hidden="false" customHeight="true" outlineLevel="0" collapsed="false">
      <c r="A86" s="757"/>
      <c r="B86" s="757" t="n">
        <v>650</v>
      </c>
      <c r="C86" s="757" t="n">
        <f aca="false">((SIN(RADIANS(B86)))^2)/B86^2</f>
        <v>2.08999342380944E-006</v>
      </c>
      <c r="D86" s="757" t="n">
        <f aca="false">C86*1000000</f>
        <v>2.08999342380944</v>
      </c>
      <c r="E86" s="757" t="n">
        <f aca="false">D86/304.6174</f>
        <v>0.00686104412882995</v>
      </c>
      <c r="F86" s="768" t="n">
        <f aca="false">10*LOG10(E86)</f>
        <v>-21.6360978737149</v>
      </c>
      <c r="G86" s="433" t="s">
        <v>258</v>
      </c>
      <c r="H86" s="433"/>
      <c r="I86" s="769" t="n">
        <f aca="false">(S7*B86)/79.76</f>
        <v>0.7729829054</v>
      </c>
      <c r="J86" s="42"/>
      <c r="K86" s="432"/>
      <c r="L86" s="19"/>
      <c r="M86" s="19"/>
      <c r="N86" s="19"/>
      <c r="O86" s="19"/>
      <c r="P86" s="19"/>
      <c r="Q86" s="704"/>
      <c r="R86" s="711"/>
      <c r="S86" s="711"/>
      <c r="T86" s="711"/>
      <c r="U86" s="776"/>
    </row>
    <row r="87" customFormat="false" ht="12" hidden="false" customHeight="true" outlineLevel="0" collapsed="false">
      <c r="A87" s="757"/>
      <c r="B87" s="757" t="n">
        <v>670</v>
      </c>
      <c r="C87" s="757" t="n">
        <f aca="false">((SIN(RADIANS(B87)))^2)/B87^2</f>
        <v>1.30724902836593E-006</v>
      </c>
      <c r="D87" s="757" t="n">
        <f aca="false">C87*1000000</f>
        <v>1.30724902836593</v>
      </c>
      <c r="E87" s="757" t="n">
        <f aca="false">D87/304.6174</f>
        <v>0.00429144569012121</v>
      </c>
      <c r="F87" s="768" t="n">
        <f aca="false">10*LOG10(E87)</f>
        <v>-23.6739637926627</v>
      </c>
      <c r="G87" s="433" t="s">
        <v>258</v>
      </c>
      <c r="H87" s="433"/>
      <c r="I87" s="769" t="n">
        <f aca="false">(S7*B87)/79.76</f>
        <v>0.7967669948</v>
      </c>
      <c r="J87" s="42"/>
      <c r="K87" s="432"/>
      <c r="L87" s="19"/>
      <c r="M87" s="19"/>
      <c r="N87" s="19"/>
      <c r="O87" s="19"/>
      <c r="P87" s="19"/>
      <c r="Q87" s="704"/>
      <c r="R87" s="711"/>
      <c r="S87" s="711"/>
      <c r="T87" s="711"/>
      <c r="U87" s="776"/>
    </row>
    <row r="88" customFormat="false" ht="12" hidden="false" customHeight="true" outlineLevel="0" collapsed="false">
      <c r="A88" s="757"/>
      <c r="B88" s="757" t="n">
        <v>680</v>
      </c>
      <c r="C88" s="757" t="n">
        <f aca="false">((SIN(RADIANS(B88)))^2)/B88^2</f>
        <v>8.93546520688876E-007</v>
      </c>
      <c r="D88" s="757" t="n">
        <f aca="false">C88*1000000</f>
        <v>0.893546520688876</v>
      </c>
      <c r="E88" s="757" t="n">
        <f aca="false">D88/304.6174</f>
        <v>0.0029333403826862</v>
      </c>
      <c r="F88" s="768" t="n">
        <f aca="false">10*LOG10(E88)</f>
        <v>-25.3263753887925</v>
      </c>
      <c r="G88" s="433" t="s">
        <v>258</v>
      </c>
      <c r="H88" s="433"/>
      <c r="I88" s="769" t="n">
        <f aca="false">(S7*B88)/79.76</f>
        <v>0.8086590394</v>
      </c>
      <c r="J88" s="42"/>
      <c r="K88" s="432"/>
      <c r="L88" s="19"/>
      <c r="M88" s="19"/>
      <c r="N88" s="19"/>
      <c r="O88" s="19"/>
      <c r="P88" s="19"/>
      <c r="Q88" s="704"/>
      <c r="R88" s="711"/>
      <c r="S88" s="711"/>
      <c r="T88" s="711"/>
      <c r="U88" s="776"/>
    </row>
    <row r="89" customFormat="false" ht="12" hidden="false" customHeight="true" outlineLevel="0" collapsed="false">
      <c r="A89" s="757"/>
      <c r="B89" s="757" t="n">
        <v>690</v>
      </c>
      <c r="C89" s="757" t="n">
        <f aca="false">((SIN(RADIANS(B89)))^2)/B89^2</f>
        <v>5.25099768956101E-007</v>
      </c>
      <c r="D89" s="757" t="n">
        <f aca="false">C89*1000000</f>
        <v>0.525099768956101</v>
      </c>
      <c r="E89" s="757" t="n">
        <f aca="false">D89/304.6174</f>
        <v>0.00172380096788989</v>
      </c>
      <c r="F89" s="768" t="n">
        <f aca="false">10*LOG10(E89)</f>
        <v>-27.6351287977412</v>
      </c>
      <c r="G89" s="433" t="s">
        <v>258</v>
      </c>
      <c r="H89" s="433"/>
      <c r="I89" s="769" t="n">
        <f aca="false">(S7*B89)/79.76</f>
        <v>0.8205510841</v>
      </c>
      <c r="J89" s="42"/>
      <c r="K89" s="432"/>
      <c r="L89" s="19"/>
      <c r="M89" s="19"/>
      <c r="N89" s="19"/>
      <c r="O89" s="19"/>
      <c r="P89" s="19"/>
      <c r="Q89" s="704"/>
      <c r="R89" s="711"/>
      <c r="S89" s="711"/>
      <c r="T89" s="711"/>
      <c r="U89" s="776"/>
    </row>
    <row r="90" customFormat="false" ht="12" hidden="false" customHeight="true" outlineLevel="0" collapsed="false">
      <c r="A90" s="757"/>
      <c r="B90" s="757" t="n">
        <v>700</v>
      </c>
      <c r="C90" s="757" t="n">
        <f aca="false">((SIN(RADIANS(B90)))^2)/B90^2</f>
        <v>2.38730160082676E-007</v>
      </c>
      <c r="D90" s="757" t="n">
        <f aca="false">C90*1000000</f>
        <v>0.238730160082676</v>
      </c>
      <c r="E90" s="757" t="n">
        <f aca="false">D90/304.6174</f>
        <v>0.000783704936365013</v>
      </c>
      <c r="F90" s="768" t="n">
        <f aca="false">10*LOG10(E90)</f>
        <v>-31.0584741770913</v>
      </c>
      <c r="G90" s="433" t="s">
        <v>258</v>
      </c>
      <c r="H90" s="433"/>
      <c r="I90" s="769" t="n">
        <f aca="false">(S7*B90)/79.76</f>
        <v>0.8324431288</v>
      </c>
      <c r="J90" s="42"/>
      <c r="K90" s="432"/>
      <c r="L90" s="19"/>
      <c r="M90" s="19"/>
      <c r="N90" s="19"/>
      <c r="O90" s="19"/>
      <c r="P90" s="19"/>
      <c r="Q90" s="704"/>
      <c r="R90" s="711"/>
      <c r="S90" s="711"/>
      <c r="T90" s="711"/>
      <c r="U90" s="776"/>
    </row>
    <row r="91" customFormat="false" ht="12" hidden="false" customHeight="true" outlineLevel="0" collapsed="false">
      <c r="A91" s="757"/>
      <c r="B91" s="757" t="n">
        <v>710</v>
      </c>
      <c r="C91" s="757" t="n">
        <f aca="false">((SIN(RADIANS(B91)))^2)/B91^2</f>
        <v>5.98168807916007E-008</v>
      </c>
      <c r="D91" s="757" t="n">
        <f aca="false">C91*1000000</f>
        <v>0.0598168807916007</v>
      </c>
      <c r="E91" s="757" t="n">
        <f aca="false">D91/304.6174</f>
        <v>0.00019636724885578</v>
      </c>
      <c r="F91" s="768" t="n">
        <f aca="false">10*LOG10(E91)</f>
        <v>-37.069309443866</v>
      </c>
      <c r="G91" s="433" t="s">
        <v>258</v>
      </c>
      <c r="H91" s="433"/>
      <c r="I91" s="769" t="n">
        <f aca="false">(S7*B91)/79.76</f>
        <v>0.8443351735</v>
      </c>
      <c r="J91" s="42"/>
      <c r="K91" s="432"/>
      <c r="L91" s="19"/>
      <c r="M91" s="19"/>
      <c r="N91" s="19"/>
      <c r="O91" s="19"/>
      <c r="P91" s="19"/>
      <c r="Q91" s="704"/>
      <c r="R91" s="711"/>
      <c r="S91" s="762"/>
      <c r="T91" s="711"/>
      <c r="U91" s="776"/>
    </row>
    <row r="92" customFormat="false" ht="12" hidden="false" customHeight="true" outlineLevel="0" collapsed="false">
      <c r="A92" s="757"/>
      <c r="B92" s="757" t="n">
        <v>720</v>
      </c>
      <c r="C92" s="757" t="n">
        <f aca="false">((SIN(RADIANS(B92)))^2)/B92^2</f>
        <v>4.62888821809215E-037</v>
      </c>
      <c r="D92" s="757" t="n">
        <f aca="false">C92*1000000</f>
        <v>4.62888821809215E-031</v>
      </c>
      <c r="E92" s="757" t="n">
        <f aca="false">D92/304.6174</f>
        <v>1.51957446229012E-033</v>
      </c>
      <c r="F92" s="785" t="n">
        <f aca="false">10*LOG10(E92)</f>
        <v>-328.182780137352</v>
      </c>
      <c r="G92" s="433" t="s">
        <v>258</v>
      </c>
      <c r="H92" s="433"/>
      <c r="I92" s="786" t="n">
        <f aca="false">(S7*B92)/79.76</f>
        <v>0.8562272182</v>
      </c>
      <c r="J92" s="789" t="s">
        <v>978</v>
      </c>
      <c r="K92" s="432"/>
      <c r="L92" s="19"/>
      <c r="M92" s="19"/>
      <c r="N92" s="19"/>
      <c r="O92" s="19"/>
      <c r="P92" s="19"/>
      <c r="Q92" s="704"/>
      <c r="R92" s="711"/>
      <c r="S92" s="711"/>
      <c r="T92" s="711"/>
      <c r="U92" s="776"/>
    </row>
    <row r="93" customFormat="false" ht="12" hidden="false" customHeight="true" outlineLevel="0" collapsed="false">
      <c r="A93" s="757"/>
      <c r="B93" s="757" t="n">
        <v>730</v>
      </c>
      <c r="C93" s="757" t="n">
        <f aca="false">((SIN(RADIANS(B93)))^2)/B93^2</f>
        <v>5.65841426290966E-008</v>
      </c>
      <c r="D93" s="757" t="n">
        <f aca="false">C93*1000000</f>
        <v>0.0565841426290966</v>
      </c>
      <c r="E93" s="757" t="n">
        <f aca="false">D93/304.6174</f>
        <v>0.000185754794798644</v>
      </c>
      <c r="F93" s="768" t="n">
        <f aca="false">10*LOG10(E93)</f>
        <v>-37.3105996718937</v>
      </c>
      <c r="G93" s="433" t="s">
        <v>258</v>
      </c>
      <c r="H93" s="433"/>
      <c r="I93" s="769" t="n">
        <f aca="false">(S7*B93)/79.76</f>
        <v>0.8681192629</v>
      </c>
      <c r="J93" s="42"/>
      <c r="K93" s="432"/>
      <c r="L93" s="19"/>
      <c r="M93" s="19"/>
      <c r="N93" s="19"/>
      <c r="O93" s="19"/>
      <c r="P93" s="19"/>
      <c r="Q93" s="704"/>
      <c r="R93" s="711"/>
      <c r="S93" s="711"/>
      <c r="T93" s="711"/>
      <c r="U93" s="776"/>
    </row>
    <row r="94" customFormat="false" ht="12" hidden="false" customHeight="true" outlineLevel="0" collapsed="false">
      <c r="A94" s="757"/>
      <c r="B94" s="757" t="n">
        <v>740</v>
      </c>
      <c r="C94" s="757" t="n">
        <f aca="false">((SIN(RADIANS(B94)))^2)/B94^2</f>
        <v>2.13619025640085E-007</v>
      </c>
      <c r="D94" s="757" t="n">
        <f aca="false">C94*1000000</f>
        <v>0.213619025640085</v>
      </c>
      <c r="E94" s="757" t="n">
        <f aca="false">D94/304.6174</f>
        <v>0.000701269939406235</v>
      </c>
      <c r="F94" s="768" t="n">
        <f aca="false">10*LOG10(E94)</f>
        <v>-31.5411477714257</v>
      </c>
      <c r="G94" s="433" t="s">
        <v>258</v>
      </c>
      <c r="H94" s="433"/>
      <c r="I94" s="769" t="n">
        <f aca="false">(S7*B94)/79.76</f>
        <v>0.8800113076</v>
      </c>
      <c r="J94" s="42"/>
      <c r="K94" s="432"/>
      <c r="L94" s="19"/>
      <c r="M94" s="19"/>
      <c r="N94" s="19"/>
      <c r="O94" s="19"/>
      <c r="P94" s="19"/>
      <c r="Q94" s="704"/>
      <c r="R94" s="711"/>
      <c r="S94" s="711"/>
      <c r="T94" s="711"/>
      <c r="U94" s="776"/>
    </row>
    <row r="95" customFormat="false" ht="12" hidden="false" customHeight="true" outlineLevel="0" collapsed="false">
      <c r="A95" s="757"/>
      <c r="B95" s="757" t="n">
        <v>750</v>
      </c>
      <c r="C95" s="757" t="n">
        <f aca="false">((SIN(RADIANS(B95)))^2)/B95^2</f>
        <v>4.44444444444445E-007</v>
      </c>
      <c r="D95" s="757" t="n">
        <f aca="false">C95*1000000</f>
        <v>0.444444444444445</v>
      </c>
      <c r="E95" s="757" t="n">
        <f aca="false">D95/304.6174</f>
        <v>0.00145902513922201</v>
      </c>
      <c r="F95" s="768" t="n">
        <f aca="false">10*LOG10(E95)</f>
        <v>-28.3593722508301</v>
      </c>
      <c r="G95" s="433" t="s">
        <v>258</v>
      </c>
      <c r="H95" s="433"/>
      <c r="I95" s="769" t="n">
        <f aca="false">(S7*B95)/79.76</f>
        <v>0.8919033523</v>
      </c>
      <c r="J95" s="42"/>
      <c r="K95" s="432"/>
      <c r="L95" s="19"/>
      <c r="M95" s="19"/>
      <c r="N95" s="19"/>
      <c r="O95" s="19"/>
      <c r="P95" s="19"/>
      <c r="Q95" s="704"/>
      <c r="R95" s="711"/>
      <c r="S95" s="711"/>
      <c r="T95" s="711"/>
      <c r="U95" s="776"/>
    </row>
    <row r="96" customFormat="false" ht="12" hidden="false" customHeight="true" outlineLevel="0" collapsed="false">
      <c r="A96" s="757"/>
      <c r="B96" s="757" t="n">
        <v>760</v>
      </c>
      <c r="C96" s="757" t="n">
        <f aca="false">((SIN(RADIANS(B96)))^2)/B96^2</f>
        <v>7.15332256174749E-007</v>
      </c>
      <c r="D96" s="757" t="n">
        <f aca="false">C96*1000000</f>
        <v>0.715332256174749</v>
      </c>
      <c r="E96" s="757" t="n">
        <f aca="false">D96/304.6174</f>
        <v>0.00234829742547454</v>
      </c>
      <c r="F96" s="768" t="n">
        <f aca="false">10*LOG10(E96)</f>
        <v>-26.2924689802836</v>
      </c>
      <c r="G96" s="433" t="s">
        <v>258</v>
      </c>
      <c r="H96" s="433"/>
      <c r="I96" s="769" t="n">
        <f aca="false">(S7*B96)/79.76</f>
        <v>0.903795397</v>
      </c>
      <c r="J96" s="42"/>
      <c r="K96" s="432"/>
      <c r="L96" s="19"/>
      <c r="M96" s="19"/>
      <c r="N96" s="19"/>
      <c r="O96" s="19"/>
      <c r="P96" s="19"/>
      <c r="Q96" s="704"/>
      <c r="R96" s="711"/>
      <c r="S96" s="711"/>
      <c r="T96" s="711"/>
      <c r="U96" s="776"/>
    </row>
    <row r="97" customFormat="false" ht="12" hidden="false" customHeight="true" outlineLevel="0" collapsed="false">
      <c r="A97" s="757"/>
      <c r="B97" s="757" t="n">
        <v>770</v>
      </c>
      <c r="C97" s="757" t="n">
        <f aca="false">((SIN(RADIANS(B97)))^2)/B97^2</f>
        <v>9.89752215944449E-007</v>
      </c>
      <c r="D97" s="757" t="n">
        <f aca="false">C97*1000000</f>
        <v>0.989752215944449</v>
      </c>
      <c r="E97" s="757" t="n">
        <f aca="false">D97/304.6174</f>
        <v>0.00324916507049318</v>
      </c>
      <c r="F97" s="768" t="n">
        <f aca="false">10*LOG10(E97)</f>
        <v>-24.8822822420958</v>
      </c>
      <c r="G97" s="433" t="s">
        <v>258</v>
      </c>
      <c r="H97" s="433"/>
      <c r="I97" s="769" t="n">
        <f aca="false">(S7*B97)/79.76</f>
        <v>0.9156874417</v>
      </c>
      <c r="J97" s="42"/>
      <c r="K97" s="432"/>
      <c r="L97" s="19"/>
      <c r="M97" s="19"/>
      <c r="N97" s="19"/>
      <c r="O97" s="19"/>
      <c r="P97" s="19"/>
      <c r="Q97" s="704"/>
      <c r="R97" s="711"/>
      <c r="S97" s="711"/>
      <c r="T97" s="711"/>
      <c r="U97" s="776"/>
    </row>
    <row r="98" customFormat="false" ht="12" hidden="false" customHeight="true" outlineLevel="0" collapsed="false">
      <c r="A98" s="757"/>
      <c r="B98" s="757" t="n">
        <v>780</v>
      </c>
      <c r="C98" s="757" t="n">
        <f aca="false">((SIN(RADIANS(B98)))^2)/B98^2</f>
        <v>1.232741617357E-006</v>
      </c>
      <c r="D98" s="757" t="n">
        <f aca="false">C98*1000000</f>
        <v>1.232741617357</v>
      </c>
      <c r="E98" s="757" t="n">
        <f aca="false">D98/304.6174</f>
        <v>0.00404685227225037</v>
      </c>
      <c r="F98" s="768" t="n">
        <f aca="false">10*LOG10(E98)</f>
        <v>-23.9288264896091</v>
      </c>
      <c r="G98" s="433" t="s">
        <v>258</v>
      </c>
      <c r="H98" s="433"/>
      <c r="I98" s="769" t="n">
        <f aca="false">(S7*B98)/79.76</f>
        <v>0.9275794864</v>
      </c>
      <c r="J98" s="42"/>
      <c r="K98" s="432"/>
      <c r="L98" s="19"/>
      <c r="M98" s="19"/>
      <c r="N98" s="19"/>
      <c r="O98" s="19"/>
      <c r="P98" s="19"/>
      <c r="Q98" s="704"/>
      <c r="R98" s="711"/>
      <c r="S98" s="711"/>
      <c r="T98" s="711"/>
      <c r="U98" s="776"/>
    </row>
    <row r="99" customFormat="false" ht="12" hidden="false" customHeight="true" outlineLevel="0" collapsed="false">
      <c r="A99" s="757"/>
      <c r="B99" s="757" t="n">
        <v>790</v>
      </c>
      <c r="C99" s="757" t="n">
        <f aca="false">((SIN(RADIANS(B99)))^2)/B99^2</f>
        <v>1.41487297157425E-006</v>
      </c>
      <c r="D99" s="757" t="n">
        <f aca="false">C99*1000000</f>
        <v>1.41487297157425</v>
      </c>
      <c r="E99" s="757" t="n">
        <f aca="false">D99/304.6174</f>
        <v>0.00464475427724828</v>
      </c>
      <c r="F99" s="768" t="n">
        <f aca="false">10*LOG10(E99)</f>
        <v>-23.3303725666666</v>
      </c>
      <c r="G99" s="433" t="s">
        <v>258</v>
      </c>
      <c r="H99" s="433"/>
      <c r="I99" s="769" t="n">
        <f aca="false">(S7*B99)/79.76</f>
        <v>0.9394715311</v>
      </c>
      <c r="J99" s="42"/>
      <c r="K99" s="432"/>
      <c r="L99" s="19"/>
      <c r="M99" s="19"/>
      <c r="N99" s="19"/>
      <c r="O99" s="19"/>
      <c r="P99" s="19"/>
      <c r="Q99" s="704"/>
      <c r="R99" s="711"/>
      <c r="S99" s="711"/>
      <c r="T99" s="711"/>
      <c r="U99" s="776"/>
    </row>
    <row r="100" customFormat="false" ht="12" hidden="false" customHeight="true" outlineLevel="0" collapsed="false">
      <c r="A100" s="757"/>
      <c r="B100" s="757" t="n">
        <v>800</v>
      </c>
      <c r="C100" s="757" t="n">
        <f aca="false">((SIN(RADIANS(B100)))^2)/B100^2</f>
        <v>1.51538485998899E-006</v>
      </c>
      <c r="D100" s="757" t="n">
        <f aca="false">C100*1000000</f>
        <v>1.51538485998899</v>
      </c>
      <c r="E100" s="757" t="n">
        <f aca="false">D100/304.6174</f>
        <v>0.00497471536422079</v>
      </c>
      <c r="F100" s="768" t="n">
        <f aca="false">10*LOG10(E100)</f>
        <v>-23.0323176301567</v>
      </c>
      <c r="G100" s="433" t="s">
        <v>258</v>
      </c>
      <c r="H100" s="433"/>
      <c r="I100" s="769" t="n">
        <f aca="false">(S7*B100)/79.76</f>
        <v>0.9513635758</v>
      </c>
      <c r="J100" s="42"/>
      <c r="K100" s="432"/>
      <c r="L100" s="19"/>
      <c r="M100" s="19"/>
      <c r="N100" s="19"/>
      <c r="O100" s="19"/>
      <c r="P100" s="19"/>
      <c r="Q100" s="704"/>
      <c r="R100" s="711"/>
      <c r="S100" s="762"/>
      <c r="T100" s="711"/>
      <c r="U100" s="776"/>
    </row>
    <row r="101" customFormat="false" ht="12" hidden="false" customHeight="true" outlineLevel="0" collapsed="false">
      <c r="A101" s="757"/>
      <c r="B101" s="757" t="n">
        <v>810</v>
      </c>
      <c r="C101" s="757" t="n">
        <f aca="false">((SIN(RADIANS(B101)))^2)/B101^2</f>
        <v>1.52415790275873E-006</v>
      </c>
      <c r="D101" s="757" t="n">
        <f aca="false">C101*1000000</f>
        <v>1.52415790275873</v>
      </c>
      <c r="E101" s="757" t="n">
        <f aca="false">D101/304.6174</f>
        <v>0.00500351556660495</v>
      </c>
      <c r="F101" s="787" t="n">
        <f aca="false">10*LOG10(E101)</f>
        <v>-23.0072474472895</v>
      </c>
      <c r="G101" s="433" t="s">
        <v>258</v>
      </c>
      <c r="H101" s="433"/>
      <c r="I101" s="788" t="n">
        <f aca="false">(S7*B101)/79.76</f>
        <v>0.9632556205</v>
      </c>
      <c r="J101" s="789" t="s">
        <v>979</v>
      </c>
      <c r="K101" s="790"/>
      <c r="L101" s="19"/>
      <c r="M101" s="19"/>
      <c r="N101" s="19"/>
      <c r="O101" s="19"/>
      <c r="P101" s="19"/>
      <c r="Q101" s="704"/>
      <c r="R101" s="711"/>
      <c r="S101" s="711"/>
      <c r="T101" s="711"/>
      <c r="U101" s="776"/>
    </row>
    <row r="102" customFormat="false" ht="12" hidden="false" customHeight="true" outlineLevel="0" collapsed="false">
      <c r="A102" s="757"/>
      <c r="B102" s="757" t="n">
        <v>820</v>
      </c>
      <c r="C102" s="757" t="n">
        <f aca="false">((SIN(RADIANS(B102)))^2)/B102^2</f>
        <v>1.44236512551005E-006</v>
      </c>
      <c r="D102" s="757" t="n">
        <f aca="false">C102*1000000</f>
        <v>1.44236512551005</v>
      </c>
      <c r="E102" s="757" t="n">
        <f aca="false">D102/304.6174</f>
        <v>0.00473500570062658</v>
      </c>
      <c r="F102" s="768" t="n">
        <f aca="false">10*LOG10(E102)</f>
        <v>-23.2467949379921</v>
      </c>
      <c r="G102" s="433" t="s">
        <v>258</v>
      </c>
      <c r="H102" s="433"/>
      <c r="I102" s="769" t="n">
        <f aca="false">(S7*B102)/79.76</f>
        <v>0.9751476652</v>
      </c>
      <c r="J102" s="42"/>
      <c r="K102" s="432"/>
      <c r="L102" s="19"/>
      <c r="M102" s="19"/>
      <c r="N102" s="19"/>
      <c r="O102" s="19"/>
      <c r="P102" s="19"/>
      <c r="Q102" s="704"/>
      <c r="R102" s="711"/>
      <c r="S102" s="711"/>
      <c r="T102" s="711"/>
      <c r="U102" s="776"/>
    </row>
    <row r="103" customFormat="false" ht="12" hidden="false" customHeight="true" outlineLevel="0" collapsed="false">
      <c r="A103" s="757"/>
      <c r="B103" s="757" t="n">
        <v>830</v>
      </c>
      <c r="C103" s="757" t="n">
        <f aca="false">((SIN(RADIANS(B103)))^2)/B103^2</f>
        <v>1.28178577668673E-006</v>
      </c>
      <c r="D103" s="757" t="n">
        <f aca="false">C103*1000000</f>
        <v>1.28178577668673</v>
      </c>
      <c r="E103" s="757" t="n">
        <f aca="false">D103/304.6174</f>
        <v>0.00420785476038707</v>
      </c>
      <c r="F103" s="768" t="n">
        <f aca="false">10*LOG10(E103)</f>
        <v>-23.7593925883793</v>
      </c>
      <c r="G103" s="433" t="s">
        <v>258</v>
      </c>
      <c r="H103" s="433"/>
      <c r="I103" s="769" t="n">
        <f aca="false">(S7*B103)/79.76</f>
        <v>0.9870397099</v>
      </c>
      <c r="J103" s="42"/>
      <c r="K103" s="432"/>
      <c r="L103" s="19"/>
      <c r="M103" s="19"/>
      <c r="N103" s="19"/>
      <c r="O103" s="19"/>
      <c r="P103" s="19"/>
      <c r="Q103" s="704"/>
      <c r="R103" s="711"/>
      <c r="S103" s="711"/>
      <c r="T103" s="711"/>
      <c r="U103" s="776"/>
    </row>
    <row r="104" customFormat="false" ht="12" hidden="false" customHeight="true" outlineLevel="0" collapsed="false">
      <c r="A104" s="757"/>
      <c r="B104" s="757" t="n">
        <v>840</v>
      </c>
      <c r="C104" s="757" t="n">
        <f aca="false">((SIN(RADIANS(B104)))^2)/B104^2</f>
        <v>1.06292517006803E-006</v>
      </c>
      <c r="D104" s="757" t="n">
        <f aca="false">C104*1000000</f>
        <v>1.06292517006803</v>
      </c>
      <c r="E104" s="757" t="n">
        <f aca="false">D104/304.6174</f>
        <v>0.00348937772454241</v>
      </c>
      <c r="F104" s="768" t="n">
        <f aca="false">10*LOG10(E104)</f>
        <v>-24.5725201570372</v>
      </c>
      <c r="G104" s="433" t="s">
        <v>258</v>
      </c>
      <c r="H104" s="433"/>
      <c r="I104" s="769" t="n">
        <f aca="false">(S7*B104)/79.76</f>
        <v>0.9989317546</v>
      </c>
      <c r="J104" s="42"/>
      <c r="K104" s="432"/>
      <c r="L104" s="19"/>
      <c r="M104" s="19"/>
      <c r="N104" s="19"/>
      <c r="O104" s="19"/>
      <c r="P104" s="19"/>
      <c r="Q104" s="704"/>
      <c r="R104" s="711"/>
      <c r="S104" s="711"/>
      <c r="T104" s="711"/>
      <c r="U104" s="776"/>
    </row>
    <row r="105" customFormat="false" ht="12" hidden="false" customHeight="true" outlineLevel="0" collapsed="false">
      <c r="A105" s="757"/>
      <c r="B105" s="757"/>
      <c r="C105" s="757"/>
      <c r="D105" s="757"/>
      <c r="E105" s="757"/>
      <c r="F105" s="454"/>
      <c r="G105" s="42"/>
      <c r="H105" s="42"/>
      <c r="I105" s="42"/>
      <c r="J105" s="42"/>
      <c r="K105" s="432"/>
      <c r="L105" s="19"/>
      <c r="M105" s="19"/>
      <c r="N105" s="19"/>
      <c r="O105" s="19"/>
      <c r="P105" s="19"/>
      <c r="Q105" s="19"/>
      <c r="R105" s="711"/>
      <c r="S105" s="711"/>
      <c r="T105" s="711"/>
      <c r="U105" s="711"/>
    </row>
    <row r="106" customFormat="false" ht="12" hidden="false" customHeight="true" outlineLevel="0" collapsed="false">
      <c r="A106" s="757"/>
      <c r="B106" s="757"/>
      <c r="C106" s="757"/>
      <c r="D106" s="757"/>
      <c r="E106" s="757"/>
      <c r="F106" s="462"/>
      <c r="G106" s="516"/>
      <c r="H106" s="516"/>
      <c r="I106" s="516"/>
      <c r="J106" s="516"/>
      <c r="K106" s="463"/>
      <c r="L106" s="19"/>
      <c r="M106" s="19"/>
      <c r="N106" s="19"/>
      <c r="O106" s="19"/>
      <c r="P106" s="19"/>
      <c r="Q106" s="19"/>
      <c r="R106" s="711"/>
      <c r="S106" s="711"/>
      <c r="T106" s="711"/>
      <c r="U106" s="711"/>
    </row>
    <row r="107" customFormat="false" ht="12" hidden="false" customHeight="true" outlineLevel="0" collapsed="false">
      <c r="A107" s="791"/>
      <c r="B107" s="791"/>
      <c r="C107" s="791"/>
      <c r="D107" s="791"/>
      <c r="E107" s="791"/>
      <c r="F107" s="19"/>
      <c r="G107" s="19"/>
      <c r="H107" s="19"/>
      <c r="I107" s="19"/>
      <c r="J107" s="19"/>
      <c r="K107" s="19"/>
      <c r="L107" s="19"/>
      <c r="M107" s="19"/>
      <c r="N107" s="19"/>
      <c r="O107" s="19"/>
      <c r="P107" s="19"/>
      <c r="Q107" s="19"/>
      <c r="R107" s="711"/>
      <c r="S107" s="711"/>
      <c r="T107" s="711"/>
      <c r="U107" s="711"/>
    </row>
    <row r="108" customFormat="false" ht="12" hidden="false" customHeight="true" outlineLevel="0" collapsed="false">
      <c r="A108" s="791"/>
      <c r="B108" s="791"/>
      <c r="C108" s="791"/>
      <c r="D108" s="791"/>
      <c r="E108" s="791"/>
      <c r="F108" s="19"/>
      <c r="G108" s="19"/>
      <c r="H108" s="19"/>
      <c r="I108" s="19"/>
      <c r="J108" s="19"/>
      <c r="K108" s="19"/>
      <c r="L108" s="19"/>
      <c r="M108" s="19"/>
      <c r="N108" s="19"/>
      <c r="O108" s="19"/>
      <c r="P108" s="19"/>
      <c r="Q108" s="19"/>
      <c r="R108" s="711"/>
      <c r="S108" s="711"/>
      <c r="T108" s="711"/>
      <c r="U108" s="711"/>
    </row>
    <row r="109" customFormat="false" ht="12" hidden="false" customHeight="true" outlineLevel="0" collapsed="false">
      <c r="A109" s="791"/>
      <c r="B109" s="791"/>
      <c r="C109" s="791"/>
      <c r="D109" s="791"/>
      <c r="E109" s="791"/>
      <c r="F109" s="19"/>
      <c r="G109" s="19"/>
      <c r="H109" s="19"/>
      <c r="I109" s="19"/>
      <c r="J109" s="19"/>
      <c r="K109" s="19"/>
      <c r="L109" s="19"/>
      <c r="M109" s="19"/>
      <c r="N109" s="19"/>
      <c r="O109" s="19"/>
      <c r="P109" s="19"/>
      <c r="Q109" s="19"/>
      <c r="R109" s="711"/>
      <c r="S109" s="711"/>
      <c r="T109" s="711"/>
      <c r="U109" s="711"/>
    </row>
    <row r="110" customFormat="false" ht="12" hidden="false" customHeight="true" outlineLevel="0" collapsed="false">
      <c r="A110" s="791"/>
      <c r="B110" s="791"/>
      <c r="C110" s="791"/>
      <c r="D110" s="791"/>
      <c r="E110" s="791"/>
      <c r="F110" s="19"/>
      <c r="G110" s="19"/>
      <c r="H110" s="19"/>
      <c r="I110" s="19"/>
      <c r="J110" s="19"/>
      <c r="K110" s="19"/>
      <c r="L110" s="19"/>
      <c r="M110" s="19"/>
      <c r="N110" s="19"/>
      <c r="O110" s="19"/>
      <c r="P110" s="19"/>
      <c r="Q110" s="19"/>
      <c r="R110" s="711"/>
      <c r="S110" s="711"/>
      <c r="T110" s="711"/>
      <c r="U110" s="711"/>
    </row>
    <row r="111" customFormat="false" ht="12" hidden="false" customHeight="true" outlineLevel="0" collapsed="false">
      <c r="A111" s="791"/>
      <c r="B111" s="791"/>
      <c r="C111" s="791"/>
      <c r="D111" s="791"/>
      <c r="E111" s="791"/>
      <c r="F111" s="19"/>
      <c r="G111" s="19"/>
      <c r="H111" s="19"/>
      <c r="I111" s="19"/>
      <c r="J111" s="19"/>
      <c r="K111" s="19"/>
      <c r="L111" s="19"/>
      <c r="M111" s="19"/>
      <c r="N111" s="19"/>
      <c r="O111" s="19"/>
      <c r="P111" s="19"/>
      <c r="Q111" s="19"/>
      <c r="R111" s="711"/>
      <c r="S111" s="711"/>
      <c r="T111" s="711"/>
      <c r="U111" s="711"/>
    </row>
    <row r="112" customFormat="false" ht="12" hidden="false" customHeight="true" outlineLevel="0" collapsed="false">
      <c r="A112" s="19"/>
      <c r="B112" s="19"/>
      <c r="C112" s="19"/>
      <c r="D112" s="19"/>
      <c r="E112" s="19"/>
      <c r="F112" s="19"/>
      <c r="G112" s="19"/>
      <c r="H112" s="19"/>
      <c r="I112" s="19"/>
      <c r="J112" s="19"/>
      <c r="K112" s="19"/>
      <c r="L112" s="19"/>
      <c r="M112" s="19"/>
      <c r="N112" s="19"/>
      <c r="O112" s="19"/>
      <c r="P112" s="19"/>
      <c r="Q112" s="19"/>
      <c r="R112" s="711"/>
      <c r="S112" s="711"/>
      <c r="T112" s="711"/>
      <c r="U112" s="711"/>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711"/>
      <c r="S113" s="711"/>
      <c r="T113" s="711"/>
      <c r="U113" s="711"/>
    </row>
    <row r="114" customFormat="false" ht="12" hidden="false" customHeight="true" outlineLevel="0" collapsed="false">
      <c r="A114" s="19"/>
      <c r="B114" s="19"/>
      <c r="C114" s="19"/>
      <c r="D114" s="19"/>
      <c r="E114" s="19"/>
      <c r="F114" s="19"/>
      <c r="G114" s="19"/>
      <c r="H114" s="19"/>
      <c r="I114" s="19"/>
      <c r="J114" s="19"/>
      <c r="K114" s="19"/>
      <c r="L114" s="19"/>
      <c r="M114" s="19"/>
      <c r="N114" s="19"/>
      <c r="O114" s="19"/>
      <c r="P114" s="19"/>
      <c r="Q114" s="19"/>
      <c r="R114" s="711"/>
      <c r="S114" s="711"/>
      <c r="T114" s="711"/>
      <c r="U114" s="711"/>
    </row>
    <row r="115" customFormat="false" ht="12" hidden="false" customHeight="true" outlineLevel="0" collapsed="false">
      <c r="A115" s="19"/>
      <c r="B115" s="19"/>
      <c r="C115" s="19"/>
      <c r="D115" s="19"/>
      <c r="E115" s="19"/>
      <c r="F115" s="19"/>
      <c r="G115" s="19"/>
      <c r="H115" s="19"/>
      <c r="I115" s="19"/>
      <c r="J115" s="19"/>
      <c r="K115" s="19"/>
      <c r="L115" s="19"/>
      <c r="M115" s="19"/>
      <c r="N115" s="19"/>
      <c r="O115" s="19"/>
      <c r="P115" s="19"/>
      <c r="Q115" s="19"/>
      <c r="R115" s="711"/>
      <c r="S115" s="711"/>
      <c r="T115" s="711"/>
      <c r="U115" s="711"/>
    </row>
    <row r="116" customFormat="false" ht="12" hidden="false" customHeight="true" outlineLevel="0" collapsed="false">
      <c r="A116" s="19"/>
      <c r="B116" s="19"/>
      <c r="C116" s="19"/>
      <c r="D116" s="19"/>
      <c r="E116" s="19"/>
      <c r="F116" s="19"/>
      <c r="G116" s="19"/>
      <c r="H116" s="19"/>
      <c r="I116" s="19"/>
      <c r="J116" s="19"/>
      <c r="K116" s="19"/>
      <c r="L116" s="19"/>
      <c r="M116" s="19"/>
      <c r="N116" s="19"/>
      <c r="O116" s="19"/>
      <c r="P116" s="19"/>
      <c r="Q116" s="19"/>
      <c r="R116" s="711"/>
      <c r="S116" s="711"/>
      <c r="T116" s="711"/>
      <c r="U116" s="711"/>
    </row>
    <row r="117" customFormat="false" ht="12" hidden="false" customHeight="true" outlineLevel="0" collapsed="false">
      <c r="A117" s="19"/>
      <c r="B117" s="19"/>
      <c r="C117" s="19"/>
      <c r="D117" s="19"/>
      <c r="E117" s="19"/>
      <c r="F117" s="19"/>
      <c r="G117" s="19"/>
      <c r="H117" s="19"/>
      <c r="I117" s="19"/>
      <c r="J117" s="19"/>
      <c r="K117" s="19"/>
      <c r="L117" s="19"/>
      <c r="M117" s="19"/>
      <c r="N117" s="19"/>
      <c r="O117" s="19"/>
      <c r="P117" s="19"/>
      <c r="Q117" s="19"/>
      <c r="R117" s="711"/>
      <c r="S117" s="711"/>
      <c r="T117" s="711"/>
      <c r="U117" s="711"/>
    </row>
    <row r="118" customFormat="false" ht="12" hidden="false" customHeight="true" outlineLevel="0" collapsed="false">
      <c r="A118" s="19"/>
      <c r="B118" s="19"/>
      <c r="C118" s="19"/>
      <c r="D118" s="19"/>
      <c r="E118" s="19"/>
      <c r="F118" s="19"/>
      <c r="G118" s="19"/>
      <c r="H118" s="19"/>
      <c r="I118" s="19"/>
      <c r="J118" s="19"/>
      <c r="K118" s="19"/>
      <c r="L118" s="19"/>
      <c r="M118" s="19"/>
      <c r="N118" s="19"/>
      <c r="O118" s="19"/>
      <c r="P118" s="19"/>
      <c r="Q118" s="19"/>
      <c r="R118" s="711"/>
      <c r="S118" s="711"/>
      <c r="T118" s="711"/>
      <c r="U118" s="711"/>
    </row>
    <row r="119" customFormat="false" ht="12" hidden="false" customHeight="true" outlineLevel="0" collapsed="false">
      <c r="A119" s="19"/>
      <c r="B119" s="19"/>
      <c r="C119" s="19"/>
      <c r="D119" s="19"/>
      <c r="E119" s="19"/>
      <c r="F119" s="19"/>
      <c r="G119" s="19"/>
      <c r="H119" s="19"/>
      <c r="I119" s="19"/>
      <c r="J119" s="19"/>
      <c r="K119" s="19"/>
      <c r="L119" s="19"/>
      <c r="M119" s="19"/>
      <c r="N119" s="19"/>
      <c r="O119" s="19"/>
      <c r="P119" s="19"/>
      <c r="Q119" s="19"/>
      <c r="R119" s="711"/>
      <c r="S119" s="711"/>
      <c r="T119" s="711"/>
      <c r="U119" s="711"/>
    </row>
    <row r="120" customFormat="false" ht="12" hidden="false" customHeight="true" outlineLevel="0" collapsed="false">
      <c r="A120" s="19"/>
      <c r="B120" s="19"/>
      <c r="C120" s="19"/>
      <c r="D120" s="19"/>
      <c r="E120" s="19"/>
      <c r="F120" s="19"/>
      <c r="G120" s="19"/>
      <c r="H120" s="19"/>
      <c r="I120" s="19"/>
      <c r="J120" s="19"/>
      <c r="K120" s="19"/>
      <c r="L120" s="19"/>
      <c r="M120" s="19"/>
      <c r="N120" s="19"/>
      <c r="O120" s="19"/>
      <c r="P120" s="19"/>
      <c r="Q120" s="19"/>
      <c r="R120" s="711"/>
      <c r="S120" s="711"/>
      <c r="T120" s="711"/>
      <c r="U120" s="711"/>
    </row>
    <row r="121" customFormat="false" ht="12" hidden="false" customHeight="true" outlineLevel="0" collapsed="false">
      <c r="A121" s="19"/>
      <c r="B121" s="19"/>
      <c r="C121" s="19"/>
      <c r="D121" s="19"/>
      <c r="E121" s="19"/>
      <c r="F121" s="19"/>
      <c r="G121" s="19"/>
      <c r="H121" s="19"/>
      <c r="I121" s="19"/>
      <c r="J121" s="19"/>
      <c r="K121" s="19"/>
      <c r="L121" s="19"/>
      <c r="M121" s="19"/>
      <c r="N121" s="19"/>
      <c r="O121" s="19"/>
      <c r="P121" s="19"/>
      <c r="Q121" s="19"/>
      <c r="R121" s="711"/>
      <c r="S121" s="711"/>
      <c r="T121" s="711"/>
      <c r="U121" s="711"/>
    </row>
    <row r="122" customFormat="false" ht="12" hidden="false" customHeight="true" outlineLevel="0" collapsed="false">
      <c r="A122" s="19"/>
      <c r="B122" s="19"/>
      <c r="C122" s="19"/>
      <c r="D122" s="19"/>
      <c r="E122" s="19"/>
      <c r="F122" s="19"/>
      <c r="G122" s="19"/>
      <c r="H122" s="19"/>
      <c r="I122" s="19"/>
      <c r="J122" s="19"/>
      <c r="K122" s="19"/>
      <c r="L122" s="19"/>
      <c r="M122" s="19"/>
      <c r="N122" s="19"/>
      <c r="O122" s="19"/>
      <c r="P122" s="19"/>
      <c r="Q122" s="19"/>
      <c r="R122" s="711"/>
      <c r="S122" s="711"/>
      <c r="T122" s="711"/>
      <c r="U122" s="711"/>
    </row>
    <row r="123" customFormat="false" ht="12" hidden="false" customHeight="true" outlineLevel="0" collapsed="false">
      <c r="A123" s="19"/>
      <c r="B123" s="19"/>
      <c r="C123" s="19"/>
      <c r="D123" s="19"/>
      <c r="E123" s="19"/>
      <c r="F123" s="19"/>
      <c r="G123" s="19"/>
      <c r="H123" s="19"/>
      <c r="I123" s="19"/>
      <c r="J123" s="19"/>
      <c r="K123" s="19"/>
      <c r="L123" s="19"/>
      <c r="M123" s="19"/>
      <c r="N123" s="19"/>
      <c r="O123" s="19"/>
      <c r="P123" s="19"/>
      <c r="Q123" s="19"/>
      <c r="R123" s="711"/>
      <c r="S123" s="711"/>
      <c r="T123" s="711"/>
      <c r="U123" s="711"/>
    </row>
    <row r="124" customFormat="false" ht="12" hidden="false" customHeight="true" outlineLevel="0" collapsed="false">
      <c r="A124" s="19"/>
      <c r="B124" s="19"/>
      <c r="C124" s="19"/>
      <c r="D124" s="19"/>
      <c r="E124" s="19"/>
      <c r="F124" s="19"/>
      <c r="G124" s="19"/>
      <c r="H124" s="19"/>
      <c r="I124" s="19"/>
      <c r="J124" s="19"/>
      <c r="K124" s="19"/>
      <c r="L124" s="19"/>
      <c r="M124" s="19"/>
      <c r="N124" s="19"/>
      <c r="O124" s="19"/>
      <c r="P124" s="19"/>
      <c r="Q124" s="19"/>
      <c r="R124" s="711"/>
      <c r="S124" s="711"/>
      <c r="T124" s="711"/>
      <c r="U124" s="711"/>
    </row>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6" min="1" style="1" width="8.88"/>
    <col collapsed="false" customWidth="true" hidden="false" outlineLevel="0" max="26" min="7" style="1" width="14.38"/>
  </cols>
  <sheetData>
    <row r="1" customFormat="false" ht="12" hidden="false" customHeight="true" outlineLevel="0" collapsed="false"/>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row r="6" customFormat="false" ht="12" hidden="false" customHeight="true" outlineLevel="0" collapsed="false"/>
    <row r="7" customFormat="false" ht="12" hidden="false" customHeight="true" outlineLevel="0" collapsed="false"/>
    <row r="8" customFormat="false" ht="12" hidden="false" customHeight="true" outlineLevel="0" collapsed="false"/>
    <row r="9" customFormat="false" ht="12" hidden="false" customHeight="true" outlineLevel="0" collapsed="false"/>
    <row r="10" customFormat="false" ht="12" hidden="false" customHeight="true" outlineLevel="0" collapsed="false"/>
    <row r="11" customFormat="false" ht="12" hidden="false" customHeight="true" outlineLevel="0" collapsed="false"/>
    <row r="12" customFormat="false" ht="12" hidden="false" customHeight="true" outlineLevel="0" collapsed="false"/>
    <row r="13" customFormat="false" ht="12" hidden="false" customHeight="true" outlineLevel="0" collapsed="false"/>
    <row r="14" customFormat="false" ht="12" hidden="false" customHeight="true" outlineLevel="0" collapsed="false"/>
    <row r="15" customFormat="false" ht="12" hidden="false" customHeight="true" outlineLevel="0" collapsed="false"/>
    <row r="16" customFormat="false" ht="12" hidden="false" customHeight="true" outlineLevel="0" collapsed="false"/>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S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2" min="1" style="1" width="8.88"/>
    <col collapsed="false" customWidth="true" hidden="false" outlineLevel="0" max="3" min="3" style="1" width="9.75"/>
    <col collapsed="false" customWidth="true" hidden="false" outlineLevel="0" max="10" min="4" style="1" width="8.88"/>
    <col collapsed="false" customWidth="true" hidden="false" outlineLevel="0" max="11" min="11" style="1" width="12.88"/>
    <col collapsed="false" customWidth="true" hidden="false" outlineLevel="0" max="12" min="12" style="1" width="10.38"/>
    <col collapsed="false" customWidth="true" hidden="false" outlineLevel="0" max="13" min="13" style="1" width="13.38"/>
    <col collapsed="false" customWidth="true" hidden="false" outlineLevel="0" max="19" min="14" style="1" width="8.88"/>
    <col collapsed="false" customWidth="true" hidden="false" outlineLevel="0" max="26" min="20" style="1" width="14.38"/>
  </cols>
  <sheetData>
    <row r="1" customFormat="false" ht="18" hidden="false" customHeight="true" outlineLevel="0" collapsed="false">
      <c r="A1" s="39" t="s">
        <v>980</v>
      </c>
      <c r="B1" s="10"/>
      <c r="C1" s="10"/>
      <c r="D1" s="10"/>
      <c r="E1" s="10"/>
      <c r="F1" s="10"/>
      <c r="G1" s="10"/>
      <c r="H1" s="10"/>
      <c r="I1" s="10"/>
      <c r="J1" s="10"/>
      <c r="K1" s="10"/>
      <c r="L1" s="10"/>
      <c r="M1" s="10"/>
      <c r="N1" s="10"/>
      <c r="O1" s="10"/>
      <c r="P1" s="10"/>
      <c r="Q1" s="10"/>
      <c r="R1" s="10"/>
      <c r="S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row>
    <row r="3" customFormat="false" ht="12" hidden="false" customHeight="true" outlineLevel="0" collapsed="false">
      <c r="A3" s="19"/>
      <c r="B3" s="19"/>
      <c r="C3" s="19"/>
      <c r="D3" s="19"/>
      <c r="E3" s="19"/>
      <c r="F3" s="19"/>
      <c r="G3" s="19"/>
      <c r="H3" s="19"/>
      <c r="I3" s="19"/>
      <c r="J3" s="19"/>
      <c r="K3" s="19"/>
      <c r="L3" s="19"/>
      <c r="M3" s="19"/>
      <c r="N3" s="19"/>
      <c r="O3" s="19"/>
      <c r="P3" s="19"/>
      <c r="Q3" s="19"/>
      <c r="R3" s="19"/>
      <c r="S3" s="19"/>
    </row>
    <row r="4" customFormat="false" ht="12" hidden="false" customHeight="true" outlineLevel="0" collapsed="false">
      <c r="A4" s="19"/>
      <c r="B4" s="23" t="s">
        <v>203</v>
      </c>
      <c r="C4" s="19"/>
      <c r="D4" s="19"/>
      <c r="E4" s="19"/>
      <c r="F4" s="19"/>
      <c r="G4" s="19"/>
      <c r="H4" s="19"/>
      <c r="I4" s="19"/>
      <c r="J4" s="19"/>
      <c r="K4" s="19"/>
      <c r="L4" s="19"/>
      <c r="M4" s="19"/>
      <c r="N4" s="19"/>
      <c r="O4" s="19"/>
      <c r="P4" s="19"/>
      <c r="Q4" s="19"/>
      <c r="R4" s="19"/>
      <c r="S4" s="19"/>
    </row>
    <row r="5" customFormat="false" ht="12" hidden="false" customHeight="true" outlineLevel="0" collapsed="false">
      <c r="A5" s="19"/>
      <c r="B5" s="19"/>
      <c r="C5" s="19"/>
      <c r="D5" s="19"/>
      <c r="E5" s="19"/>
      <c r="F5" s="19"/>
      <c r="G5" s="19"/>
      <c r="H5" s="19"/>
      <c r="I5" s="19"/>
      <c r="J5" s="19"/>
      <c r="K5" s="19"/>
      <c r="L5" s="19"/>
      <c r="M5" s="19"/>
      <c r="N5" s="19"/>
      <c r="O5" s="19"/>
      <c r="P5" s="19"/>
      <c r="Q5" s="19"/>
      <c r="R5" s="19"/>
      <c r="S5" s="19"/>
    </row>
    <row r="6" customFormat="false" ht="12" hidden="false" customHeight="true" outlineLevel="0" collapsed="false">
      <c r="A6" s="19"/>
      <c r="B6" s="19"/>
      <c r="C6" s="19"/>
      <c r="D6" s="19"/>
      <c r="E6" s="19"/>
      <c r="F6" s="19"/>
      <c r="G6" s="19"/>
      <c r="H6" s="19"/>
      <c r="I6" s="19"/>
      <c r="J6" s="19"/>
      <c r="K6" s="19"/>
      <c r="L6" s="19"/>
      <c r="M6" s="19"/>
      <c r="N6" s="19"/>
      <c r="O6" s="19"/>
      <c r="P6" s="19"/>
      <c r="Q6" s="19"/>
      <c r="R6" s="19"/>
      <c r="S6" s="19"/>
    </row>
    <row r="7" customFormat="false" ht="12" hidden="false" customHeight="true" outlineLevel="0" collapsed="false">
      <c r="A7" s="19"/>
      <c r="B7" s="61" t="s">
        <v>981</v>
      </c>
      <c r="C7" s="46"/>
      <c r="D7" s="45"/>
      <c r="E7" s="19"/>
      <c r="F7" s="19"/>
      <c r="G7" s="19"/>
      <c r="H7" s="19"/>
      <c r="I7" s="19"/>
      <c r="J7" s="19"/>
      <c r="K7" s="19"/>
      <c r="L7" s="19"/>
      <c r="M7" s="19"/>
      <c r="N7" s="19"/>
      <c r="O7" s="19"/>
      <c r="P7" s="19"/>
      <c r="Q7" s="19"/>
      <c r="R7" s="19"/>
      <c r="S7" s="19"/>
    </row>
    <row r="8" customFormat="false" ht="12" hidden="false" customHeight="true" outlineLevel="0" collapsed="false">
      <c r="A8" s="19"/>
      <c r="B8" s="19"/>
      <c r="C8" s="19"/>
      <c r="D8" s="19"/>
      <c r="E8" s="19"/>
      <c r="F8" s="19"/>
      <c r="G8" s="19"/>
      <c r="H8" s="19"/>
      <c r="I8" s="19"/>
      <c r="J8" s="19"/>
      <c r="K8" s="19"/>
      <c r="L8" s="19"/>
      <c r="M8" s="19"/>
      <c r="N8" s="19"/>
      <c r="O8" s="19"/>
      <c r="P8" s="19"/>
      <c r="Q8" s="19"/>
      <c r="R8" s="19"/>
      <c r="S8" s="19"/>
    </row>
    <row r="9" customFormat="false" ht="12" hidden="false" customHeight="true" outlineLevel="0" collapsed="false">
      <c r="A9" s="19"/>
      <c r="B9" s="19"/>
      <c r="C9" s="19"/>
      <c r="D9" s="19"/>
      <c r="E9" s="19"/>
      <c r="F9" s="19"/>
      <c r="G9" s="19"/>
      <c r="H9" s="19"/>
      <c r="I9" s="19"/>
      <c r="J9" s="19"/>
      <c r="K9" s="19"/>
      <c r="L9" s="19"/>
      <c r="M9" s="19"/>
      <c r="N9" s="19"/>
      <c r="O9" s="19"/>
      <c r="P9" s="19"/>
      <c r="Q9" s="19"/>
      <c r="R9" s="19"/>
      <c r="S9" s="19"/>
    </row>
    <row r="10" customFormat="false" ht="12" hidden="false" customHeight="true" outlineLevel="0" collapsed="false">
      <c r="A10" s="19"/>
      <c r="B10" s="19"/>
      <c r="C10" s="21" t="s">
        <v>982</v>
      </c>
      <c r="D10" s="19"/>
      <c r="E10" s="19"/>
      <c r="F10" s="19"/>
      <c r="G10" s="792" t="s">
        <v>983</v>
      </c>
      <c r="H10" s="19"/>
      <c r="I10" s="19"/>
      <c r="J10" s="19"/>
      <c r="K10" s="19"/>
      <c r="L10" s="19"/>
      <c r="M10" s="19"/>
      <c r="N10" s="19"/>
      <c r="O10" s="19"/>
      <c r="P10" s="19"/>
      <c r="Q10" s="19"/>
      <c r="R10" s="19"/>
      <c r="S10" s="19"/>
    </row>
    <row r="11" customFormat="false" ht="12" hidden="false" customHeight="true" outlineLevel="0" collapsed="false">
      <c r="A11" s="19"/>
      <c r="B11" s="19"/>
      <c r="C11" s="19"/>
      <c r="D11" s="19"/>
      <c r="E11" s="19"/>
      <c r="F11" s="19"/>
      <c r="G11" s="19"/>
      <c r="H11" s="19"/>
      <c r="I11" s="19"/>
      <c r="J11" s="19"/>
      <c r="K11" s="19"/>
      <c r="L11" s="19"/>
      <c r="M11" s="19"/>
      <c r="N11" s="19"/>
      <c r="O11" s="19"/>
      <c r="P11" s="19"/>
      <c r="Q11" s="19"/>
      <c r="R11" s="19"/>
      <c r="S11" s="19"/>
    </row>
    <row r="12" customFormat="false" ht="12" hidden="false" customHeight="true" outlineLevel="0" collapsed="false">
      <c r="A12" s="19"/>
      <c r="B12" s="19"/>
      <c r="C12" s="19"/>
      <c r="D12" s="19"/>
      <c r="E12" s="19"/>
      <c r="F12" s="19"/>
      <c r="G12" s="19"/>
      <c r="H12" s="19"/>
      <c r="I12" s="19"/>
      <c r="J12" s="19"/>
      <c r="K12" s="19"/>
      <c r="L12" s="19"/>
      <c r="M12" s="19"/>
      <c r="N12" s="19"/>
      <c r="O12" s="19"/>
      <c r="P12" s="19"/>
      <c r="Q12" s="19"/>
      <c r="R12" s="19"/>
      <c r="S12" s="19"/>
    </row>
    <row r="13" customFormat="false" ht="12" hidden="false" customHeight="true" outlineLevel="0" collapsed="false">
      <c r="A13" s="19"/>
      <c r="B13" s="19"/>
      <c r="C13" s="21" t="s">
        <v>984</v>
      </c>
      <c r="D13" s="19"/>
      <c r="E13" s="19"/>
      <c r="F13" s="19"/>
      <c r="G13" s="792" t="s">
        <v>985</v>
      </c>
      <c r="H13" s="19"/>
      <c r="I13" s="19"/>
      <c r="J13" s="19"/>
      <c r="K13" s="19"/>
      <c r="L13" s="19"/>
      <c r="M13" s="19"/>
      <c r="N13" s="19"/>
      <c r="O13" s="19"/>
      <c r="P13" s="19"/>
      <c r="Q13" s="19"/>
      <c r="R13" s="19"/>
      <c r="S13" s="19"/>
    </row>
    <row r="14" customFormat="false" ht="12" hidden="false" customHeight="true" outlineLevel="0" collapsed="false">
      <c r="A14" s="19"/>
      <c r="B14" s="19"/>
      <c r="C14" s="19"/>
      <c r="D14" s="19"/>
      <c r="E14" s="19"/>
      <c r="F14" s="19"/>
      <c r="G14" s="19"/>
      <c r="H14" s="19"/>
      <c r="I14" s="19"/>
      <c r="J14" s="19"/>
      <c r="K14" s="19"/>
      <c r="L14" s="19"/>
      <c r="M14" s="19"/>
      <c r="N14" s="19"/>
      <c r="O14" s="19"/>
      <c r="P14" s="19"/>
      <c r="Q14" s="19"/>
      <c r="R14" s="19"/>
      <c r="S14" s="19"/>
    </row>
    <row r="15" customFormat="false" ht="12" hidden="false" customHeight="true" outlineLevel="0" collapsed="false">
      <c r="A15" s="19"/>
      <c r="B15" s="19"/>
      <c r="C15" s="19"/>
      <c r="D15" s="19"/>
      <c r="E15" s="19"/>
      <c r="F15" s="19"/>
      <c r="G15" s="19"/>
      <c r="H15" s="19"/>
      <c r="I15" s="19"/>
      <c r="J15" s="19"/>
      <c r="K15" s="19"/>
      <c r="L15" s="19"/>
      <c r="M15" s="19"/>
      <c r="N15" s="19"/>
      <c r="O15" s="19"/>
      <c r="P15" s="19"/>
      <c r="Q15" s="19"/>
      <c r="R15" s="19"/>
      <c r="S15" s="19"/>
    </row>
    <row r="16" customFormat="false" ht="12" hidden="false" customHeight="true" outlineLevel="0" collapsed="false">
      <c r="A16" s="19"/>
      <c r="B16" s="19"/>
      <c r="C16" s="21" t="s">
        <v>986</v>
      </c>
      <c r="D16" s="19"/>
      <c r="E16" s="19"/>
      <c r="F16" s="19"/>
      <c r="G16" s="19"/>
      <c r="H16" s="19"/>
      <c r="I16" s="19"/>
      <c r="J16" s="19"/>
      <c r="K16" s="19"/>
      <c r="L16" s="19"/>
      <c r="M16" s="19"/>
      <c r="N16" s="19"/>
      <c r="O16" s="19"/>
      <c r="P16" s="19"/>
      <c r="Q16" s="19"/>
      <c r="R16" s="19"/>
      <c r="S16" s="19"/>
    </row>
    <row r="17" customFormat="false" ht="12" hidden="false" customHeight="true" outlineLevel="0" collapsed="false">
      <c r="A17" s="19"/>
      <c r="B17" s="19"/>
      <c r="C17" s="19"/>
      <c r="D17" s="19"/>
      <c r="E17" s="19"/>
      <c r="F17" s="19"/>
      <c r="G17" s="792" t="s">
        <v>987</v>
      </c>
      <c r="H17" s="19"/>
      <c r="I17" s="19"/>
      <c r="J17" s="19"/>
      <c r="K17" s="19"/>
      <c r="L17" s="19"/>
      <c r="M17" s="19"/>
      <c r="N17" s="19"/>
      <c r="O17" s="19"/>
      <c r="P17" s="19"/>
      <c r="Q17" s="19"/>
      <c r="R17" s="19"/>
      <c r="S17" s="19"/>
    </row>
    <row r="18" customFormat="false" ht="12" hidden="false" customHeight="true" outlineLevel="0" collapsed="false">
      <c r="A18" s="19"/>
      <c r="B18" s="19"/>
      <c r="C18" s="19"/>
      <c r="D18" s="19"/>
      <c r="E18" s="19"/>
      <c r="F18" s="19"/>
      <c r="G18" s="19"/>
      <c r="H18" s="19"/>
      <c r="I18" s="19"/>
      <c r="J18" s="19"/>
      <c r="K18" s="19"/>
      <c r="L18" s="19"/>
      <c r="M18" s="19"/>
      <c r="N18" s="19"/>
      <c r="O18" s="19"/>
      <c r="P18" s="19"/>
      <c r="Q18" s="19"/>
      <c r="R18" s="19"/>
      <c r="S18" s="19"/>
    </row>
    <row r="19" customFormat="false" ht="12" hidden="false" customHeight="true" outlineLevel="0" collapsed="false">
      <c r="A19" s="19"/>
      <c r="B19" s="19"/>
      <c r="C19" s="19"/>
      <c r="D19" s="19"/>
      <c r="E19" s="19"/>
      <c r="F19" s="19"/>
      <c r="G19" s="792" t="s">
        <v>988</v>
      </c>
      <c r="H19" s="19"/>
      <c r="I19" s="19"/>
      <c r="J19" s="19"/>
      <c r="K19" s="19"/>
      <c r="L19" s="19"/>
      <c r="M19" s="19"/>
      <c r="N19" s="19"/>
      <c r="O19" s="19"/>
      <c r="P19" s="19"/>
      <c r="Q19" s="19"/>
      <c r="R19" s="19"/>
      <c r="S19" s="19"/>
    </row>
    <row r="20" customFormat="false" ht="12" hidden="false" customHeight="true" outlineLevel="0" collapsed="false">
      <c r="A20" s="19"/>
      <c r="B20" s="19"/>
      <c r="C20" s="19"/>
      <c r="D20" s="19"/>
      <c r="E20" s="19"/>
      <c r="F20" s="19"/>
      <c r="G20" s="792"/>
      <c r="H20" s="19"/>
      <c r="I20" s="19"/>
      <c r="J20" s="19"/>
      <c r="K20" s="19"/>
      <c r="L20" s="19"/>
      <c r="M20" s="19"/>
      <c r="N20" s="19"/>
      <c r="O20" s="19"/>
      <c r="P20" s="19"/>
      <c r="Q20" s="19"/>
      <c r="R20" s="19"/>
      <c r="S20" s="19"/>
    </row>
    <row r="21" customFormat="false" ht="12" hidden="false" customHeight="true" outlineLevel="0" collapsed="false">
      <c r="A21" s="19"/>
      <c r="B21" s="19"/>
      <c r="C21" s="19"/>
      <c r="D21" s="19"/>
      <c r="E21" s="19"/>
      <c r="F21" s="19"/>
      <c r="G21" s="19"/>
      <c r="H21" s="19"/>
      <c r="I21" s="19"/>
      <c r="J21" s="19"/>
      <c r="K21" s="19"/>
      <c r="L21" s="19"/>
      <c r="M21" s="19"/>
      <c r="N21" s="19"/>
      <c r="O21" s="19"/>
      <c r="P21" s="19"/>
      <c r="Q21" s="19"/>
      <c r="R21" s="19"/>
      <c r="S21" s="19"/>
    </row>
    <row r="22" customFormat="false" ht="12" hidden="false" customHeight="true" outlineLevel="0" collapsed="false">
      <c r="A22" s="19"/>
      <c r="B22" s="19"/>
      <c r="C22" s="21" t="s">
        <v>989</v>
      </c>
      <c r="D22" s="19"/>
      <c r="E22" s="19"/>
      <c r="F22" s="19"/>
      <c r="G22" s="792" t="s">
        <v>990</v>
      </c>
      <c r="H22" s="19"/>
      <c r="I22" s="19"/>
      <c r="J22" s="19"/>
      <c r="K22" s="19"/>
      <c r="L22" s="19"/>
      <c r="M22" s="19"/>
      <c r="N22" s="19"/>
      <c r="O22" s="19"/>
      <c r="P22" s="19"/>
      <c r="Q22" s="19"/>
      <c r="R22" s="19"/>
      <c r="S22" s="19"/>
    </row>
    <row r="23" customFormat="false" ht="12" hidden="false" customHeight="true" outlineLevel="0" collapsed="false">
      <c r="A23" s="19"/>
      <c r="B23" s="19"/>
      <c r="C23" s="19"/>
      <c r="D23" s="19"/>
      <c r="E23" s="19"/>
      <c r="F23" s="19"/>
      <c r="G23" s="19"/>
      <c r="H23" s="19"/>
      <c r="I23" s="19"/>
      <c r="J23" s="19"/>
      <c r="K23" s="19"/>
      <c r="L23" s="19"/>
      <c r="M23" s="19"/>
      <c r="N23" s="19"/>
      <c r="O23" s="19"/>
      <c r="P23" s="19"/>
      <c r="Q23" s="19"/>
      <c r="R23" s="19"/>
      <c r="S23" s="19"/>
    </row>
    <row r="24" customFormat="false" ht="12" hidden="false" customHeight="true" outlineLevel="0" collapsed="false">
      <c r="A24" s="19"/>
      <c r="B24" s="19"/>
      <c r="C24" s="21" t="s">
        <v>991</v>
      </c>
      <c r="D24" s="19"/>
      <c r="E24" s="19"/>
      <c r="F24" s="19"/>
      <c r="G24" s="792" t="s">
        <v>992</v>
      </c>
      <c r="H24" s="19"/>
      <c r="I24" s="19"/>
      <c r="J24" s="19"/>
      <c r="K24" s="19"/>
      <c r="L24" s="19"/>
      <c r="M24" s="19"/>
      <c r="N24" s="19"/>
      <c r="O24" s="19"/>
      <c r="P24" s="19"/>
      <c r="Q24" s="19"/>
      <c r="R24" s="19"/>
      <c r="S24" s="19"/>
    </row>
    <row r="25" customFormat="false" ht="12" hidden="false" customHeight="true" outlineLevel="0" collapsed="false">
      <c r="A25" s="19"/>
      <c r="B25" s="19"/>
      <c r="C25" s="19"/>
      <c r="D25" s="19"/>
      <c r="E25" s="19"/>
      <c r="F25" s="19"/>
      <c r="G25" s="19"/>
      <c r="H25" s="19"/>
      <c r="I25" s="19"/>
      <c r="J25" s="19"/>
      <c r="K25" s="19"/>
      <c r="L25" s="19"/>
      <c r="M25" s="19"/>
      <c r="N25" s="19"/>
      <c r="O25" s="19"/>
      <c r="P25" s="19"/>
      <c r="Q25" s="19"/>
      <c r="R25" s="19"/>
      <c r="S25" s="19"/>
    </row>
    <row r="26" customFormat="false" ht="12" hidden="false" customHeight="true" outlineLevel="0" collapsed="false">
      <c r="A26" s="19"/>
      <c r="B26" s="19"/>
      <c r="C26" s="19"/>
      <c r="D26" s="19"/>
      <c r="E26" s="19"/>
      <c r="F26" s="19"/>
      <c r="G26" s="19"/>
      <c r="H26" s="19"/>
      <c r="I26" s="19"/>
      <c r="J26" s="19"/>
      <c r="K26" s="19"/>
      <c r="L26" s="19"/>
      <c r="M26" s="19"/>
      <c r="N26" s="19"/>
      <c r="O26" s="19"/>
      <c r="P26" s="19"/>
      <c r="Q26" s="19"/>
      <c r="R26" s="19"/>
      <c r="S26" s="19"/>
    </row>
    <row r="27" customFormat="false" ht="12" hidden="false" customHeight="true" outlineLevel="0" collapsed="false">
      <c r="A27" s="19"/>
      <c r="B27" s="19"/>
      <c r="C27" s="19"/>
      <c r="D27" s="19"/>
      <c r="E27" s="19"/>
      <c r="F27" s="19"/>
      <c r="G27" s="19"/>
      <c r="H27" s="19"/>
      <c r="I27" s="19"/>
      <c r="J27" s="19"/>
      <c r="K27" s="19"/>
      <c r="L27" s="19"/>
      <c r="M27" s="19"/>
      <c r="N27" s="19"/>
      <c r="O27" s="19"/>
      <c r="P27" s="19"/>
      <c r="Q27" s="19"/>
      <c r="R27" s="19"/>
      <c r="S27" s="19"/>
    </row>
    <row r="28" customFormat="false" ht="12" hidden="false" customHeight="true" outlineLevel="0" collapsed="false">
      <c r="A28" s="19"/>
      <c r="B28" s="61" t="s">
        <v>993</v>
      </c>
      <c r="C28" s="62"/>
      <c r="D28" s="19"/>
      <c r="E28" s="19"/>
      <c r="F28" s="19"/>
      <c r="G28" s="19"/>
      <c r="H28" s="19"/>
      <c r="I28" s="19"/>
      <c r="J28" s="19"/>
      <c r="K28" s="19"/>
      <c r="L28" s="19"/>
      <c r="M28" s="19"/>
      <c r="N28" s="19"/>
      <c r="O28" s="19"/>
      <c r="P28" s="19"/>
      <c r="Q28" s="19"/>
      <c r="R28" s="19"/>
      <c r="S28" s="19"/>
    </row>
    <row r="29" customFormat="false" ht="12" hidden="false" customHeight="true" outlineLevel="0" collapsed="false">
      <c r="A29" s="19"/>
      <c r="B29" s="19"/>
      <c r="C29" s="19"/>
      <c r="D29" s="19"/>
      <c r="E29" s="19"/>
      <c r="F29" s="19"/>
      <c r="G29" s="19"/>
      <c r="H29" s="19"/>
      <c r="I29" s="19"/>
      <c r="J29" s="19"/>
      <c r="K29" s="19"/>
      <c r="L29" s="19"/>
      <c r="M29" s="19"/>
      <c r="N29" s="19"/>
      <c r="O29" s="19"/>
      <c r="P29" s="19"/>
      <c r="Q29" s="19"/>
      <c r="R29" s="19"/>
      <c r="S29" s="19"/>
    </row>
    <row r="30" customFormat="false" ht="12.75" hidden="false" customHeight="true" outlineLevel="0" collapsed="false">
      <c r="A30" s="19"/>
      <c r="B30" s="19"/>
      <c r="C30" s="19"/>
      <c r="D30" s="19"/>
      <c r="E30" s="19"/>
      <c r="F30" s="19"/>
      <c r="G30" s="19"/>
      <c r="H30" s="19"/>
      <c r="I30" s="19"/>
      <c r="J30" s="19"/>
      <c r="K30" s="19"/>
      <c r="L30" s="19"/>
      <c r="M30" s="19"/>
      <c r="N30" s="19"/>
      <c r="O30" s="19"/>
      <c r="P30" s="19"/>
      <c r="Q30" s="19"/>
      <c r="R30" s="19"/>
      <c r="S30" s="19"/>
    </row>
    <row r="31" customFormat="false" ht="12" hidden="false" customHeight="true" outlineLevel="0" collapsed="false">
      <c r="A31" s="19"/>
      <c r="B31" s="793" t="s">
        <v>994</v>
      </c>
      <c r="C31" s="794"/>
      <c r="D31" s="794"/>
      <c r="E31" s="794"/>
      <c r="F31" s="794"/>
      <c r="G31" s="794"/>
      <c r="H31" s="794"/>
      <c r="I31" s="794"/>
      <c r="J31" s="794"/>
      <c r="K31" s="794"/>
      <c r="L31" s="794"/>
      <c r="M31" s="795"/>
      <c r="N31" s="19"/>
      <c r="O31" s="19"/>
      <c r="P31" s="19"/>
      <c r="Q31" s="19"/>
      <c r="R31" s="19"/>
      <c r="S31" s="19"/>
    </row>
    <row r="32" customFormat="false" ht="12" hidden="false" customHeight="true" outlineLevel="0" collapsed="false">
      <c r="A32" s="19"/>
      <c r="B32" s="796"/>
      <c r="C32" s="49" t="s">
        <v>995</v>
      </c>
      <c r="D32" s="49"/>
      <c r="E32" s="49"/>
      <c r="F32" s="49"/>
      <c r="G32" s="49"/>
      <c r="H32" s="49"/>
      <c r="I32" s="49"/>
      <c r="J32" s="49"/>
      <c r="K32" s="49"/>
      <c r="L32" s="49"/>
      <c r="M32" s="389"/>
      <c r="N32" s="19"/>
      <c r="O32" s="19"/>
      <c r="P32" s="19"/>
      <c r="Q32" s="19"/>
      <c r="R32" s="19"/>
      <c r="S32" s="19"/>
    </row>
    <row r="33" customFormat="false" ht="12" hidden="false" customHeight="true" outlineLevel="0" collapsed="false">
      <c r="A33" s="19"/>
      <c r="B33" s="796"/>
      <c r="C33" s="49" t="s">
        <v>996</v>
      </c>
      <c r="D33" s="49"/>
      <c r="E33" s="49"/>
      <c r="F33" s="49"/>
      <c r="G33" s="49"/>
      <c r="H33" s="49"/>
      <c r="I33" s="49"/>
      <c r="J33" s="49"/>
      <c r="K33" s="49"/>
      <c r="L33" s="49"/>
      <c r="M33" s="389"/>
      <c r="N33" s="19"/>
      <c r="O33" s="19"/>
      <c r="P33" s="19"/>
      <c r="Q33" s="19"/>
      <c r="R33" s="19"/>
      <c r="S33" s="19"/>
    </row>
    <row r="34" customFormat="false" ht="12.75" hidden="false" customHeight="true" outlineLevel="0" collapsed="false">
      <c r="A34" s="19"/>
      <c r="B34" s="797"/>
      <c r="C34" s="343" t="s">
        <v>997</v>
      </c>
      <c r="D34" s="343"/>
      <c r="E34" s="343"/>
      <c r="F34" s="343"/>
      <c r="G34" s="343"/>
      <c r="H34" s="343"/>
      <c r="I34" s="343"/>
      <c r="J34" s="343"/>
      <c r="K34" s="343"/>
      <c r="L34" s="343"/>
      <c r="M34" s="381"/>
      <c r="N34" s="19"/>
      <c r="O34" s="19"/>
      <c r="P34" s="19"/>
      <c r="Q34" s="19"/>
      <c r="R34" s="19"/>
      <c r="S34" s="19"/>
    </row>
    <row r="35" customFormat="false" ht="12" hidden="false" customHeight="true" outlineLevel="0" collapsed="false">
      <c r="A35" s="19"/>
      <c r="B35" s="798" t="s">
        <v>998</v>
      </c>
      <c r="C35" s="799" t="s">
        <v>999</v>
      </c>
      <c r="D35" s="800"/>
      <c r="E35" s="800" t="s">
        <v>1000</v>
      </c>
      <c r="F35" s="800"/>
      <c r="G35" s="800"/>
      <c r="H35" s="799" t="s">
        <v>1001</v>
      </c>
      <c r="I35" s="801"/>
      <c r="J35" s="490"/>
      <c r="K35" s="292"/>
      <c r="L35" s="292"/>
      <c r="M35" s="492"/>
      <c r="N35" s="19"/>
      <c r="O35" s="19"/>
      <c r="P35" s="19"/>
      <c r="Q35" s="19"/>
      <c r="R35" s="19"/>
      <c r="S35" s="19"/>
    </row>
    <row r="36" customFormat="false" ht="12" hidden="false" customHeight="true" outlineLevel="0" collapsed="false">
      <c r="A36" s="19"/>
      <c r="B36" s="802" t="n">
        <v>1</v>
      </c>
      <c r="C36" s="803" t="n">
        <v>10</v>
      </c>
      <c r="D36" s="803" t="s">
        <v>314</v>
      </c>
      <c r="E36" s="804" t="n">
        <v>12</v>
      </c>
      <c r="F36" s="803" t="s">
        <v>1002</v>
      </c>
      <c r="G36" s="803"/>
      <c r="H36" s="805" t="n">
        <f aca="false">E36/100</f>
        <v>0.12</v>
      </c>
      <c r="I36" s="806" t="s">
        <v>457</v>
      </c>
      <c r="J36" s="490"/>
      <c r="K36" s="292" t="s">
        <v>0</v>
      </c>
      <c r="L36" s="292"/>
      <c r="M36" s="492"/>
      <c r="N36" s="19"/>
      <c r="O36" s="19"/>
      <c r="P36" s="19"/>
      <c r="Q36" s="19"/>
      <c r="R36" s="19"/>
      <c r="S36" s="19"/>
    </row>
    <row r="37" customFormat="false" ht="12" hidden="false" customHeight="true" outlineLevel="0" collapsed="false">
      <c r="A37" s="19"/>
      <c r="B37" s="802" t="n">
        <v>2</v>
      </c>
      <c r="C37" s="112" t="n">
        <v>30</v>
      </c>
      <c r="D37" s="112" t="s">
        <v>314</v>
      </c>
      <c r="E37" s="804" t="n">
        <v>17</v>
      </c>
      <c r="F37" s="803" t="s">
        <v>1002</v>
      </c>
      <c r="G37" s="803" t="s">
        <v>0</v>
      </c>
      <c r="H37" s="805" t="n">
        <f aca="false">E37/100</f>
        <v>0.17</v>
      </c>
      <c r="I37" s="806" t="s">
        <v>457</v>
      </c>
      <c r="J37" s="490"/>
      <c r="K37" s="292" t="s">
        <v>998</v>
      </c>
      <c r="L37" s="50" t="n">
        <v>8</v>
      </c>
      <c r="M37" s="492"/>
      <c r="N37" s="19"/>
      <c r="O37" s="19"/>
      <c r="P37" s="19"/>
      <c r="Q37" s="19"/>
      <c r="R37" s="19"/>
      <c r="S37" s="19"/>
    </row>
    <row r="38" customFormat="false" ht="12" hidden="false" customHeight="true" outlineLevel="0" collapsed="false">
      <c r="A38" s="19"/>
      <c r="B38" s="802" t="n">
        <v>3</v>
      </c>
      <c r="C38" s="803" t="n">
        <v>50</v>
      </c>
      <c r="D38" s="803" t="s">
        <v>314</v>
      </c>
      <c r="E38" s="804" t="s">
        <v>1003</v>
      </c>
      <c r="F38" s="803" t="s">
        <v>1002</v>
      </c>
      <c r="G38" s="803"/>
      <c r="H38" s="805" t="s">
        <v>1003</v>
      </c>
      <c r="I38" s="806" t="s">
        <v>457</v>
      </c>
      <c r="J38" s="490"/>
      <c r="K38" s="292"/>
      <c r="L38" s="292"/>
      <c r="M38" s="492"/>
      <c r="N38" s="19"/>
      <c r="O38" s="19"/>
      <c r="P38" s="19"/>
      <c r="Q38" s="19"/>
      <c r="R38" s="19"/>
      <c r="S38" s="19"/>
    </row>
    <row r="39" customFormat="false" ht="12" hidden="false" customHeight="true" outlineLevel="0" collapsed="false">
      <c r="A39" s="19"/>
      <c r="B39" s="802" t="n">
        <v>4</v>
      </c>
      <c r="C39" s="803" t="n">
        <v>100</v>
      </c>
      <c r="D39" s="803" t="s">
        <v>314</v>
      </c>
      <c r="E39" s="804" t="n">
        <v>28</v>
      </c>
      <c r="F39" s="803" t="s">
        <v>1002</v>
      </c>
      <c r="G39" s="803"/>
      <c r="H39" s="805" t="n">
        <f aca="false">E39/100</f>
        <v>0.28</v>
      </c>
      <c r="I39" s="806" t="s">
        <v>457</v>
      </c>
      <c r="J39" s="490"/>
      <c r="K39" s="292" t="s">
        <v>309</v>
      </c>
      <c r="L39" s="807" t="n">
        <f aca="false" t="array" ref="L39:L39">INDEX(C36:C48,L37,1)</f>
        <v>435</v>
      </c>
      <c r="M39" s="492"/>
      <c r="N39" s="19"/>
      <c r="O39" s="19"/>
      <c r="P39" s="19"/>
      <c r="Q39" s="19"/>
      <c r="R39" s="19"/>
      <c r="S39" s="19"/>
    </row>
    <row r="40" customFormat="false" ht="12" hidden="false" customHeight="true" outlineLevel="0" collapsed="false">
      <c r="A40" s="19"/>
      <c r="B40" s="802" t="n">
        <v>5</v>
      </c>
      <c r="C40" s="112" t="n">
        <v>145</v>
      </c>
      <c r="D40" s="112" t="s">
        <v>314</v>
      </c>
      <c r="E40" s="804" t="n">
        <v>32</v>
      </c>
      <c r="F40" s="803" t="s">
        <v>1002</v>
      </c>
      <c r="G40" s="803"/>
      <c r="H40" s="805" t="n">
        <f aca="false">E40/100</f>
        <v>0.32</v>
      </c>
      <c r="I40" s="806" t="s">
        <v>457</v>
      </c>
      <c r="J40" s="490"/>
      <c r="K40" s="292"/>
      <c r="L40" s="292"/>
      <c r="M40" s="492"/>
      <c r="N40" s="19"/>
      <c r="O40" s="19"/>
      <c r="P40" s="19"/>
      <c r="Q40" s="19"/>
      <c r="R40" s="19"/>
      <c r="S40" s="19"/>
    </row>
    <row r="41" customFormat="false" ht="12" hidden="false" customHeight="true" outlineLevel="0" collapsed="false">
      <c r="A41" s="19"/>
      <c r="B41" s="802" t="n">
        <v>6</v>
      </c>
      <c r="C41" s="803" t="n">
        <v>200</v>
      </c>
      <c r="D41" s="803" t="s">
        <v>314</v>
      </c>
      <c r="E41" s="804" t="n">
        <v>40</v>
      </c>
      <c r="F41" s="803" t="s">
        <v>1002</v>
      </c>
      <c r="G41" s="803" t="s">
        <v>0</v>
      </c>
      <c r="H41" s="805" t="n">
        <f aca="false">E41/100</f>
        <v>0.4</v>
      </c>
      <c r="I41" s="806" t="s">
        <v>457</v>
      </c>
      <c r="J41" s="490"/>
      <c r="K41" s="292" t="s">
        <v>1004</v>
      </c>
      <c r="L41" s="808" t="n">
        <v>0.1</v>
      </c>
      <c r="M41" s="492"/>
      <c r="N41" s="19"/>
      <c r="O41" s="19"/>
      <c r="P41" s="19"/>
      <c r="Q41" s="19"/>
      <c r="R41" s="19"/>
      <c r="S41" s="19"/>
    </row>
    <row r="42" customFormat="false" ht="12" hidden="false" customHeight="true" outlineLevel="0" collapsed="false">
      <c r="A42" s="19"/>
      <c r="B42" s="802" t="n">
        <v>7</v>
      </c>
      <c r="C42" s="803" t="n">
        <v>400</v>
      </c>
      <c r="D42" s="803" t="s">
        <v>314</v>
      </c>
      <c r="E42" s="804" t="s">
        <v>1003</v>
      </c>
      <c r="F42" s="803" t="s">
        <v>1002</v>
      </c>
      <c r="G42" s="803"/>
      <c r="H42" s="805" t="s">
        <v>1003</v>
      </c>
      <c r="I42" s="806" t="s">
        <v>457</v>
      </c>
      <c r="J42" s="490"/>
      <c r="K42" s="292"/>
      <c r="L42" s="292"/>
      <c r="M42" s="492"/>
      <c r="N42" s="19"/>
      <c r="O42" s="19"/>
      <c r="P42" s="19"/>
      <c r="Q42" s="19"/>
      <c r="R42" s="19"/>
      <c r="S42" s="19"/>
    </row>
    <row r="43" customFormat="false" ht="12" hidden="false" customHeight="true" outlineLevel="0" collapsed="false">
      <c r="A43" s="19"/>
      <c r="B43" s="802" t="n">
        <v>8</v>
      </c>
      <c r="C43" s="112" t="n">
        <v>435</v>
      </c>
      <c r="D43" s="112" t="s">
        <v>314</v>
      </c>
      <c r="E43" s="804" t="n">
        <v>58</v>
      </c>
      <c r="F43" s="803" t="s">
        <v>1002</v>
      </c>
      <c r="G43" s="803"/>
      <c r="H43" s="805" t="n">
        <f aca="false">E43/100</f>
        <v>0.58</v>
      </c>
      <c r="I43" s="806" t="s">
        <v>457</v>
      </c>
      <c r="J43" s="490"/>
      <c r="K43" s="292" t="s">
        <v>1005</v>
      </c>
      <c r="L43" s="809" t="n">
        <f aca="false" t="array" ref="L43:L43">(INDEX(H36:H48,L37,1))*L41</f>
        <v>0.058</v>
      </c>
      <c r="M43" s="492"/>
      <c r="N43" s="19"/>
      <c r="O43" s="19"/>
      <c r="P43" s="19"/>
      <c r="Q43" s="19"/>
      <c r="R43" s="19"/>
      <c r="S43" s="19"/>
    </row>
    <row r="44" customFormat="false" ht="12" hidden="false" customHeight="true" outlineLevel="0" collapsed="false">
      <c r="A44" s="19"/>
      <c r="B44" s="802" t="n">
        <v>9</v>
      </c>
      <c r="C44" s="803" t="n">
        <v>500</v>
      </c>
      <c r="D44" s="803" t="s">
        <v>314</v>
      </c>
      <c r="E44" s="804" t="n">
        <v>68</v>
      </c>
      <c r="F44" s="803" t="s">
        <v>1002</v>
      </c>
      <c r="G44" s="803"/>
      <c r="H44" s="805" t="n">
        <f aca="false">E44/100</f>
        <v>0.68</v>
      </c>
      <c r="I44" s="806" t="s">
        <v>457</v>
      </c>
      <c r="J44" s="490"/>
      <c r="K44" s="292"/>
      <c r="L44" s="292"/>
      <c r="M44" s="492"/>
      <c r="N44" s="19"/>
      <c r="O44" s="19"/>
      <c r="P44" s="19"/>
      <c r="Q44" s="19"/>
      <c r="R44" s="19"/>
      <c r="S44" s="19"/>
    </row>
    <row r="45" customFormat="false" ht="12" hidden="false" customHeight="true" outlineLevel="0" collapsed="false">
      <c r="A45" s="19"/>
      <c r="B45" s="802" t="n">
        <v>10</v>
      </c>
      <c r="C45" s="112" t="n">
        <v>1270</v>
      </c>
      <c r="D45" s="112" t="s">
        <v>314</v>
      </c>
      <c r="E45" s="804" t="n">
        <v>113</v>
      </c>
      <c r="F45" s="803" t="s">
        <v>1002</v>
      </c>
      <c r="G45" s="803"/>
      <c r="H45" s="805" t="n">
        <f aca="false">E45/100</f>
        <v>1.13</v>
      </c>
      <c r="I45" s="806" t="s">
        <v>457</v>
      </c>
      <c r="J45" s="490"/>
      <c r="K45" s="292"/>
      <c r="L45" s="292"/>
      <c r="M45" s="492"/>
      <c r="N45" s="19"/>
      <c r="O45" s="19"/>
      <c r="P45" s="19"/>
      <c r="Q45" s="19"/>
      <c r="R45" s="19"/>
      <c r="S45" s="19"/>
    </row>
    <row r="46" customFormat="false" ht="12" hidden="false" customHeight="true" outlineLevel="0" collapsed="false">
      <c r="A46" s="19"/>
      <c r="B46" s="802" t="n">
        <v>11</v>
      </c>
      <c r="C46" s="112" t="n">
        <v>2400</v>
      </c>
      <c r="D46" s="112" t="s">
        <v>314</v>
      </c>
      <c r="E46" s="804" t="n">
        <v>165</v>
      </c>
      <c r="F46" s="803" t="s">
        <v>1002</v>
      </c>
      <c r="G46" s="803"/>
      <c r="H46" s="805" t="n">
        <f aca="false">E46/100</f>
        <v>1.65</v>
      </c>
      <c r="I46" s="806" t="s">
        <v>457</v>
      </c>
      <c r="J46" s="490"/>
      <c r="K46" s="292"/>
      <c r="L46" s="23" t="s">
        <v>60</v>
      </c>
      <c r="M46" s="492"/>
      <c r="N46" s="19"/>
      <c r="O46" s="19"/>
      <c r="P46" s="19"/>
      <c r="Q46" s="19"/>
      <c r="R46" s="19"/>
      <c r="S46" s="19"/>
    </row>
    <row r="47" customFormat="false" ht="12" hidden="false" customHeight="true" outlineLevel="0" collapsed="false">
      <c r="A47" s="19"/>
      <c r="B47" s="802" t="n">
        <v>12</v>
      </c>
      <c r="C47" s="803" t="n">
        <v>3300</v>
      </c>
      <c r="D47" s="803" t="s">
        <v>314</v>
      </c>
      <c r="E47" s="804" t="n">
        <v>268</v>
      </c>
      <c r="F47" s="803" t="s">
        <v>1002</v>
      </c>
      <c r="G47" s="803"/>
      <c r="H47" s="805" t="n">
        <f aca="false">E47/100</f>
        <v>2.68</v>
      </c>
      <c r="I47" s="806" t="s">
        <v>457</v>
      </c>
      <c r="J47" s="490"/>
      <c r="K47" s="292"/>
      <c r="L47" s="292"/>
      <c r="M47" s="492"/>
      <c r="N47" s="19"/>
      <c r="O47" s="19"/>
      <c r="P47" s="19"/>
      <c r="Q47" s="19"/>
      <c r="R47" s="19"/>
      <c r="S47" s="19"/>
    </row>
    <row r="48" customFormat="false" ht="12.75" hidden="false" customHeight="true" outlineLevel="0" collapsed="false">
      <c r="A48" s="19"/>
      <c r="B48" s="810" t="n">
        <v>13</v>
      </c>
      <c r="C48" s="811" t="n">
        <v>5000</v>
      </c>
      <c r="D48" s="811" t="s">
        <v>314</v>
      </c>
      <c r="E48" s="812" t="s">
        <v>1003</v>
      </c>
      <c r="F48" s="811" t="s">
        <v>1002</v>
      </c>
      <c r="G48" s="811"/>
      <c r="H48" s="813" t="s">
        <v>1003</v>
      </c>
      <c r="I48" s="814" t="s">
        <v>457</v>
      </c>
      <c r="J48" s="495" t="s">
        <v>1006</v>
      </c>
      <c r="K48" s="496"/>
      <c r="L48" s="496"/>
      <c r="M48" s="498"/>
      <c r="N48" s="19"/>
      <c r="O48" s="19"/>
      <c r="P48" s="19"/>
      <c r="Q48" s="19"/>
      <c r="R48" s="19"/>
      <c r="S48" s="19"/>
    </row>
    <row r="49" customFormat="false" ht="12" hidden="false" customHeight="true" outlineLevel="0" collapsed="false">
      <c r="A49" s="19"/>
      <c r="B49" s="19"/>
      <c r="C49" s="19"/>
      <c r="D49" s="19"/>
      <c r="E49" s="19"/>
      <c r="F49" s="19"/>
      <c r="G49" s="19"/>
      <c r="H49" s="19"/>
      <c r="I49" s="19"/>
      <c r="J49" s="19"/>
      <c r="K49" s="19"/>
      <c r="L49" s="19"/>
      <c r="M49" s="19"/>
      <c r="N49" s="19"/>
      <c r="O49" s="19"/>
      <c r="P49" s="19"/>
      <c r="Q49" s="19"/>
      <c r="R49" s="19"/>
      <c r="S49" s="19"/>
    </row>
    <row r="50" customFormat="false" ht="12" hidden="false" customHeight="true" outlineLevel="0" collapsed="false">
      <c r="A50" s="19"/>
      <c r="B50" s="19"/>
      <c r="C50" s="19"/>
      <c r="D50" s="19"/>
      <c r="E50" s="19"/>
      <c r="F50" s="19"/>
      <c r="G50" s="19"/>
      <c r="H50" s="19"/>
      <c r="I50" s="19"/>
      <c r="J50" s="19"/>
      <c r="K50" s="19"/>
      <c r="L50" s="19" t="s">
        <v>0</v>
      </c>
      <c r="M50" s="19"/>
      <c r="N50" s="19"/>
      <c r="O50" s="19"/>
      <c r="P50" s="19"/>
      <c r="Q50" s="19"/>
      <c r="R50" s="19"/>
      <c r="S50" s="19"/>
    </row>
    <row r="51" customFormat="false" ht="12.75" hidden="false" customHeight="true" outlineLevel="0" collapsed="false">
      <c r="A51" s="19"/>
      <c r="B51" s="19"/>
      <c r="C51" s="19"/>
      <c r="D51" s="19"/>
      <c r="E51" s="19"/>
      <c r="F51" s="19"/>
      <c r="G51" s="19"/>
      <c r="H51" s="19"/>
      <c r="I51" s="19"/>
      <c r="J51" s="19"/>
      <c r="K51" s="19"/>
      <c r="L51" s="19"/>
      <c r="M51" s="19"/>
      <c r="N51" s="19"/>
      <c r="O51" s="19"/>
      <c r="P51" s="19"/>
      <c r="Q51" s="19"/>
      <c r="R51" s="19"/>
      <c r="S51" s="19"/>
    </row>
    <row r="52" customFormat="false" ht="12" hidden="false" customHeight="true" outlineLevel="0" collapsed="false">
      <c r="A52" s="19"/>
      <c r="B52" s="793" t="s">
        <v>1007</v>
      </c>
      <c r="C52" s="794"/>
      <c r="D52" s="794"/>
      <c r="E52" s="794"/>
      <c r="F52" s="794"/>
      <c r="G52" s="794"/>
      <c r="H52" s="794"/>
      <c r="I52" s="794"/>
      <c r="J52" s="794"/>
      <c r="K52" s="794"/>
      <c r="L52" s="794"/>
      <c r="M52" s="795"/>
      <c r="N52" s="19"/>
      <c r="O52" s="19"/>
      <c r="P52" s="19"/>
      <c r="Q52" s="19"/>
      <c r="R52" s="19"/>
      <c r="S52" s="19"/>
    </row>
    <row r="53" customFormat="false" ht="12" hidden="false" customHeight="true" outlineLevel="0" collapsed="false">
      <c r="A53" s="19"/>
      <c r="B53" s="796"/>
      <c r="C53" s="49" t="s">
        <v>1008</v>
      </c>
      <c r="D53" s="49"/>
      <c r="E53" s="49"/>
      <c r="F53" s="49"/>
      <c r="G53" s="49"/>
      <c r="H53" s="49"/>
      <c r="I53" s="49"/>
      <c r="J53" s="49"/>
      <c r="K53" s="49"/>
      <c r="L53" s="49"/>
      <c r="M53" s="389"/>
      <c r="N53" s="19"/>
      <c r="O53" s="19"/>
      <c r="P53" s="19"/>
      <c r="Q53" s="19"/>
      <c r="R53" s="19"/>
      <c r="S53" s="19"/>
    </row>
    <row r="54" customFormat="false" ht="12" hidden="false" customHeight="true" outlineLevel="0" collapsed="false">
      <c r="A54" s="19"/>
      <c r="B54" s="796"/>
      <c r="C54" s="49" t="s">
        <v>1009</v>
      </c>
      <c r="D54" s="49"/>
      <c r="E54" s="49"/>
      <c r="F54" s="49"/>
      <c r="G54" s="49"/>
      <c r="H54" s="49"/>
      <c r="I54" s="49"/>
      <c r="J54" s="49"/>
      <c r="K54" s="49"/>
      <c r="L54" s="49"/>
      <c r="M54" s="389"/>
      <c r="N54" s="19"/>
      <c r="O54" s="19"/>
      <c r="P54" s="19"/>
      <c r="Q54" s="19"/>
      <c r="R54" s="19"/>
      <c r="S54" s="19"/>
    </row>
    <row r="55" customFormat="false" ht="12.75" hidden="false" customHeight="true" outlineLevel="0" collapsed="false">
      <c r="A55" s="19"/>
      <c r="B55" s="797"/>
      <c r="C55" s="343" t="s">
        <v>1010</v>
      </c>
      <c r="D55" s="343"/>
      <c r="E55" s="343"/>
      <c r="F55" s="343"/>
      <c r="G55" s="343"/>
      <c r="H55" s="343"/>
      <c r="I55" s="343"/>
      <c r="J55" s="343"/>
      <c r="K55" s="343"/>
      <c r="L55" s="343"/>
      <c r="M55" s="381"/>
      <c r="N55" s="19"/>
      <c r="O55" s="19"/>
      <c r="P55" s="19"/>
      <c r="Q55" s="19"/>
      <c r="R55" s="19"/>
      <c r="S55" s="19"/>
    </row>
    <row r="56" customFormat="false" ht="12" hidden="false" customHeight="true" outlineLevel="0" collapsed="false">
      <c r="A56" s="19"/>
      <c r="B56" s="798" t="s">
        <v>998</v>
      </c>
      <c r="C56" s="799" t="s">
        <v>999</v>
      </c>
      <c r="D56" s="800"/>
      <c r="E56" s="800" t="s">
        <v>1000</v>
      </c>
      <c r="F56" s="800"/>
      <c r="G56" s="800"/>
      <c r="H56" s="799" t="s">
        <v>1001</v>
      </c>
      <c r="I56" s="801"/>
      <c r="J56" s="490"/>
      <c r="K56" s="292"/>
      <c r="L56" s="292"/>
      <c r="M56" s="492"/>
      <c r="N56" s="19"/>
      <c r="O56" s="19"/>
      <c r="P56" s="19"/>
      <c r="Q56" s="19"/>
      <c r="R56" s="19"/>
      <c r="S56" s="19"/>
    </row>
    <row r="57" customFormat="false" ht="12" hidden="false" customHeight="true" outlineLevel="0" collapsed="false">
      <c r="A57" s="19"/>
      <c r="B57" s="802" t="n">
        <v>1</v>
      </c>
      <c r="C57" s="803" t="n">
        <v>10</v>
      </c>
      <c r="D57" s="803" t="s">
        <v>314</v>
      </c>
      <c r="E57" s="804" t="n">
        <v>7</v>
      </c>
      <c r="F57" s="803" t="s">
        <v>1002</v>
      </c>
      <c r="G57" s="803"/>
      <c r="H57" s="805" t="n">
        <f aca="false">E57/100</f>
        <v>0.07</v>
      </c>
      <c r="I57" s="806" t="s">
        <v>457</v>
      </c>
      <c r="J57" s="490"/>
      <c r="K57" s="292" t="s">
        <v>0</v>
      </c>
      <c r="L57" s="292"/>
      <c r="M57" s="492"/>
      <c r="N57" s="19"/>
      <c r="O57" s="19"/>
      <c r="P57" s="19"/>
      <c r="Q57" s="19"/>
      <c r="R57" s="19"/>
      <c r="S57" s="19"/>
    </row>
    <row r="58" customFormat="false" ht="12" hidden="false" customHeight="true" outlineLevel="0" collapsed="false">
      <c r="A58" s="19"/>
      <c r="B58" s="802" t="n">
        <v>2</v>
      </c>
      <c r="C58" s="112" t="n">
        <v>30</v>
      </c>
      <c r="D58" s="112" t="s">
        <v>314</v>
      </c>
      <c r="E58" s="804" t="n">
        <v>9</v>
      </c>
      <c r="F58" s="803" t="s">
        <v>1002</v>
      </c>
      <c r="G58" s="803" t="s">
        <v>0</v>
      </c>
      <c r="H58" s="805" t="n">
        <f aca="false">E58/100</f>
        <v>0.09</v>
      </c>
      <c r="I58" s="806" t="s">
        <v>457</v>
      </c>
      <c r="J58" s="490"/>
      <c r="K58" s="292" t="s">
        <v>998</v>
      </c>
      <c r="L58" s="50" t="n">
        <v>5</v>
      </c>
      <c r="M58" s="492"/>
      <c r="N58" s="19"/>
      <c r="O58" s="19"/>
      <c r="P58" s="19"/>
      <c r="Q58" s="19"/>
      <c r="R58" s="19"/>
      <c r="S58" s="19"/>
    </row>
    <row r="59" customFormat="false" ht="12" hidden="false" customHeight="true" outlineLevel="0" collapsed="false">
      <c r="A59" s="19"/>
      <c r="B59" s="802" t="n">
        <v>3</v>
      </c>
      <c r="C59" s="803" t="n">
        <v>50</v>
      </c>
      <c r="D59" s="803" t="s">
        <v>314</v>
      </c>
      <c r="E59" s="804" t="s">
        <v>1003</v>
      </c>
      <c r="F59" s="803" t="s">
        <v>1002</v>
      </c>
      <c r="G59" s="803"/>
      <c r="H59" s="805" t="s">
        <v>1003</v>
      </c>
      <c r="I59" s="806" t="s">
        <v>457</v>
      </c>
      <c r="J59" s="490"/>
      <c r="K59" s="292"/>
      <c r="L59" s="292"/>
      <c r="M59" s="492"/>
      <c r="N59" s="19"/>
      <c r="O59" s="19"/>
      <c r="P59" s="19"/>
      <c r="Q59" s="19"/>
      <c r="R59" s="19"/>
      <c r="S59" s="19"/>
    </row>
    <row r="60" customFormat="false" ht="12" hidden="false" customHeight="true" outlineLevel="0" collapsed="false">
      <c r="A60" s="19"/>
      <c r="B60" s="802" t="n">
        <v>4</v>
      </c>
      <c r="C60" s="803" t="n">
        <v>100</v>
      </c>
      <c r="D60" s="803" t="s">
        <v>314</v>
      </c>
      <c r="E60" s="804" t="n">
        <v>14</v>
      </c>
      <c r="F60" s="803" t="s">
        <v>1002</v>
      </c>
      <c r="G60" s="803"/>
      <c r="H60" s="805" t="n">
        <f aca="false">E60/100</f>
        <v>0.14</v>
      </c>
      <c r="I60" s="806" t="s">
        <v>457</v>
      </c>
      <c r="J60" s="490"/>
      <c r="K60" s="292" t="s">
        <v>309</v>
      </c>
      <c r="L60" s="807" t="n">
        <f aca="false" t="array" ref="L60:L60">INDEX(C57:C69,L58,1)</f>
        <v>145</v>
      </c>
      <c r="M60" s="492"/>
      <c r="N60" s="19"/>
      <c r="O60" s="19"/>
      <c r="P60" s="19"/>
      <c r="Q60" s="19"/>
      <c r="R60" s="19"/>
      <c r="S60" s="19"/>
    </row>
    <row r="61" customFormat="false" ht="12" hidden="false" customHeight="true" outlineLevel="0" collapsed="false">
      <c r="A61" s="19"/>
      <c r="B61" s="802" t="n">
        <v>5</v>
      </c>
      <c r="C61" s="112" t="n">
        <v>145</v>
      </c>
      <c r="D61" s="112" t="s">
        <v>314</v>
      </c>
      <c r="E61" s="804" t="n">
        <v>15</v>
      </c>
      <c r="F61" s="803" t="s">
        <v>1002</v>
      </c>
      <c r="G61" s="803"/>
      <c r="H61" s="805" t="n">
        <f aca="false">E61/100</f>
        <v>0.15</v>
      </c>
      <c r="I61" s="806" t="s">
        <v>457</v>
      </c>
      <c r="J61" s="490"/>
      <c r="K61" s="292"/>
      <c r="L61" s="292"/>
      <c r="M61" s="492"/>
      <c r="N61" s="19"/>
      <c r="O61" s="19"/>
      <c r="P61" s="19"/>
      <c r="Q61" s="19"/>
      <c r="R61" s="19"/>
      <c r="S61" s="19"/>
    </row>
    <row r="62" customFormat="false" ht="12" hidden="false" customHeight="true" outlineLevel="0" collapsed="false">
      <c r="A62" s="19"/>
      <c r="B62" s="802" t="n">
        <v>6</v>
      </c>
      <c r="C62" s="803" t="n">
        <v>200</v>
      </c>
      <c r="D62" s="803" t="s">
        <v>314</v>
      </c>
      <c r="E62" s="804" t="n">
        <v>20</v>
      </c>
      <c r="F62" s="803" t="s">
        <v>1002</v>
      </c>
      <c r="G62" s="803" t="s">
        <v>0</v>
      </c>
      <c r="H62" s="805" t="n">
        <f aca="false">E62/100</f>
        <v>0.2</v>
      </c>
      <c r="I62" s="806" t="s">
        <v>457</v>
      </c>
      <c r="J62" s="490"/>
      <c r="K62" s="292" t="s">
        <v>1004</v>
      </c>
      <c r="L62" s="808" t="n">
        <v>0.75</v>
      </c>
      <c r="M62" s="492"/>
      <c r="N62" s="19"/>
      <c r="O62" s="19"/>
      <c r="P62" s="19"/>
      <c r="Q62" s="19"/>
      <c r="R62" s="19"/>
      <c r="S62" s="19"/>
    </row>
    <row r="63" customFormat="false" ht="12" hidden="false" customHeight="true" outlineLevel="0" collapsed="false">
      <c r="A63" s="19"/>
      <c r="B63" s="802" t="n">
        <v>7</v>
      </c>
      <c r="C63" s="803" t="n">
        <v>400</v>
      </c>
      <c r="D63" s="803" t="s">
        <v>314</v>
      </c>
      <c r="E63" s="804" t="n">
        <v>28</v>
      </c>
      <c r="F63" s="803" t="s">
        <v>1002</v>
      </c>
      <c r="G63" s="803"/>
      <c r="H63" s="805" t="n">
        <f aca="false">E63/100</f>
        <v>0.28</v>
      </c>
      <c r="I63" s="806" t="s">
        <v>457</v>
      </c>
      <c r="J63" s="490"/>
      <c r="K63" s="292"/>
      <c r="L63" s="292"/>
      <c r="M63" s="492"/>
      <c r="N63" s="19"/>
      <c r="O63" s="19"/>
      <c r="P63" s="19"/>
      <c r="Q63" s="19"/>
      <c r="R63" s="19"/>
      <c r="S63" s="19"/>
    </row>
    <row r="64" customFormat="false" ht="12" hidden="false" customHeight="true" outlineLevel="0" collapsed="false">
      <c r="A64" s="19"/>
      <c r="B64" s="802" t="n">
        <v>8</v>
      </c>
      <c r="C64" s="112" t="n">
        <v>435</v>
      </c>
      <c r="D64" s="112" t="s">
        <v>314</v>
      </c>
      <c r="E64" s="804" t="n">
        <v>30</v>
      </c>
      <c r="F64" s="803" t="s">
        <v>1002</v>
      </c>
      <c r="G64" s="803"/>
      <c r="H64" s="805" t="n">
        <f aca="false">E64/100</f>
        <v>0.3</v>
      </c>
      <c r="I64" s="806" t="s">
        <v>457</v>
      </c>
      <c r="J64" s="490"/>
      <c r="K64" s="292" t="s">
        <v>1005</v>
      </c>
      <c r="L64" s="809" t="n">
        <f aca="false" t="array" ref="L64:L64">(INDEX(H57:H69,L58,1))*L62</f>
        <v>0.1125</v>
      </c>
      <c r="M64" s="492"/>
      <c r="N64" s="19"/>
      <c r="O64" s="19"/>
      <c r="P64" s="19"/>
      <c r="Q64" s="19"/>
      <c r="R64" s="19"/>
      <c r="S64" s="19"/>
    </row>
    <row r="65" customFormat="false" ht="12" hidden="false" customHeight="true" outlineLevel="0" collapsed="false">
      <c r="A65" s="19"/>
      <c r="B65" s="802" t="n">
        <v>9</v>
      </c>
      <c r="C65" s="803" t="n">
        <v>500</v>
      </c>
      <c r="D65" s="803" t="s">
        <v>314</v>
      </c>
      <c r="E65" s="804" t="n">
        <v>35</v>
      </c>
      <c r="F65" s="803" t="s">
        <v>1002</v>
      </c>
      <c r="G65" s="803"/>
      <c r="H65" s="805" t="n">
        <f aca="false">E65/100</f>
        <v>0.35</v>
      </c>
      <c r="I65" s="806" t="s">
        <v>457</v>
      </c>
      <c r="J65" s="490"/>
      <c r="K65" s="292"/>
      <c r="L65" s="292"/>
      <c r="M65" s="492"/>
      <c r="N65" s="19"/>
      <c r="O65" s="19"/>
      <c r="P65" s="19"/>
      <c r="Q65" s="19"/>
      <c r="R65" s="19"/>
      <c r="S65" s="19"/>
    </row>
    <row r="66" customFormat="false" ht="12" hidden="false" customHeight="true" outlineLevel="0" collapsed="false">
      <c r="A66" s="19"/>
      <c r="B66" s="802" t="n">
        <v>10</v>
      </c>
      <c r="C66" s="112" t="n">
        <v>1270</v>
      </c>
      <c r="D66" s="112" t="s">
        <v>314</v>
      </c>
      <c r="E66" s="804" t="n">
        <v>49</v>
      </c>
      <c r="F66" s="803" t="s">
        <v>1002</v>
      </c>
      <c r="G66" s="803"/>
      <c r="H66" s="805" t="n">
        <f aca="false">E66/100</f>
        <v>0.49</v>
      </c>
      <c r="I66" s="806" t="s">
        <v>457</v>
      </c>
      <c r="J66" s="490"/>
      <c r="K66" s="292"/>
      <c r="L66" s="292"/>
      <c r="M66" s="492"/>
      <c r="N66" s="19"/>
      <c r="O66" s="19"/>
      <c r="P66" s="19"/>
      <c r="Q66" s="19"/>
      <c r="R66" s="19"/>
      <c r="S66" s="19"/>
    </row>
    <row r="67" customFormat="false" ht="12" hidden="false" customHeight="true" outlineLevel="0" collapsed="false">
      <c r="A67" s="19"/>
      <c r="B67" s="802" t="n">
        <v>11</v>
      </c>
      <c r="C67" s="112" t="n">
        <v>2400</v>
      </c>
      <c r="D67" s="112" t="s">
        <v>314</v>
      </c>
      <c r="E67" s="804" t="n">
        <v>72</v>
      </c>
      <c r="F67" s="803" t="s">
        <v>1002</v>
      </c>
      <c r="G67" s="803"/>
      <c r="H67" s="805" t="n">
        <f aca="false">E67/100</f>
        <v>0.72</v>
      </c>
      <c r="I67" s="806" t="s">
        <v>457</v>
      </c>
      <c r="J67" s="490"/>
      <c r="K67" s="292"/>
      <c r="L67" s="23" t="s">
        <v>60</v>
      </c>
      <c r="M67" s="492"/>
      <c r="N67" s="19"/>
      <c r="O67" s="19"/>
      <c r="P67" s="19"/>
      <c r="Q67" s="19"/>
      <c r="R67" s="19"/>
      <c r="S67" s="19"/>
    </row>
    <row r="68" customFormat="false" ht="12" hidden="false" customHeight="true" outlineLevel="0" collapsed="false">
      <c r="A68" s="19"/>
      <c r="B68" s="802" t="n">
        <v>12</v>
      </c>
      <c r="C68" s="803" t="n">
        <v>3300</v>
      </c>
      <c r="D68" s="803" t="s">
        <v>314</v>
      </c>
      <c r="E68" s="804" t="n">
        <v>95</v>
      </c>
      <c r="F68" s="803" t="s">
        <v>1002</v>
      </c>
      <c r="G68" s="803"/>
      <c r="H68" s="805" t="n">
        <f aca="false">E68/100</f>
        <v>0.95</v>
      </c>
      <c r="I68" s="806" t="s">
        <v>457</v>
      </c>
      <c r="J68" s="490"/>
      <c r="K68" s="292"/>
      <c r="L68" s="292"/>
      <c r="M68" s="492"/>
      <c r="N68" s="19"/>
      <c r="O68" s="19"/>
      <c r="P68" s="19"/>
      <c r="Q68" s="19"/>
      <c r="R68" s="19"/>
      <c r="S68" s="19"/>
    </row>
    <row r="69" customFormat="false" ht="12.75" hidden="false" customHeight="true" outlineLevel="0" collapsed="false">
      <c r="A69" s="19"/>
      <c r="B69" s="810" t="n">
        <v>13</v>
      </c>
      <c r="C69" s="811" t="n">
        <v>5000</v>
      </c>
      <c r="D69" s="811" t="s">
        <v>314</v>
      </c>
      <c r="E69" s="812" t="n">
        <v>128</v>
      </c>
      <c r="F69" s="811" t="s">
        <v>1002</v>
      </c>
      <c r="G69" s="811"/>
      <c r="H69" s="813" t="n">
        <f aca="false">E69/100</f>
        <v>1.28</v>
      </c>
      <c r="I69" s="814" t="s">
        <v>457</v>
      </c>
      <c r="J69" s="495" t="s">
        <v>1011</v>
      </c>
      <c r="K69" s="496"/>
      <c r="L69" s="496"/>
      <c r="M69" s="498"/>
      <c r="N69" s="19"/>
      <c r="O69" s="19"/>
      <c r="P69" s="19"/>
      <c r="Q69" s="19"/>
      <c r="R69" s="19"/>
      <c r="S69" s="19"/>
    </row>
    <row r="70" customFormat="false" ht="12" hidden="false" customHeight="true" outlineLevel="0" collapsed="false">
      <c r="A70" s="19"/>
      <c r="B70" s="19"/>
      <c r="C70" s="19"/>
      <c r="D70" s="19"/>
      <c r="E70" s="19"/>
      <c r="F70" s="19"/>
      <c r="G70" s="19"/>
      <c r="H70" s="19"/>
      <c r="I70" s="19"/>
      <c r="J70" s="19"/>
      <c r="K70" s="19"/>
      <c r="L70" s="19"/>
      <c r="M70" s="19"/>
      <c r="N70" s="19"/>
      <c r="O70" s="19"/>
      <c r="P70" s="19"/>
      <c r="Q70" s="19"/>
      <c r="R70" s="19"/>
      <c r="S70" s="19"/>
    </row>
    <row r="71" customFormat="false" ht="12" hidden="false" customHeight="true" outlineLevel="0" collapsed="false">
      <c r="A71" s="19" t="s">
        <v>0</v>
      </c>
      <c r="B71" s="19"/>
      <c r="C71" s="19"/>
      <c r="D71" s="19"/>
      <c r="E71" s="19"/>
      <c r="F71" s="19"/>
      <c r="G71" s="19"/>
      <c r="H71" s="19"/>
      <c r="I71" s="19"/>
      <c r="J71" s="19"/>
      <c r="K71" s="19"/>
      <c r="L71" s="19"/>
      <c r="M71" s="19"/>
      <c r="N71" s="19"/>
      <c r="O71" s="19"/>
      <c r="P71" s="19"/>
      <c r="Q71" s="19"/>
      <c r="R71" s="19"/>
      <c r="S71" s="19"/>
    </row>
    <row r="72" customFormat="false" ht="12.75" hidden="false" customHeight="true" outlineLevel="0" collapsed="false">
      <c r="A72" s="19"/>
      <c r="B72" s="19"/>
      <c r="C72" s="19"/>
      <c r="D72" s="19"/>
      <c r="E72" s="19"/>
      <c r="F72" s="19"/>
      <c r="G72" s="19"/>
      <c r="H72" s="19"/>
      <c r="I72" s="19"/>
      <c r="J72" s="19"/>
      <c r="K72" s="19"/>
      <c r="L72" s="19"/>
      <c r="M72" s="19"/>
      <c r="N72" s="19"/>
      <c r="O72" s="19"/>
      <c r="P72" s="19"/>
      <c r="Q72" s="19"/>
      <c r="R72" s="19"/>
      <c r="S72" s="19"/>
    </row>
    <row r="73" customFormat="false" ht="12" hidden="false" customHeight="true" outlineLevel="0" collapsed="false">
      <c r="A73" s="19"/>
      <c r="B73" s="793" t="s">
        <v>1012</v>
      </c>
      <c r="C73" s="794"/>
      <c r="D73" s="794"/>
      <c r="E73" s="794"/>
      <c r="F73" s="794"/>
      <c r="G73" s="794"/>
      <c r="H73" s="794"/>
      <c r="I73" s="794"/>
      <c r="J73" s="794"/>
      <c r="K73" s="794"/>
      <c r="L73" s="794"/>
      <c r="M73" s="795"/>
      <c r="N73" s="19"/>
      <c r="O73" s="19"/>
      <c r="P73" s="19"/>
      <c r="Q73" s="19"/>
      <c r="R73" s="19"/>
      <c r="S73" s="19"/>
    </row>
    <row r="74" customFormat="false" ht="12" hidden="false" customHeight="true" outlineLevel="0" collapsed="false">
      <c r="A74" s="19"/>
      <c r="B74" s="796"/>
      <c r="C74" s="49" t="s">
        <v>1013</v>
      </c>
      <c r="D74" s="49"/>
      <c r="E74" s="49"/>
      <c r="F74" s="49"/>
      <c r="G74" s="49"/>
      <c r="H74" s="49"/>
      <c r="I74" s="49"/>
      <c r="J74" s="49"/>
      <c r="K74" s="49"/>
      <c r="L74" s="49"/>
      <c r="M74" s="389"/>
      <c r="N74" s="19"/>
      <c r="O74" s="19"/>
      <c r="P74" s="19"/>
      <c r="Q74" s="19"/>
      <c r="R74" s="19"/>
      <c r="S74" s="19"/>
    </row>
    <row r="75" customFormat="false" ht="12" hidden="false" customHeight="true" outlineLevel="0" collapsed="false">
      <c r="A75" s="19"/>
      <c r="B75" s="796"/>
      <c r="C75" s="49" t="s">
        <v>1014</v>
      </c>
      <c r="D75" s="49"/>
      <c r="E75" s="49"/>
      <c r="F75" s="49"/>
      <c r="G75" s="49"/>
      <c r="H75" s="49"/>
      <c r="I75" s="49"/>
      <c r="J75" s="49"/>
      <c r="K75" s="49"/>
      <c r="L75" s="49"/>
      <c r="M75" s="389"/>
      <c r="N75" s="19"/>
      <c r="O75" s="19"/>
      <c r="P75" s="19"/>
      <c r="Q75" s="19"/>
      <c r="R75" s="19"/>
      <c r="S75" s="19"/>
    </row>
    <row r="76" customFormat="false" ht="12.75" hidden="false" customHeight="true" outlineLevel="0" collapsed="false">
      <c r="A76" s="19"/>
      <c r="B76" s="797"/>
      <c r="C76" s="343" t="s">
        <v>1015</v>
      </c>
      <c r="D76" s="343"/>
      <c r="E76" s="343"/>
      <c r="F76" s="343"/>
      <c r="G76" s="343"/>
      <c r="H76" s="343"/>
      <c r="I76" s="343"/>
      <c r="J76" s="343"/>
      <c r="K76" s="343"/>
      <c r="L76" s="343"/>
      <c r="M76" s="381"/>
      <c r="N76" s="19"/>
      <c r="O76" s="19"/>
      <c r="P76" s="19"/>
      <c r="Q76" s="19"/>
      <c r="R76" s="19"/>
      <c r="S76" s="19"/>
    </row>
    <row r="77" customFormat="false" ht="12" hidden="false" customHeight="true" outlineLevel="0" collapsed="false">
      <c r="A77" s="19"/>
      <c r="B77" s="798" t="s">
        <v>998</v>
      </c>
      <c r="C77" s="799" t="s">
        <v>999</v>
      </c>
      <c r="D77" s="800"/>
      <c r="E77" s="800" t="s">
        <v>1000</v>
      </c>
      <c r="F77" s="800"/>
      <c r="G77" s="800"/>
      <c r="H77" s="799" t="s">
        <v>1001</v>
      </c>
      <c r="I77" s="801"/>
      <c r="J77" s="490"/>
      <c r="K77" s="292"/>
      <c r="L77" s="292"/>
      <c r="M77" s="492"/>
      <c r="N77" s="19"/>
      <c r="O77" s="19"/>
      <c r="P77" s="19"/>
      <c r="Q77" s="19"/>
      <c r="R77" s="19"/>
      <c r="S77" s="19"/>
    </row>
    <row r="78" customFormat="false" ht="12" hidden="false" customHeight="true" outlineLevel="0" collapsed="false">
      <c r="A78" s="19"/>
      <c r="B78" s="802" t="n">
        <v>1</v>
      </c>
      <c r="C78" s="803" t="n">
        <v>10</v>
      </c>
      <c r="D78" s="803" t="s">
        <v>314</v>
      </c>
      <c r="E78" s="804" t="n">
        <v>9.31</v>
      </c>
      <c r="F78" s="803" t="s">
        <v>1002</v>
      </c>
      <c r="G78" s="803"/>
      <c r="H78" s="805" t="n">
        <f aca="false">E78/100</f>
        <v>0.0931</v>
      </c>
      <c r="I78" s="806" t="s">
        <v>457</v>
      </c>
      <c r="J78" s="490"/>
      <c r="K78" s="292" t="s">
        <v>0</v>
      </c>
      <c r="L78" s="292"/>
      <c r="M78" s="492"/>
      <c r="N78" s="19"/>
      <c r="O78" s="19"/>
      <c r="P78" s="19"/>
      <c r="Q78" s="19"/>
      <c r="R78" s="19"/>
      <c r="S78" s="19"/>
    </row>
    <row r="79" customFormat="false" ht="12" hidden="false" customHeight="true" outlineLevel="0" collapsed="false">
      <c r="A79" s="19"/>
      <c r="B79" s="802" t="n">
        <v>2</v>
      </c>
      <c r="C79" s="112" t="n">
        <v>30</v>
      </c>
      <c r="D79" s="112" t="s">
        <v>314</v>
      </c>
      <c r="E79" s="804" t="n">
        <v>12</v>
      </c>
      <c r="F79" s="803" t="s">
        <v>1002</v>
      </c>
      <c r="G79" s="803" t="s">
        <v>0</v>
      </c>
      <c r="H79" s="805" t="n">
        <f aca="false">E79/100</f>
        <v>0.12</v>
      </c>
      <c r="I79" s="806" t="s">
        <v>457</v>
      </c>
      <c r="J79" s="490"/>
      <c r="K79" s="292" t="s">
        <v>998</v>
      </c>
      <c r="L79" s="50" t="n">
        <v>11</v>
      </c>
      <c r="M79" s="492"/>
      <c r="N79" s="19"/>
      <c r="O79" s="19"/>
      <c r="P79" s="19"/>
      <c r="Q79" s="19"/>
      <c r="R79" s="19"/>
      <c r="S79" s="19"/>
    </row>
    <row r="80" customFormat="false" ht="12" hidden="false" customHeight="true" outlineLevel="0" collapsed="false">
      <c r="A80" s="19"/>
      <c r="B80" s="802" t="n">
        <v>3</v>
      </c>
      <c r="C80" s="803" t="n">
        <v>50</v>
      </c>
      <c r="D80" s="803" t="s">
        <v>314</v>
      </c>
      <c r="E80" s="804" t="s">
        <v>1003</v>
      </c>
      <c r="F80" s="803" t="s">
        <v>1002</v>
      </c>
      <c r="G80" s="803"/>
      <c r="H80" s="805" t="s">
        <v>1003</v>
      </c>
      <c r="I80" s="806" t="s">
        <v>457</v>
      </c>
      <c r="J80" s="490"/>
      <c r="K80" s="292"/>
      <c r="L80" s="292"/>
      <c r="M80" s="492"/>
      <c r="N80" s="19"/>
      <c r="O80" s="19"/>
      <c r="P80" s="19"/>
      <c r="Q80" s="19"/>
      <c r="R80" s="19"/>
      <c r="S80" s="19"/>
    </row>
    <row r="81" customFormat="false" ht="12" hidden="false" customHeight="true" outlineLevel="0" collapsed="false">
      <c r="A81" s="19"/>
      <c r="B81" s="802" t="n">
        <v>4</v>
      </c>
      <c r="C81" s="803" t="n">
        <v>100</v>
      </c>
      <c r="D81" s="803" t="s">
        <v>314</v>
      </c>
      <c r="E81" s="804" t="n">
        <v>18.6</v>
      </c>
      <c r="F81" s="803" t="s">
        <v>1002</v>
      </c>
      <c r="G81" s="803"/>
      <c r="H81" s="805" t="n">
        <f aca="false">E81/100</f>
        <v>0.186</v>
      </c>
      <c r="I81" s="806" t="s">
        <v>457</v>
      </c>
      <c r="J81" s="490"/>
      <c r="K81" s="292" t="s">
        <v>309</v>
      </c>
      <c r="L81" s="807" t="n">
        <f aca="false" t="array" ref="L81:L81">INDEX(C78:C90,L79,1)</f>
        <v>2400</v>
      </c>
      <c r="M81" s="492"/>
      <c r="N81" s="19"/>
      <c r="O81" s="19"/>
      <c r="P81" s="19"/>
      <c r="Q81" s="19"/>
      <c r="R81" s="19"/>
      <c r="S81" s="19"/>
    </row>
    <row r="82" customFormat="false" ht="12" hidden="false" customHeight="true" outlineLevel="0" collapsed="false">
      <c r="A82" s="19"/>
      <c r="B82" s="802" t="n">
        <v>5</v>
      </c>
      <c r="C82" s="112" t="n">
        <v>145</v>
      </c>
      <c r="D82" s="112" t="s">
        <v>314</v>
      </c>
      <c r="E82" s="804" t="n">
        <v>19.95</v>
      </c>
      <c r="F82" s="803" t="s">
        <v>1002</v>
      </c>
      <c r="G82" s="803"/>
      <c r="H82" s="805" t="n">
        <f aca="false">E82/100</f>
        <v>0.1995</v>
      </c>
      <c r="I82" s="806" t="s">
        <v>457</v>
      </c>
      <c r="J82" s="490"/>
      <c r="K82" s="292"/>
      <c r="L82" s="292"/>
      <c r="M82" s="492"/>
      <c r="N82" s="19"/>
      <c r="O82" s="19"/>
      <c r="P82" s="19"/>
      <c r="Q82" s="19"/>
      <c r="R82" s="19"/>
      <c r="S82" s="19"/>
    </row>
    <row r="83" customFormat="false" ht="12" hidden="false" customHeight="true" outlineLevel="0" collapsed="false">
      <c r="A83" s="19"/>
      <c r="B83" s="802" t="n">
        <v>6</v>
      </c>
      <c r="C83" s="803" t="n">
        <v>200</v>
      </c>
      <c r="D83" s="803" t="s">
        <v>314</v>
      </c>
      <c r="E83" s="804" t="n">
        <v>26.6</v>
      </c>
      <c r="F83" s="803" t="s">
        <v>1002</v>
      </c>
      <c r="G83" s="803" t="s">
        <v>0</v>
      </c>
      <c r="H83" s="805" t="n">
        <f aca="false">E83/100</f>
        <v>0.266</v>
      </c>
      <c r="I83" s="806" t="s">
        <v>457</v>
      </c>
      <c r="J83" s="490"/>
      <c r="K83" s="292" t="s">
        <v>1004</v>
      </c>
      <c r="L83" s="808" t="n">
        <v>0.5</v>
      </c>
      <c r="M83" s="492"/>
      <c r="N83" s="19"/>
      <c r="O83" s="19"/>
      <c r="P83" s="19"/>
      <c r="Q83" s="19"/>
      <c r="R83" s="19"/>
      <c r="S83" s="19"/>
    </row>
    <row r="84" customFormat="false" ht="12" hidden="false" customHeight="true" outlineLevel="0" collapsed="false">
      <c r="A84" s="19"/>
      <c r="B84" s="802" t="n">
        <v>7</v>
      </c>
      <c r="C84" s="803" t="n">
        <v>400</v>
      </c>
      <c r="D84" s="803" t="s">
        <v>314</v>
      </c>
      <c r="E84" s="804" t="n">
        <v>37.24</v>
      </c>
      <c r="F84" s="803" t="s">
        <v>1002</v>
      </c>
      <c r="G84" s="803"/>
      <c r="H84" s="805" t="n">
        <f aca="false">E84/100</f>
        <v>0.3724</v>
      </c>
      <c r="I84" s="806" t="s">
        <v>457</v>
      </c>
      <c r="J84" s="490"/>
      <c r="K84" s="292"/>
      <c r="L84" s="292"/>
      <c r="M84" s="492"/>
      <c r="N84" s="19"/>
      <c r="O84" s="19"/>
      <c r="P84" s="19"/>
      <c r="Q84" s="19"/>
      <c r="R84" s="19"/>
      <c r="S84" s="19"/>
    </row>
    <row r="85" customFormat="false" ht="12" hidden="false" customHeight="true" outlineLevel="0" collapsed="false">
      <c r="A85" s="19"/>
      <c r="B85" s="802" t="n">
        <v>8</v>
      </c>
      <c r="C85" s="112" t="n">
        <v>435</v>
      </c>
      <c r="D85" s="112" t="s">
        <v>314</v>
      </c>
      <c r="E85" s="804" t="n">
        <v>40</v>
      </c>
      <c r="F85" s="803" t="s">
        <v>1002</v>
      </c>
      <c r="G85" s="803"/>
      <c r="H85" s="805" t="n">
        <f aca="false">E85/100</f>
        <v>0.4</v>
      </c>
      <c r="I85" s="806" t="s">
        <v>457</v>
      </c>
      <c r="J85" s="490"/>
      <c r="K85" s="292" t="s">
        <v>1005</v>
      </c>
      <c r="L85" s="809" t="n">
        <f aca="false" t="array" ref="L85:L85">(INDEX(H78:H90,L79,1))*L83</f>
        <v>0.47875</v>
      </c>
      <c r="M85" s="492"/>
      <c r="N85" s="19"/>
      <c r="O85" s="19"/>
      <c r="P85" s="19"/>
      <c r="Q85" s="19"/>
      <c r="R85" s="19"/>
      <c r="S85" s="19"/>
    </row>
    <row r="86" customFormat="false" ht="12" hidden="false" customHeight="true" outlineLevel="0" collapsed="false">
      <c r="A86" s="19"/>
      <c r="B86" s="802" t="n">
        <v>9</v>
      </c>
      <c r="C86" s="803" t="n">
        <v>500</v>
      </c>
      <c r="D86" s="803" t="s">
        <v>314</v>
      </c>
      <c r="E86" s="804" t="n">
        <v>46.55</v>
      </c>
      <c r="F86" s="803" t="s">
        <v>1002</v>
      </c>
      <c r="G86" s="803"/>
      <c r="H86" s="805" t="n">
        <f aca="false">E86/100</f>
        <v>0.4655</v>
      </c>
      <c r="I86" s="806" t="s">
        <v>457</v>
      </c>
      <c r="J86" s="490"/>
      <c r="K86" s="292"/>
      <c r="L86" s="292"/>
      <c r="M86" s="492"/>
      <c r="N86" s="19"/>
      <c r="O86" s="19"/>
      <c r="P86" s="19"/>
      <c r="Q86" s="19"/>
      <c r="R86" s="19"/>
      <c r="S86" s="19"/>
    </row>
    <row r="87" customFormat="false" ht="12" hidden="false" customHeight="true" outlineLevel="0" collapsed="false">
      <c r="A87" s="19"/>
      <c r="B87" s="802" t="n">
        <v>10</v>
      </c>
      <c r="C87" s="112" t="n">
        <v>1270</v>
      </c>
      <c r="D87" s="112" t="s">
        <v>314</v>
      </c>
      <c r="E87" s="804" t="n">
        <v>65.2</v>
      </c>
      <c r="F87" s="803" t="s">
        <v>1002</v>
      </c>
      <c r="G87" s="803"/>
      <c r="H87" s="805" t="n">
        <f aca="false">E87/100</f>
        <v>0.652</v>
      </c>
      <c r="I87" s="806" t="s">
        <v>457</v>
      </c>
      <c r="J87" s="490"/>
      <c r="K87" s="292"/>
      <c r="L87" s="292"/>
      <c r="M87" s="492"/>
      <c r="N87" s="19"/>
      <c r="O87" s="19"/>
      <c r="P87" s="19"/>
      <c r="Q87" s="19"/>
      <c r="R87" s="19"/>
      <c r="S87" s="19"/>
    </row>
    <row r="88" customFormat="false" ht="12" hidden="false" customHeight="true" outlineLevel="0" collapsed="false">
      <c r="A88" s="19"/>
      <c r="B88" s="802" t="n">
        <v>11</v>
      </c>
      <c r="C88" s="112" t="n">
        <v>2400</v>
      </c>
      <c r="D88" s="112" t="s">
        <v>314</v>
      </c>
      <c r="E88" s="804" t="n">
        <v>95.75</v>
      </c>
      <c r="F88" s="803" t="s">
        <v>1002</v>
      </c>
      <c r="G88" s="803"/>
      <c r="H88" s="805" t="n">
        <f aca="false">E88/100</f>
        <v>0.9575</v>
      </c>
      <c r="I88" s="806" t="s">
        <v>457</v>
      </c>
      <c r="J88" s="490"/>
      <c r="K88" s="292"/>
      <c r="L88" s="23" t="s">
        <v>60</v>
      </c>
      <c r="M88" s="492"/>
      <c r="N88" s="19"/>
      <c r="O88" s="19"/>
      <c r="P88" s="19"/>
      <c r="Q88" s="19"/>
      <c r="R88" s="19"/>
      <c r="S88" s="19"/>
    </row>
    <row r="89" customFormat="false" ht="12" hidden="false" customHeight="true" outlineLevel="0" collapsed="false">
      <c r="A89" s="19"/>
      <c r="B89" s="802" t="n">
        <v>12</v>
      </c>
      <c r="C89" s="803" t="n">
        <v>3300</v>
      </c>
      <c r="D89" s="803" t="s">
        <v>314</v>
      </c>
      <c r="E89" s="804" t="n">
        <v>126.4</v>
      </c>
      <c r="F89" s="803" t="s">
        <v>1002</v>
      </c>
      <c r="G89" s="803"/>
      <c r="H89" s="805" t="n">
        <f aca="false">E89/100</f>
        <v>1.264</v>
      </c>
      <c r="I89" s="806" t="s">
        <v>457</v>
      </c>
      <c r="J89" s="490"/>
      <c r="K89" s="292"/>
      <c r="L89" s="292"/>
      <c r="M89" s="492"/>
      <c r="N89" s="19"/>
      <c r="O89" s="19"/>
      <c r="P89" s="19"/>
      <c r="Q89" s="19"/>
      <c r="R89" s="19"/>
      <c r="S89" s="19"/>
    </row>
    <row r="90" customFormat="false" ht="12.75" hidden="false" customHeight="true" outlineLevel="0" collapsed="false">
      <c r="A90" s="19"/>
      <c r="B90" s="810" t="n">
        <v>13</v>
      </c>
      <c r="C90" s="811" t="n">
        <v>5000</v>
      </c>
      <c r="D90" s="811" t="s">
        <v>314</v>
      </c>
      <c r="E90" s="812" t="n">
        <v>170.2</v>
      </c>
      <c r="F90" s="811" t="s">
        <v>1002</v>
      </c>
      <c r="G90" s="811"/>
      <c r="H90" s="813" t="n">
        <f aca="false">E90/100</f>
        <v>1.702</v>
      </c>
      <c r="I90" s="814" t="s">
        <v>457</v>
      </c>
      <c r="J90" s="495" t="s">
        <v>1016</v>
      </c>
      <c r="K90" s="496"/>
      <c r="L90" s="496"/>
      <c r="M90" s="498"/>
      <c r="N90" s="19"/>
      <c r="O90" s="19"/>
      <c r="P90" s="19"/>
      <c r="Q90" s="19"/>
      <c r="R90" s="19"/>
      <c r="S90" s="19"/>
    </row>
    <row r="91" customFormat="false" ht="12" hidden="false" customHeight="true" outlineLevel="0" collapsed="false">
      <c r="A91" s="19"/>
      <c r="B91" s="19"/>
      <c r="C91" s="19"/>
      <c r="D91" s="19"/>
      <c r="E91" s="19"/>
      <c r="F91" s="19"/>
      <c r="G91" s="19"/>
      <c r="H91" s="19"/>
      <c r="I91" s="19"/>
      <c r="J91" s="19"/>
      <c r="K91" s="19"/>
      <c r="L91" s="19"/>
      <c r="M91" s="19"/>
      <c r="N91" s="19"/>
      <c r="O91" s="19"/>
      <c r="P91" s="19"/>
      <c r="Q91" s="19"/>
      <c r="R91" s="19"/>
      <c r="S91" s="19"/>
    </row>
    <row r="92" customFormat="false" ht="12" hidden="false" customHeight="true" outlineLevel="0" collapsed="false">
      <c r="A92" s="19"/>
      <c r="B92" s="19"/>
      <c r="C92" s="19"/>
      <c r="D92" s="19"/>
      <c r="E92" s="19"/>
      <c r="F92" s="19"/>
      <c r="G92" s="19"/>
      <c r="H92" s="19"/>
      <c r="I92" s="19"/>
      <c r="J92" s="19"/>
      <c r="K92" s="19"/>
      <c r="L92" s="19"/>
      <c r="M92" s="19"/>
      <c r="N92" s="19"/>
      <c r="O92" s="19"/>
      <c r="P92" s="19"/>
      <c r="Q92" s="19"/>
      <c r="R92" s="19"/>
      <c r="S92" s="19"/>
    </row>
    <row r="93" customFormat="false" ht="12.75" hidden="false" customHeight="true" outlineLevel="0" collapsed="false">
      <c r="A93" s="19"/>
      <c r="B93" s="19"/>
      <c r="C93" s="19"/>
      <c r="D93" s="19"/>
      <c r="E93" s="19"/>
      <c r="F93" s="19"/>
      <c r="G93" s="19"/>
      <c r="H93" s="19"/>
      <c r="I93" s="19"/>
      <c r="J93" s="19"/>
      <c r="K93" s="19"/>
      <c r="L93" s="19"/>
      <c r="M93" s="19"/>
      <c r="N93" s="19" t="s">
        <v>0</v>
      </c>
      <c r="O93" s="19"/>
      <c r="P93" s="19"/>
      <c r="Q93" s="19"/>
      <c r="R93" s="19"/>
      <c r="S93" s="19"/>
    </row>
    <row r="94" customFormat="false" ht="12" hidden="false" customHeight="true" outlineLevel="0" collapsed="false">
      <c r="A94" s="19"/>
      <c r="B94" s="793" t="s">
        <v>1017</v>
      </c>
      <c r="C94" s="794"/>
      <c r="D94" s="794"/>
      <c r="E94" s="794"/>
      <c r="F94" s="794"/>
      <c r="G94" s="794"/>
      <c r="H94" s="794"/>
      <c r="I94" s="794"/>
      <c r="J94" s="794"/>
      <c r="K94" s="794"/>
      <c r="L94" s="794"/>
      <c r="M94" s="795"/>
      <c r="N94" s="19"/>
      <c r="O94" s="19"/>
      <c r="P94" s="19"/>
      <c r="Q94" s="19"/>
      <c r="R94" s="19"/>
      <c r="S94" s="19"/>
    </row>
    <row r="95" customFormat="false" ht="12" hidden="false" customHeight="true" outlineLevel="0" collapsed="false">
      <c r="A95" s="19"/>
      <c r="B95" s="796"/>
      <c r="C95" s="49" t="s">
        <v>1018</v>
      </c>
      <c r="D95" s="49"/>
      <c r="E95" s="49"/>
      <c r="F95" s="49"/>
      <c r="G95" s="49"/>
      <c r="H95" s="49"/>
      <c r="I95" s="49"/>
      <c r="J95" s="49"/>
      <c r="K95" s="49"/>
      <c r="L95" s="49"/>
      <c r="M95" s="389"/>
      <c r="N95" s="19"/>
      <c r="O95" s="19"/>
      <c r="P95" s="19"/>
      <c r="Q95" s="19"/>
      <c r="R95" s="19"/>
      <c r="S95" s="19"/>
    </row>
    <row r="96" customFormat="false" ht="12" hidden="false" customHeight="true" outlineLevel="0" collapsed="false">
      <c r="A96" s="19"/>
      <c r="B96" s="796"/>
      <c r="C96" s="49" t="s">
        <v>1019</v>
      </c>
      <c r="D96" s="49"/>
      <c r="E96" s="49"/>
      <c r="F96" s="49"/>
      <c r="G96" s="49"/>
      <c r="H96" s="49"/>
      <c r="I96" s="49"/>
      <c r="J96" s="49"/>
      <c r="K96" s="49"/>
      <c r="L96" s="49"/>
      <c r="M96" s="389"/>
      <c r="N96" s="19"/>
      <c r="O96" s="19"/>
      <c r="P96" s="19"/>
      <c r="Q96" s="19"/>
      <c r="R96" s="19"/>
      <c r="S96" s="19"/>
    </row>
    <row r="97" customFormat="false" ht="12.75" hidden="false" customHeight="true" outlineLevel="0" collapsed="false">
      <c r="A97" s="19"/>
      <c r="B97" s="797"/>
      <c r="C97" s="343" t="s">
        <v>1020</v>
      </c>
      <c r="D97" s="343"/>
      <c r="E97" s="343"/>
      <c r="F97" s="343"/>
      <c r="G97" s="343"/>
      <c r="H97" s="343"/>
      <c r="I97" s="343"/>
      <c r="J97" s="343"/>
      <c r="K97" s="343"/>
      <c r="L97" s="343"/>
      <c r="M97" s="381"/>
      <c r="N97" s="19"/>
      <c r="O97" s="19"/>
      <c r="P97" s="19"/>
      <c r="Q97" s="19"/>
      <c r="R97" s="19"/>
      <c r="S97" s="19"/>
    </row>
    <row r="98" customFormat="false" ht="12" hidden="false" customHeight="true" outlineLevel="0" collapsed="false">
      <c r="A98" s="19"/>
      <c r="B98" s="798" t="s">
        <v>998</v>
      </c>
      <c r="C98" s="799" t="s">
        <v>999</v>
      </c>
      <c r="D98" s="800"/>
      <c r="E98" s="800" t="s">
        <v>1000</v>
      </c>
      <c r="F98" s="800"/>
      <c r="G98" s="800"/>
      <c r="H98" s="799" t="s">
        <v>1001</v>
      </c>
      <c r="I98" s="800"/>
      <c r="J98" s="815"/>
      <c r="K98" s="488"/>
      <c r="L98" s="488"/>
      <c r="M98" s="489"/>
      <c r="N98" s="19"/>
      <c r="O98" s="19"/>
      <c r="P98" s="19"/>
      <c r="Q98" s="19"/>
      <c r="R98" s="19"/>
      <c r="S98" s="19"/>
    </row>
    <row r="99" customFormat="false" ht="12" hidden="false" customHeight="true" outlineLevel="0" collapsed="false">
      <c r="A99" s="19"/>
      <c r="B99" s="802" t="n">
        <v>1</v>
      </c>
      <c r="C99" s="112" t="n">
        <v>30</v>
      </c>
      <c r="D99" s="112" t="s">
        <v>314</v>
      </c>
      <c r="E99" s="804" t="n">
        <v>13</v>
      </c>
      <c r="F99" s="803" t="s">
        <v>1002</v>
      </c>
      <c r="G99" s="803" t="s">
        <v>0</v>
      </c>
      <c r="H99" s="805" t="n">
        <v>0.13</v>
      </c>
      <c r="I99" s="803" t="s">
        <v>457</v>
      </c>
      <c r="J99" s="490"/>
      <c r="K99" s="292" t="s">
        <v>0</v>
      </c>
      <c r="L99" s="292"/>
      <c r="M99" s="492"/>
      <c r="N99" s="19"/>
      <c r="O99" s="19"/>
      <c r="P99" s="19"/>
      <c r="Q99" s="19"/>
      <c r="R99" s="19"/>
      <c r="S99" s="19"/>
    </row>
    <row r="100" customFormat="false" ht="12" hidden="false" customHeight="true" outlineLevel="0" collapsed="false">
      <c r="A100" s="19"/>
      <c r="B100" s="802" t="n">
        <v>2</v>
      </c>
      <c r="C100" s="112" t="n">
        <v>145</v>
      </c>
      <c r="D100" s="112" t="s">
        <v>314</v>
      </c>
      <c r="E100" s="804" t="n">
        <v>25</v>
      </c>
      <c r="F100" s="803" t="s">
        <v>1002</v>
      </c>
      <c r="G100" s="803"/>
      <c r="H100" s="805" t="n">
        <v>0.25</v>
      </c>
      <c r="I100" s="803" t="s">
        <v>457</v>
      </c>
      <c r="J100" s="490"/>
      <c r="K100" s="292" t="s">
        <v>998</v>
      </c>
      <c r="L100" s="50" t="n">
        <v>3</v>
      </c>
      <c r="M100" s="492"/>
      <c r="N100" s="19"/>
      <c r="O100" s="19"/>
      <c r="P100" s="19"/>
      <c r="Q100" s="19"/>
      <c r="R100" s="19"/>
      <c r="S100" s="19"/>
    </row>
    <row r="101" customFormat="false" ht="12" hidden="false" customHeight="true" outlineLevel="0" collapsed="false">
      <c r="A101" s="19"/>
      <c r="B101" s="802" t="n">
        <v>3</v>
      </c>
      <c r="C101" s="112" t="n">
        <v>435</v>
      </c>
      <c r="D101" s="112" t="s">
        <v>314</v>
      </c>
      <c r="E101" s="804" t="n">
        <v>33</v>
      </c>
      <c r="F101" s="803" t="s">
        <v>1002</v>
      </c>
      <c r="G101" s="803"/>
      <c r="H101" s="805" t="n">
        <v>0.33</v>
      </c>
      <c r="I101" s="803" t="s">
        <v>457</v>
      </c>
      <c r="J101" s="490"/>
      <c r="K101" s="292"/>
      <c r="L101" s="292"/>
      <c r="M101" s="492"/>
      <c r="N101" s="19"/>
      <c r="O101" s="19"/>
      <c r="P101" s="19"/>
      <c r="Q101" s="19"/>
      <c r="R101" s="19"/>
      <c r="S101" s="19"/>
    </row>
    <row r="102" customFormat="false" ht="12" hidden="false" customHeight="true" outlineLevel="0" collapsed="false">
      <c r="A102" s="19"/>
      <c r="B102" s="802" t="n">
        <v>4</v>
      </c>
      <c r="C102" s="112" t="n">
        <v>1270</v>
      </c>
      <c r="D102" s="112" t="s">
        <v>314</v>
      </c>
      <c r="E102" s="804" t="n">
        <v>53</v>
      </c>
      <c r="F102" s="803" t="s">
        <v>1002</v>
      </c>
      <c r="G102" s="803"/>
      <c r="H102" s="805" t="n">
        <v>0.53</v>
      </c>
      <c r="I102" s="803" t="s">
        <v>457</v>
      </c>
      <c r="J102" s="490"/>
      <c r="K102" s="292" t="s">
        <v>309</v>
      </c>
      <c r="L102" s="816" t="n">
        <f aca="false" t="array" ref="L102:L102">INDEX(C99:C112,L100,1)</f>
        <v>435</v>
      </c>
      <c r="M102" s="492"/>
      <c r="N102" s="19"/>
      <c r="O102" s="19"/>
      <c r="P102" s="19"/>
      <c r="Q102" s="19"/>
      <c r="R102" s="19"/>
      <c r="S102" s="19"/>
    </row>
    <row r="103" customFormat="false" ht="12" hidden="false" customHeight="true" outlineLevel="0" collapsed="false">
      <c r="A103" s="19"/>
      <c r="B103" s="802" t="n">
        <v>5</v>
      </c>
      <c r="C103" s="803" t="n">
        <v>2000</v>
      </c>
      <c r="D103" s="803" t="s">
        <v>314</v>
      </c>
      <c r="E103" s="817" t="n">
        <v>88.6</v>
      </c>
      <c r="F103" s="803" t="s">
        <v>1002</v>
      </c>
      <c r="G103" s="803"/>
      <c r="H103" s="818" t="n">
        <v>0.886</v>
      </c>
      <c r="I103" s="803" t="s">
        <v>457</v>
      </c>
      <c r="J103" s="490"/>
      <c r="K103" s="292"/>
      <c r="L103" s="292"/>
      <c r="M103" s="492"/>
      <c r="N103" s="19"/>
      <c r="O103" s="19"/>
      <c r="P103" s="19"/>
      <c r="Q103" s="19"/>
      <c r="R103" s="19"/>
      <c r="S103" s="19"/>
    </row>
    <row r="104" customFormat="false" ht="12" hidden="false" customHeight="true" outlineLevel="0" collapsed="false">
      <c r="A104" s="19"/>
      <c r="B104" s="802" t="n">
        <v>6</v>
      </c>
      <c r="C104" s="112" t="n">
        <v>2400</v>
      </c>
      <c r="D104" s="112" t="s">
        <v>314</v>
      </c>
      <c r="E104" s="804" t="n">
        <v>96</v>
      </c>
      <c r="F104" s="803" t="s">
        <v>1002</v>
      </c>
      <c r="G104" s="803"/>
      <c r="H104" s="805" t="n">
        <v>0.96</v>
      </c>
      <c r="I104" s="803" t="s">
        <v>457</v>
      </c>
      <c r="J104" s="490"/>
      <c r="K104" s="292" t="s">
        <v>1004</v>
      </c>
      <c r="L104" s="808" t="n">
        <v>0.5</v>
      </c>
      <c r="M104" s="492"/>
      <c r="N104" s="19"/>
      <c r="O104" s="19"/>
      <c r="P104" s="19"/>
      <c r="Q104" s="19"/>
      <c r="R104" s="19"/>
      <c r="S104" s="19"/>
    </row>
    <row r="105" customFormat="false" ht="12" hidden="false" customHeight="true" outlineLevel="0" collapsed="false">
      <c r="A105" s="19"/>
      <c r="B105" s="802" t="n">
        <v>7</v>
      </c>
      <c r="C105" s="819" t="n">
        <v>10000</v>
      </c>
      <c r="D105" s="803" t="s">
        <v>314</v>
      </c>
      <c r="E105" s="817" t="n">
        <v>200.1</v>
      </c>
      <c r="F105" s="803" t="s">
        <v>1002</v>
      </c>
      <c r="G105" s="803"/>
      <c r="H105" s="818" t="n">
        <v>2.001</v>
      </c>
      <c r="I105" s="803" t="s">
        <v>457</v>
      </c>
      <c r="J105" s="490"/>
      <c r="K105" s="292"/>
      <c r="L105" s="292"/>
      <c r="M105" s="492"/>
      <c r="N105" s="19"/>
      <c r="O105" s="19"/>
      <c r="P105" s="19"/>
      <c r="Q105" s="19"/>
      <c r="R105" s="19"/>
      <c r="S105" s="19"/>
    </row>
    <row r="106" customFormat="false" ht="12" hidden="false" customHeight="true" outlineLevel="0" collapsed="false">
      <c r="A106" s="19"/>
      <c r="B106" s="802" t="n">
        <v>8</v>
      </c>
      <c r="C106" s="819" t="n">
        <v>18000</v>
      </c>
      <c r="D106" s="803" t="s">
        <v>314</v>
      </c>
      <c r="E106" s="817" t="n">
        <v>275.5</v>
      </c>
      <c r="F106" s="803" t="s">
        <v>1002</v>
      </c>
      <c r="G106" s="803"/>
      <c r="H106" s="818" t="n">
        <v>2.755</v>
      </c>
      <c r="I106" s="803" t="s">
        <v>457</v>
      </c>
      <c r="J106" s="490"/>
      <c r="K106" s="292" t="s">
        <v>1005</v>
      </c>
      <c r="L106" s="809" t="n">
        <f aca="false" t="array" ref="L106:L106">(INDEX(H99:H112,L100,1))*L104</f>
        <v>0.165</v>
      </c>
      <c r="M106" s="492"/>
      <c r="N106" s="19"/>
      <c r="O106" s="19"/>
      <c r="P106" s="19"/>
      <c r="Q106" s="19"/>
      <c r="R106" s="19"/>
      <c r="S106" s="19"/>
    </row>
    <row r="107" customFormat="false" ht="12" hidden="false" customHeight="true" outlineLevel="0" collapsed="false">
      <c r="A107" s="19"/>
      <c r="B107" s="802"/>
      <c r="C107" s="820"/>
      <c r="D107" s="803"/>
      <c r="E107" s="804"/>
      <c r="F107" s="803"/>
      <c r="G107" s="803"/>
      <c r="H107" s="805"/>
      <c r="I107" s="803"/>
      <c r="J107" s="490"/>
      <c r="K107" s="292"/>
      <c r="L107" s="292"/>
      <c r="M107" s="492"/>
      <c r="N107" s="19"/>
      <c r="O107" s="19"/>
      <c r="P107" s="19"/>
      <c r="Q107" s="19"/>
      <c r="R107" s="19"/>
      <c r="S107" s="19"/>
    </row>
    <row r="108" customFormat="false" ht="12" hidden="false" customHeight="true" outlineLevel="0" collapsed="false">
      <c r="A108" s="19"/>
      <c r="B108" s="802"/>
      <c r="C108" s="820"/>
      <c r="D108" s="803"/>
      <c r="E108" s="804"/>
      <c r="F108" s="803" t="s">
        <v>0</v>
      </c>
      <c r="G108" s="803"/>
      <c r="H108" s="805"/>
      <c r="I108" s="803"/>
      <c r="J108" s="490"/>
      <c r="K108" s="292"/>
      <c r="L108" s="292"/>
      <c r="M108" s="492"/>
      <c r="N108" s="19" t="s">
        <v>0</v>
      </c>
      <c r="O108" s="19"/>
      <c r="P108" s="19"/>
      <c r="Q108" s="19"/>
      <c r="R108" s="19"/>
      <c r="S108" s="19"/>
    </row>
    <row r="109" customFormat="false" ht="12" hidden="false" customHeight="true" outlineLevel="0" collapsed="false">
      <c r="A109" s="19"/>
      <c r="B109" s="802"/>
      <c r="C109" s="820"/>
      <c r="D109" s="803"/>
      <c r="E109" s="804"/>
      <c r="F109" s="803"/>
      <c r="G109" s="803"/>
      <c r="H109" s="805"/>
      <c r="I109" s="803"/>
      <c r="J109" s="490"/>
      <c r="K109" s="292"/>
      <c r="L109" s="292"/>
      <c r="M109" s="492"/>
      <c r="N109" s="19"/>
      <c r="O109" s="19"/>
      <c r="P109" s="19"/>
      <c r="Q109" s="19"/>
      <c r="R109" s="19"/>
      <c r="S109" s="19"/>
    </row>
    <row r="110" customFormat="false" ht="12" hidden="false" customHeight="true" outlineLevel="0" collapsed="false">
      <c r="A110" s="19"/>
      <c r="B110" s="802"/>
      <c r="C110" s="820"/>
      <c r="D110" s="803"/>
      <c r="E110" s="804"/>
      <c r="F110" s="803"/>
      <c r="G110" s="803"/>
      <c r="H110" s="805"/>
      <c r="I110" s="803"/>
      <c r="J110" s="490"/>
      <c r="K110" s="292"/>
      <c r="L110" s="23" t="s">
        <v>60</v>
      </c>
      <c r="M110" s="492"/>
      <c r="N110" s="19"/>
      <c r="O110" s="19"/>
      <c r="P110" s="19"/>
      <c r="Q110" s="19"/>
      <c r="R110" s="19"/>
      <c r="S110" s="19"/>
    </row>
    <row r="111" customFormat="false" ht="12" hidden="false" customHeight="true" outlineLevel="0" collapsed="false">
      <c r="A111" s="19"/>
      <c r="B111" s="802"/>
      <c r="C111" s="820"/>
      <c r="D111" s="803"/>
      <c r="E111" s="804"/>
      <c r="F111" s="803"/>
      <c r="G111" s="803"/>
      <c r="H111" s="805"/>
      <c r="I111" s="803"/>
      <c r="J111" s="490" t="s">
        <v>1021</v>
      </c>
      <c r="K111" s="292"/>
      <c r="L111" s="292"/>
      <c r="M111" s="492"/>
      <c r="N111" s="19"/>
      <c r="O111" s="19"/>
      <c r="P111" s="19"/>
      <c r="Q111" s="19"/>
      <c r="R111" s="19"/>
      <c r="S111" s="19"/>
    </row>
    <row r="112" customFormat="false" ht="12.75" hidden="false" customHeight="true" outlineLevel="0" collapsed="false">
      <c r="A112" s="19"/>
      <c r="B112" s="810" t="s">
        <v>0</v>
      </c>
      <c r="C112" s="811" t="s">
        <v>0</v>
      </c>
      <c r="D112" s="811" t="s">
        <v>0</v>
      </c>
      <c r="E112" s="812"/>
      <c r="F112" s="811"/>
      <c r="G112" s="811"/>
      <c r="H112" s="813"/>
      <c r="I112" s="811"/>
      <c r="J112" s="495" t="s">
        <v>1022</v>
      </c>
      <c r="K112" s="496"/>
      <c r="L112" s="496"/>
      <c r="M112" s="498"/>
      <c r="N112" s="19"/>
      <c r="O112" s="19"/>
      <c r="P112" s="19"/>
      <c r="Q112" s="19"/>
      <c r="R112" s="19"/>
      <c r="S112" s="19"/>
    </row>
    <row r="113" customFormat="false" ht="12" hidden="false" customHeight="true" outlineLevel="0" collapsed="false">
      <c r="A113" s="19"/>
      <c r="B113" s="19"/>
      <c r="C113" s="19"/>
      <c r="D113" s="19"/>
      <c r="E113" s="19"/>
      <c r="F113" s="19"/>
      <c r="G113" s="19"/>
      <c r="H113" s="19"/>
      <c r="I113" s="19"/>
      <c r="J113" s="19"/>
      <c r="K113" s="19"/>
      <c r="L113" s="19"/>
      <c r="M113" s="19"/>
      <c r="N113" s="19"/>
      <c r="O113" s="19"/>
      <c r="P113" s="19"/>
      <c r="Q113" s="19"/>
      <c r="R113" s="19"/>
      <c r="S113" s="19"/>
    </row>
    <row r="114" customFormat="false" ht="12" hidden="false" customHeight="true" outlineLevel="0" collapsed="false">
      <c r="A114" s="19"/>
      <c r="B114" s="19" t="s">
        <v>0</v>
      </c>
      <c r="C114" s="19"/>
      <c r="D114" s="19"/>
      <c r="E114" s="19"/>
      <c r="F114" s="19"/>
      <c r="G114" s="19"/>
      <c r="H114" s="19"/>
      <c r="I114" s="19"/>
      <c r="J114" s="19"/>
      <c r="K114" s="19"/>
      <c r="L114" s="19"/>
      <c r="M114" s="19"/>
      <c r="N114" s="19"/>
      <c r="O114" s="19"/>
      <c r="P114" s="19"/>
      <c r="Q114" s="19"/>
      <c r="R114" s="19"/>
      <c r="S114" s="19"/>
    </row>
    <row r="115" customFormat="false" ht="12.75" hidden="false" customHeight="true" outlineLevel="0" collapsed="false">
      <c r="A115" s="19"/>
      <c r="B115" s="19"/>
      <c r="C115" s="19"/>
      <c r="D115" s="19"/>
      <c r="E115" s="19"/>
      <c r="F115" s="19"/>
      <c r="G115" s="19"/>
      <c r="H115" s="19"/>
      <c r="I115" s="19"/>
      <c r="J115" s="19"/>
      <c r="K115" s="19"/>
      <c r="L115" s="19"/>
      <c r="M115" s="19"/>
      <c r="N115" s="19"/>
      <c r="O115" s="19"/>
      <c r="P115" s="19"/>
      <c r="Q115" s="19"/>
      <c r="R115" s="19"/>
      <c r="S115" s="19"/>
    </row>
    <row r="116" customFormat="false" ht="12" hidden="false" customHeight="true" outlineLevel="0" collapsed="false">
      <c r="A116" s="19"/>
      <c r="B116" s="793" t="s">
        <v>1023</v>
      </c>
      <c r="C116" s="794"/>
      <c r="D116" s="794"/>
      <c r="E116" s="794"/>
      <c r="F116" s="794"/>
      <c r="G116" s="794"/>
      <c r="H116" s="794"/>
      <c r="I116" s="794"/>
      <c r="J116" s="794"/>
      <c r="K116" s="794"/>
      <c r="L116" s="794"/>
      <c r="M116" s="795"/>
      <c r="N116" s="19"/>
      <c r="O116" s="19"/>
      <c r="P116" s="19"/>
      <c r="Q116" s="19"/>
      <c r="R116" s="19"/>
      <c r="S116" s="19"/>
    </row>
    <row r="117" customFormat="false" ht="12" hidden="false" customHeight="true" outlineLevel="0" collapsed="false">
      <c r="A117" s="19"/>
      <c r="B117" s="796"/>
      <c r="C117" s="49" t="s">
        <v>1024</v>
      </c>
      <c r="D117" s="49"/>
      <c r="E117" s="49"/>
      <c r="F117" s="49"/>
      <c r="G117" s="49"/>
      <c r="H117" s="49"/>
      <c r="I117" s="49"/>
      <c r="J117" s="49"/>
      <c r="K117" s="49"/>
      <c r="L117" s="49"/>
      <c r="M117" s="389"/>
      <c r="N117" s="19"/>
      <c r="O117" s="19"/>
      <c r="P117" s="19"/>
      <c r="Q117" s="19"/>
      <c r="R117" s="19"/>
      <c r="S117" s="19"/>
    </row>
    <row r="118" customFormat="false" ht="12" hidden="false" customHeight="true" outlineLevel="0" collapsed="false">
      <c r="A118" s="19"/>
      <c r="B118" s="796"/>
      <c r="C118" s="49" t="s">
        <v>1025</v>
      </c>
      <c r="D118" s="49"/>
      <c r="E118" s="49"/>
      <c r="F118" s="49"/>
      <c r="G118" s="49"/>
      <c r="H118" s="49"/>
      <c r="I118" s="49"/>
      <c r="J118" s="49"/>
      <c r="K118" s="49"/>
      <c r="L118" s="49"/>
      <c r="M118" s="389"/>
      <c r="N118" s="19"/>
      <c r="O118" s="19"/>
      <c r="P118" s="19"/>
      <c r="Q118" s="19"/>
      <c r="R118" s="19"/>
      <c r="S118" s="19"/>
    </row>
    <row r="119" customFormat="false" ht="12.75" hidden="false" customHeight="true" outlineLevel="0" collapsed="false">
      <c r="A119" s="19"/>
      <c r="B119" s="797"/>
      <c r="C119" s="343" t="s">
        <v>1020</v>
      </c>
      <c r="D119" s="343"/>
      <c r="E119" s="343"/>
      <c r="F119" s="343"/>
      <c r="G119" s="343"/>
      <c r="H119" s="343"/>
      <c r="I119" s="343"/>
      <c r="J119" s="343"/>
      <c r="K119" s="343"/>
      <c r="L119" s="343"/>
      <c r="M119" s="381"/>
      <c r="N119" s="19"/>
      <c r="O119" s="19"/>
      <c r="P119" s="19"/>
      <c r="Q119" s="19"/>
      <c r="R119" s="19"/>
      <c r="S119" s="19"/>
    </row>
    <row r="120" customFormat="false" ht="12" hidden="false" customHeight="true" outlineLevel="0" collapsed="false">
      <c r="A120" s="19"/>
      <c r="B120" s="798" t="s">
        <v>998</v>
      </c>
      <c r="C120" s="799" t="s">
        <v>999</v>
      </c>
      <c r="D120" s="800"/>
      <c r="E120" s="800" t="s">
        <v>1000</v>
      </c>
      <c r="F120" s="800"/>
      <c r="G120" s="800"/>
      <c r="H120" s="799" t="s">
        <v>1001</v>
      </c>
      <c r="I120" s="800"/>
      <c r="J120" s="815"/>
      <c r="K120" s="488"/>
      <c r="L120" s="488"/>
      <c r="M120" s="489"/>
      <c r="N120" s="19"/>
      <c r="O120" s="19"/>
      <c r="P120" s="19"/>
      <c r="Q120" s="19"/>
      <c r="R120" s="19"/>
      <c r="S120" s="19"/>
    </row>
    <row r="121" customFormat="false" ht="12" hidden="false" customHeight="true" outlineLevel="0" collapsed="false">
      <c r="A121" s="19"/>
      <c r="B121" s="802" t="n">
        <v>1</v>
      </c>
      <c r="C121" s="112" t="n">
        <v>30</v>
      </c>
      <c r="D121" s="112" t="s">
        <v>314</v>
      </c>
      <c r="E121" s="804" t="n">
        <v>8</v>
      </c>
      <c r="F121" s="803" t="s">
        <v>1002</v>
      </c>
      <c r="G121" s="803" t="s">
        <v>0</v>
      </c>
      <c r="H121" s="805" t="n">
        <v>0.08</v>
      </c>
      <c r="I121" s="803" t="s">
        <v>457</v>
      </c>
      <c r="J121" s="490"/>
      <c r="K121" s="292" t="s">
        <v>0</v>
      </c>
      <c r="L121" s="292"/>
      <c r="M121" s="492"/>
      <c r="N121" s="19"/>
      <c r="O121" s="19"/>
      <c r="P121" s="19"/>
      <c r="Q121" s="19"/>
      <c r="R121" s="19"/>
      <c r="S121" s="19"/>
    </row>
    <row r="122" customFormat="false" ht="12" hidden="false" customHeight="true" outlineLevel="0" collapsed="false">
      <c r="A122" s="19"/>
      <c r="B122" s="802" t="n">
        <v>2</v>
      </c>
      <c r="C122" s="112" t="n">
        <v>145</v>
      </c>
      <c r="D122" s="112" t="s">
        <v>314</v>
      </c>
      <c r="E122" s="804" t="n">
        <v>15</v>
      </c>
      <c r="F122" s="803" t="s">
        <v>1002</v>
      </c>
      <c r="G122" s="803"/>
      <c r="H122" s="805" t="n">
        <v>0.15</v>
      </c>
      <c r="I122" s="803" t="s">
        <v>457</v>
      </c>
      <c r="J122" s="490"/>
      <c r="K122" s="292" t="s">
        <v>998</v>
      </c>
      <c r="L122" s="50" t="n">
        <v>7</v>
      </c>
      <c r="M122" s="492"/>
      <c r="N122" s="19"/>
      <c r="O122" s="19"/>
      <c r="P122" s="19"/>
      <c r="Q122" s="19"/>
      <c r="R122" s="19"/>
      <c r="S122" s="19"/>
    </row>
    <row r="123" customFormat="false" ht="12" hidden="false" customHeight="true" outlineLevel="0" collapsed="false">
      <c r="A123" s="19"/>
      <c r="B123" s="802" t="n">
        <v>3</v>
      </c>
      <c r="C123" s="112" t="n">
        <v>435</v>
      </c>
      <c r="D123" s="112" t="s">
        <v>314</v>
      </c>
      <c r="E123" s="804" t="n">
        <v>24</v>
      </c>
      <c r="F123" s="803" t="s">
        <v>1002</v>
      </c>
      <c r="G123" s="803"/>
      <c r="H123" s="805" t="n">
        <v>0.24</v>
      </c>
      <c r="I123" s="803" t="s">
        <v>457</v>
      </c>
      <c r="J123" s="490"/>
      <c r="K123" s="292"/>
      <c r="L123" s="292"/>
      <c r="M123" s="492"/>
      <c r="N123" s="19"/>
      <c r="O123" s="19"/>
      <c r="P123" s="19"/>
      <c r="Q123" s="19"/>
      <c r="R123" s="19"/>
      <c r="S123" s="19"/>
    </row>
    <row r="124" customFormat="false" ht="12" hidden="false" customHeight="true" outlineLevel="0" collapsed="false">
      <c r="A124" s="19"/>
      <c r="B124" s="802" t="n">
        <v>4</v>
      </c>
      <c r="C124" s="112" t="n">
        <v>1270</v>
      </c>
      <c r="D124" s="112" t="s">
        <v>314</v>
      </c>
      <c r="E124" s="804" t="n">
        <v>57.5</v>
      </c>
      <c r="F124" s="803" t="s">
        <v>1002</v>
      </c>
      <c r="G124" s="803"/>
      <c r="H124" s="821" t="n">
        <v>0.575</v>
      </c>
      <c r="I124" s="803" t="s">
        <v>457</v>
      </c>
      <c r="J124" s="490"/>
      <c r="K124" s="292" t="s">
        <v>309</v>
      </c>
      <c r="L124" s="807" t="n">
        <f aca="false" t="array" ref="L124:L124">INDEX(C121:C134,L122,1)</f>
        <v>10000</v>
      </c>
      <c r="M124" s="492"/>
      <c r="N124" s="19"/>
      <c r="O124" s="19"/>
      <c r="P124" s="19"/>
      <c r="Q124" s="19"/>
      <c r="R124" s="19"/>
      <c r="S124" s="19"/>
    </row>
    <row r="125" customFormat="false" ht="12" hidden="false" customHeight="true" outlineLevel="0" collapsed="false">
      <c r="A125" s="19"/>
      <c r="B125" s="802" t="n">
        <v>5</v>
      </c>
      <c r="C125" s="803" t="n">
        <v>2000</v>
      </c>
      <c r="D125" s="803" t="s">
        <v>314</v>
      </c>
      <c r="E125" s="817" t="n">
        <v>65.6</v>
      </c>
      <c r="F125" s="803" t="s">
        <v>1002</v>
      </c>
      <c r="G125" s="803"/>
      <c r="H125" s="818" t="n">
        <v>0.656</v>
      </c>
      <c r="I125" s="803" t="s">
        <v>457</v>
      </c>
      <c r="J125" s="490"/>
      <c r="K125" s="292"/>
      <c r="L125" s="292"/>
      <c r="M125" s="492"/>
      <c r="N125" s="19"/>
      <c r="O125" s="19"/>
      <c r="P125" s="19"/>
      <c r="Q125" s="19"/>
      <c r="R125" s="19"/>
      <c r="S125" s="19"/>
    </row>
    <row r="126" customFormat="false" ht="12" hidden="false" customHeight="true" outlineLevel="0" collapsed="false">
      <c r="A126" s="19"/>
      <c r="B126" s="802" t="n">
        <v>6</v>
      </c>
      <c r="C126" s="112" t="n">
        <v>2400</v>
      </c>
      <c r="D126" s="112" t="s">
        <v>314</v>
      </c>
      <c r="E126" s="804" t="n">
        <v>68.5</v>
      </c>
      <c r="F126" s="803" t="s">
        <v>1002</v>
      </c>
      <c r="G126" s="803"/>
      <c r="H126" s="821" t="n">
        <v>0.685</v>
      </c>
      <c r="I126" s="803" t="s">
        <v>457</v>
      </c>
      <c r="J126" s="490"/>
      <c r="K126" s="292" t="s">
        <v>1004</v>
      </c>
      <c r="L126" s="808" t="n">
        <v>0.5</v>
      </c>
      <c r="M126" s="492"/>
      <c r="N126" s="19"/>
      <c r="O126" s="19"/>
      <c r="P126" s="19"/>
      <c r="Q126" s="19"/>
      <c r="R126" s="19"/>
      <c r="S126" s="19"/>
    </row>
    <row r="127" customFormat="false" ht="12" hidden="false" customHeight="true" outlineLevel="0" collapsed="false">
      <c r="A127" s="19"/>
      <c r="B127" s="802" t="n">
        <v>7</v>
      </c>
      <c r="C127" s="819" t="n">
        <v>10000</v>
      </c>
      <c r="D127" s="803" t="s">
        <v>314</v>
      </c>
      <c r="E127" s="817" t="n">
        <v>91.8</v>
      </c>
      <c r="F127" s="803" t="s">
        <v>1002</v>
      </c>
      <c r="G127" s="803"/>
      <c r="H127" s="818" t="n">
        <v>0.918</v>
      </c>
      <c r="I127" s="803" t="s">
        <v>457</v>
      </c>
      <c r="J127" s="490"/>
      <c r="K127" s="292"/>
      <c r="L127" s="292"/>
      <c r="M127" s="492"/>
      <c r="N127" s="19"/>
      <c r="O127" s="19"/>
      <c r="P127" s="19"/>
      <c r="Q127" s="19"/>
      <c r="R127" s="19"/>
      <c r="S127" s="19"/>
    </row>
    <row r="128" customFormat="false" ht="12" hidden="false" customHeight="true" outlineLevel="0" collapsed="false">
      <c r="A128" s="19"/>
      <c r="B128" s="802" t="n">
        <v>8</v>
      </c>
      <c r="C128" s="819" t="n">
        <v>18000</v>
      </c>
      <c r="D128" s="803" t="s">
        <v>314</v>
      </c>
      <c r="E128" s="817" t="n">
        <v>124.6</v>
      </c>
      <c r="F128" s="803" t="s">
        <v>1002</v>
      </c>
      <c r="G128" s="803"/>
      <c r="H128" s="818" t="n">
        <v>1.246</v>
      </c>
      <c r="I128" s="803" t="s">
        <v>457</v>
      </c>
      <c r="J128" s="490"/>
      <c r="K128" s="292" t="s">
        <v>1005</v>
      </c>
      <c r="L128" s="809" t="n">
        <f aca="false" t="array" ref="L128:L128">(INDEX(H121:H134,L122,1))*L126</f>
        <v>0.459</v>
      </c>
      <c r="M128" s="492"/>
      <c r="N128" s="19"/>
      <c r="O128" s="19"/>
      <c r="P128" s="19"/>
      <c r="Q128" s="19"/>
      <c r="R128" s="19"/>
      <c r="S128" s="19"/>
    </row>
    <row r="129" customFormat="false" ht="12" hidden="false" customHeight="true" outlineLevel="0" collapsed="false">
      <c r="A129" s="19"/>
      <c r="B129" s="802"/>
      <c r="C129" s="820"/>
      <c r="D129" s="803"/>
      <c r="E129" s="804"/>
      <c r="F129" s="803"/>
      <c r="G129" s="803"/>
      <c r="H129" s="805"/>
      <c r="I129" s="803"/>
      <c r="J129" s="490"/>
      <c r="K129" s="292"/>
      <c r="L129" s="292"/>
      <c r="M129" s="492"/>
      <c r="N129" s="19"/>
      <c r="O129" s="19"/>
      <c r="P129" s="19"/>
      <c r="Q129" s="19"/>
      <c r="R129" s="19"/>
      <c r="S129" s="19"/>
    </row>
    <row r="130" customFormat="false" ht="12" hidden="false" customHeight="true" outlineLevel="0" collapsed="false">
      <c r="A130" s="19"/>
      <c r="B130" s="802"/>
      <c r="C130" s="820"/>
      <c r="D130" s="803"/>
      <c r="E130" s="804"/>
      <c r="F130" s="803" t="s">
        <v>0</v>
      </c>
      <c r="G130" s="803"/>
      <c r="H130" s="805"/>
      <c r="I130" s="803"/>
      <c r="J130" s="490"/>
      <c r="K130" s="292"/>
      <c r="L130" s="292"/>
      <c r="M130" s="492"/>
      <c r="N130" s="19"/>
      <c r="O130" s="19"/>
      <c r="P130" s="19"/>
      <c r="Q130" s="19"/>
      <c r="R130" s="19"/>
      <c r="S130" s="19"/>
    </row>
    <row r="131" customFormat="false" ht="12" hidden="false" customHeight="true" outlineLevel="0" collapsed="false">
      <c r="A131" s="19"/>
      <c r="B131" s="802"/>
      <c r="C131" s="820"/>
      <c r="D131" s="803"/>
      <c r="E131" s="804"/>
      <c r="F131" s="803"/>
      <c r="G131" s="803"/>
      <c r="H131" s="805"/>
      <c r="I131" s="803"/>
      <c r="J131" s="490"/>
      <c r="K131" s="292"/>
      <c r="L131" s="292"/>
      <c r="M131" s="492"/>
      <c r="N131" s="19"/>
      <c r="O131" s="19"/>
      <c r="P131" s="19"/>
      <c r="Q131" s="19"/>
      <c r="R131" s="19"/>
      <c r="S131" s="19"/>
    </row>
    <row r="132" customFormat="false" ht="12" hidden="false" customHeight="true" outlineLevel="0" collapsed="false">
      <c r="A132" s="19"/>
      <c r="B132" s="802"/>
      <c r="C132" s="820"/>
      <c r="D132" s="803"/>
      <c r="E132" s="804"/>
      <c r="F132" s="803"/>
      <c r="G132" s="803"/>
      <c r="H132" s="805"/>
      <c r="I132" s="803"/>
      <c r="J132" s="490"/>
      <c r="K132" s="292"/>
      <c r="L132" s="23" t="s">
        <v>60</v>
      </c>
      <c r="M132" s="492"/>
      <c r="N132" s="19"/>
      <c r="O132" s="19"/>
      <c r="P132" s="19"/>
      <c r="Q132" s="19"/>
      <c r="R132" s="19"/>
      <c r="S132" s="19"/>
    </row>
    <row r="133" customFormat="false" ht="12" hidden="false" customHeight="true" outlineLevel="0" collapsed="false">
      <c r="A133" s="19"/>
      <c r="B133" s="802"/>
      <c r="C133" s="820"/>
      <c r="D133" s="803"/>
      <c r="E133" s="804"/>
      <c r="F133" s="803"/>
      <c r="G133" s="803"/>
      <c r="H133" s="805"/>
      <c r="I133" s="803"/>
      <c r="J133" s="490" t="s">
        <v>1026</v>
      </c>
      <c r="K133" s="292"/>
      <c r="L133" s="292"/>
      <c r="M133" s="492"/>
      <c r="N133" s="19"/>
      <c r="O133" s="19"/>
      <c r="P133" s="19"/>
      <c r="Q133" s="19"/>
      <c r="R133" s="19"/>
      <c r="S133" s="19"/>
    </row>
    <row r="134" customFormat="false" ht="12.75" hidden="false" customHeight="true" outlineLevel="0" collapsed="false">
      <c r="A134" s="19"/>
      <c r="B134" s="810" t="s">
        <v>0</v>
      </c>
      <c r="C134" s="811" t="s">
        <v>0</v>
      </c>
      <c r="D134" s="811" t="s">
        <v>0</v>
      </c>
      <c r="E134" s="812"/>
      <c r="F134" s="811"/>
      <c r="G134" s="811"/>
      <c r="H134" s="813"/>
      <c r="I134" s="811"/>
      <c r="J134" s="495" t="s">
        <v>1022</v>
      </c>
      <c r="K134" s="496"/>
      <c r="L134" s="496"/>
      <c r="M134" s="498"/>
      <c r="N134" s="19"/>
      <c r="O134" s="19"/>
      <c r="P134" s="19"/>
      <c r="Q134" s="19"/>
      <c r="R134" s="19"/>
      <c r="S134" s="19"/>
    </row>
    <row r="135" customFormat="false" ht="12" hidden="false" customHeight="true" outlineLevel="0" collapsed="false">
      <c r="A135" s="19"/>
      <c r="B135" s="19"/>
      <c r="C135" s="19"/>
      <c r="D135" s="19"/>
      <c r="E135" s="19"/>
      <c r="F135" s="19"/>
      <c r="G135" s="19"/>
      <c r="H135" s="19"/>
      <c r="I135" s="19"/>
      <c r="J135" s="19"/>
      <c r="K135" s="19"/>
      <c r="L135" s="19"/>
      <c r="M135" s="19"/>
      <c r="N135" s="19"/>
      <c r="O135" s="19"/>
      <c r="P135" s="19"/>
      <c r="Q135" s="19"/>
      <c r="R135" s="19"/>
      <c r="S135" s="19"/>
    </row>
    <row r="136" customFormat="false" ht="12" hidden="false" customHeight="true" outlineLevel="0" collapsed="false">
      <c r="A136" s="19"/>
      <c r="B136" s="19"/>
      <c r="C136" s="19"/>
      <c r="D136" s="19"/>
      <c r="E136" s="19"/>
      <c r="F136" s="19"/>
      <c r="G136" s="19"/>
      <c r="H136" s="19"/>
      <c r="I136" s="19"/>
      <c r="J136" s="19"/>
      <c r="K136" s="19"/>
      <c r="L136" s="19"/>
      <c r="M136" s="19"/>
      <c r="N136" s="19"/>
      <c r="O136" s="19"/>
      <c r="P136" s="19"/>
      <c r="Q136" s="19"/>
      <c r="R136" s="19"/>
      <c r="S136" s="19"/>
    </row>
    <row r="137" customFormat="false" ht="12" hidden="false" customHeight="true" outlineLevel="0" collapsed="false">
      <c r="A137" s="19"/>
      <c r="B137" s="19"/>
      <c r="C137" s="19"/>
      <c r="D137" s="19"/>
      <c r="E137" s="19"/>
      <c r="F137" s="19"/>
      <c r="G137" s="19"/>
      <c r="H137" s="19"/>
      <c r="I137" s="19"/>
      <c r="J137" s="19"/>
      <c r="K137" s="19"/>
      <c r="L137" s="19"/>
      <c r="M137" s="19"/>
      <c r="N137" s="19"/>
      <c r="O137" s="19"/>
      <c r="P137" s="19"/>
      <c r="Q137" s="19"/>
      <c r="R137" s="19"/>
      <c r="S137" s="19"/>
    </row>
    <row r="138" customFormat="false" ht="12" hidden="false" customHeight="true" outlineLevel="0" collapsed="false">
      <c r="A138" s="19"/>
      <c r="B138" s="19"/>
      <c r="C138" s="19"/>
      <c r="D138" s="19"/>
      <c r="E138" s="19"/>
      <c r="F138" s="19"/>
      <c r="G138" s="19"/>
      <c r="H138" s="19"/>
      <c r="I138" s="19"/>
      <c r="J138" s="19"/>
      <c r="K138" s="19"/>
      <c r="L138" s="19"/>
      <c r="M138" s="19"/>
      <c r="N138" s="19"/>
      <c r="O138" s="19"/>
      <c r="P138" s="19"/>
      <c r="Q138" s="19"/>
      <c r="R138" s="19"/>
      <c r="S138" s="19"/>
    </row>
    <row r="139" customFormat="false" ht="12" hidden="false" customHeight="true" outlineLevel="0" collapsed="false">
      <c r="A139" s="19"/>
      <c r="B139" s="19"/>
      <c r="C139" s="19"/>
      <c r="D139" s="19"/>
      <c r="E139" s="19"/>
      <c r="F139" s="19"/>
      <c r="G139" s="19"/>
      <c r="H139" s="19"/>
      <c r="I139" s="19"/>
      <c r="J139" s="19"/>
      <c r="K139" s="19"/>
      <c r="L139" s="19"/>
      <c r="M139" s="19"/>
      <c r="N139" s="19"/>
      <c r="O139" s="19"/>
      <c r="P139" s="19"/>
      <c r="Q139" s="19"/>
      <c r="R139" s="19"/>
      <c r="S139" s="19"/>
    </row>
    <row r="140" customFormat="false" ht="12" hidden="false" customHeight="true" outlineLevel="0" collapsed="false">
      <c r="A140" s="19"/>
      <c r="B140" s="19"/>
      <c r="C140" s="19"/>
      <c r="D140" s="19"/>
      <c r="E140" s="19"/>
      <c r="F140" s="19"/>
      <c r="G140" s="19"/>
      <c r="H140" s="19"/>
      <c r="I140" s="19"/>
      <c r="J140" s="19"/>
      <c r="K140" s="19"/>
      <c r="L140" s="19"/>
      <c r="M140" s="19"/>
      <c r="N140" s="19"/>
      <c r="O140" s="19"/>
      <c r="P140" s="19"/>
      <c r="Q140" s="19"/>
      <c r="R140" s="19"/>
      <c r="S140" s="19"/>
    </row>
    <row r="141" customFormat="false" ht="12" hidden="false" customHeight="true" outlineLevel="0" collapsed="false">
      <c r="A141" s="19"/>
      <c r="B141" s="19"/>
      <c r="C141" s="19"/>
      <c r="D141" s="19"/>
      <c r="E141" s="19"/>
      <c r="F141" s="19"/>
      <c r="G141" s="19"/>
      <c r="H141" s="19"/>
      <c r="I141" s="19"/>
      <c r="J141" s="19"/>
      <c r="K141" s="19"/>
      <c r="L141" s="19"/>
      <c r="M141" s="19"/>
      <c r="N141" s="19"/>
      <c r="O141" s="19"/>
      <c r="P141" s="19"/>
      <c r="Q141" s="19"/>
      <c r="R141" s="19"/>
      <c r="S141" s="19"/>
    </row>
    <row r="142" customFormat="false" ht="12" hidden="false" customHeight="true" outlineLevel="0" collapsed="false">
      <c r="A142" s="19"/>
      <c r="B142" s="19"/>
      <c r="C142" s="19"/>
      <c r="D142" s="19"/>
      <c r="E142" s="19"/>
      <c r="F142" s="19"/>
      <c r="G142" s="19"/>
      <c r="H142" s="19"/>
      <c r="I142" s="19"/>
      <c r="J142" s="19"/>
      <c r="K142" s="19"/>
      <c r="L142" s="19"/>
      <c r="M142" s="19"/>
      <c r="N142" s="19"/>
      <c r="O142" s="19"/>
      <c r="P142" s="19"/>
      <c r="Q142" s="19"/>
      <c r="R142" s="19"/>
      <c r="S142" s="19"/>
    </row>
    <row r="143" customFormat="false" ht="12" hidden="false" customHeight="true" outlineLevel="0" collapsed="false">
      <c r="A143" s="19"/>
      <c r="B143" s="19"/>
      <c r="C143" s="19"/>
      <c r="D143" s="19"/>
      <c r="E143" s="19"/>
      <c r="F143" s="19"/>
      <c r="G143" s="19"/>
      <c r="H143" s="19"/>
      <c r="I143" s="19"/>
      <c r="J143" s="19"/>
      <c r="K143" s="19"/>
      <c r="L143" s="19"/>
      <c r="M143" s="19"/>
      <c r="N143" s="19"/>
      <c r="O143" s="19"/>
      <c r="P143" s="19"/>
      <c r="Q143" s="19"/>
      <c r="R143" s="19"/>
      <c r="S143" s="19"/>
    </row>
    <row r="144" customFormat="false" ht="12" hidden="false" customHeight="true" outlineLevel="0" collapsed="false">
      <c r="A144" s="19"/>
      <c r="B144" s="19"/>
      <c r="C144" s="19"/>
      <c r="D144" s="19"/>
      <c r="E144" s="19"/>
      <c r="F144" s="19"/>
      <c r="G144" s="19"/>
      <c r="H144" s="19"/>
      <c r="I144" s="19"/>
      <c r="J144" s="19"/>
      <c r="K144" s="19"/>
      <c r="L144" s="19"/>
      <c r="M144" s="19"/>
      <c r="N144" s="19"/>
      <c r="O144" s="19"/>
      <c r="P144" s="19"/>
      <c r="Q144" s="19"/>
      <c r="R144" s="19"/>
      <c r="S144" s="19"/>
    </row>
    <row r="145" customFormat="false" ht="12" hidden="false" customHeight="true" outlineLevel="0" collapsed="false">
      <c r="A145" s="19"/>
      <c r="B145" s="19"/>
      <c r="C145" s="19"/>
      <c r="D145" s="19"/>
      <c r="E145" s="19"/>
      <c r="F145" s="19"/>
      <c r="G145" s="19"/>
      <c r="H145" s="19"/>
      <c r="I145" s="19"/>
      <c r="J145" s="19"/>
      <c r="K145" s="19"/>
      <c r="L145" s="19"/>
      <c r="M145" s="19"/>
      <c r="N145" s="19"/>
      <c r="O145" s="19"/>
      <c r="P145" s="19"/>
      <c r="Q145" s="19"/>
      <c r="R145" s="19"/>
      <c r="S145" s="19"/>
    </row>
    <row r="146" customFormat="false" ht="12" hidden="false" customHeight="true" outlineLevel="0" collapsed="false">
      <c r="A146" s="19"/>
      <c r="B146" s="19"/>
      <c r="C146" s="19"/>
      <c r="D146" s="19"/>
      <c r="E146" s="19"/>
      <c r="F146" s="19"/>
      <c r="G146" s="19"/>
      <c r="H146" s="19"/>
      <c r="I146" s="19"/>
      <c r="J146" s="19"/>
      <c r="K146" s="19"/>
      <c r="L146" s="19"/>
      <c r="M146" s="19"/>
      <c r="N146" s="19"/>
      <c r="O146" s="19"/>
      <c r="P146" s="19"/>
      <c r="Q146" s="19"/>
      <c r="R146" s="19"/>
      <c r="S146" s="19"/>
    </row>
    <row r="147" customFormat="false" ht="12" hidden="false" customHeight="true" outlineLevel="0" collapsed="false">
      <c r="A147" s="19"/>
      <c r="B147" s="19"/>
      <c r="C147" s="19"/>
      <c r="D147" s="19"/>
      <c r="E147" s="19"/>
      <c r="F147" s="19"/>
      <c r="G147" s="19"/>
      <c r="H147" s="19"/>
      <c r="I147" s="19"/>
      <c r="J147" s="19"/>
      <c r="K147" s="19"/>
      <c r="L147" s="19"/>
      <c r="M147" s="19"/>
      <c r="N147" s="19"/>
      <c r="O147" s="19"/>
      <c r="P147" s="19"/>
      <c r="Q147" s="19"/>
      <c r="R147" s="19"/>
      <c r="S147" s="19"/>
    </row>
    <row r="148" customFormat="false" ht="12" hidden="false" customHeight="true" outlineLevel="0" collapsed="false">
      <c r="A148" s="19"/>
      <c r="B148" s="19"/>
      <c r="C148" s="19"/>
      <c r="D148" s="19"/>
      <c r="E148" s="19"/>
      <c r="F148" s="19"/>
      <c r="G148" s="19"/>
      <c r="H148" s="19"/>
      <c r="I148" s="19"/>
      <c r="J148" s="19"/>
      <c r="K148" s="19"/>
      <c r="L148" s="19"/>
      <c r="M148" s="19"/>
      <c r="N148" s="19"/>
      <c r="O148" s="19"/>
      <c r="P148" s="19"/>
      <c r="Q148" s="19"/>
      <c r="R148" s="19"/>
      <c r="S148" s="19"/>
    </row>
    <row r="149" customFormat="false" ht="12" hidden="false" customHeight="true" outlineLevel="0" collapsed="false">
      <c r="A149" s="19"/>
      <c r="B149" s="19"/>
      <c r="C149" s="19"/>
      <c r="D149" s="19"/>
      <c r="E149" s="19"/>
      <c r="F149" s="19"/>
      <c r="G149" s="19"/>
      <c r="H149" s="19"/>
      <c r="I149" s="19"/>
      <c r="J149" s="19"/>
      <c r="K149" s="19"/>
      <c r="L149" s="19"/>
      <c r="M149" s="19"/>
      <c r="N149" s="19"/>
      <c r="O149" s="19"/>
      <c r="P149" s="19"/>
      <c r="Q149" s="19"/>
      <c r="R149" s="19"/>
      <c r="S149" s="19"/>
    </row>
    <row r="150" customFormat="false" ht="12" hidden="false" customHeight="true" outlineLevel="0" collapsed="false">
      <c r="A150" s="19"/>
      <c r="B150" s="19"/>
      <c r="C150" s="19"/>
      <c r="D150" s="19"/>
      <c r="E150" s="19"/>
      <c r="F150" s="19"/>
      <c r="G150" s="19"/>
      <c r="H150" s="19"/>
      <c r="I150" s="19"/>
      <c r="J150" s="19"/>
      <c r="K150" s="19"/>
      <c r="L150" s="19"/>
      <c r="M150" s="19"/>
      <c r="N150" s="19"/>
      <c r="O150" s="19"/>
      <c r="P150" s="19"/>
      <c r="Q150" s="19"/>
      <c r="R150" s="19"/>
      <c r="S150" s="19"/>
    </row>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G10" r:id="rId2" display="http://www.ocarc.ca/coax.htm"/>
    <hyperlink ref="G13" r:id="rId3" display="http://www.timesmicrowave.com/cgi-bin/calculate.pl"/>
    <hyperlink ref="G17" r:id="rId4" display="http://www.radio-ware.com/products/techinfo/coax.loss.htm"/>
    <hyperlink ref="G19" r:id="rId5" display="http://www.meteorscatter.net/cable.htm"/>
    <hyperlink ref="G22" r:id="rId6" display="http://www.advancedmicrowave.com/products/product_frame.htm"/>
    <hyperlink ref="G24" r:id="rId7" display="http://www.microwaves101.com/encyclopedia/waveguide.cfm#frequenc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8"/>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C99"/>
    <pageSetUpPr fitToPage="false"/>
  </sheetPr>
  <dimension ref="A1:X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0" min="1" style="1" width="8.88"/>
    <col collapsed="false" customWidth="true" hidden="false" outlineLevel="0" max="11" min="11" style="1" width="10.38"/>
    <col collapsed="false" customWidth="true" hidden="false" outlineLevel="0" max="15" min="12" style="1" width="8.88"/>
    <col collapsed="false" customWidth="true" hidden="false" outlineLevel="0" max="16" min="16" style="1" width="1.75"/>
    <col collapsed="false" customWidth="true" hidden="false" outlineLevel="0" max="17" min="17" style="1" width="10.88"/>
    <col collapsed="false" customWidth="true" hidden="false" outlineLevel="0" max="24" min="18" style="1" width="8.88"/>
    <col collapsed="false" customWidth="true" hidden="false" outlineLevel="0" max="26" min="25" style="1" width="14.38"/>
  </cols>
  <sheetData>
    <row r="1" customFormat="false" ht="18" hidden="false" customHeight="true" outlineLevel="0" collapsed="false">
      <c r="A1" s="39" t="s">
        <v>1027</v>
      </c>
      <c r="B1" s="10"/>
      <c r="C1" s="10"/>
      <c r="D1" s="10"/>
      <c r="E1" s="10"/>
      <c r="F1" s="10"/>
      <c r="G1" s="10"/>
      <c r="H1" s="10"/>
      <c r="I1" s="10"/>
      <c r="J1" s="10"/>
      <c r="K1" s="10"/>
      <c r="L1" s="10"/>
      <c r="M1" s="10"/>
      <c r="N1" s="10"/>
      <c r="O1" s="10"/>
      <c r="P1" s="10"/>
      <c r="Q1" s="10"/>
      <c r="R1" s="10"/>
      <c r="S1" s="10"/>
      <c r="T1" s="10"/>
      <c r="U1" s="10"/>
      <c r="V1" s="10"/>
      <c r="W1" s="10"/>
      <c r="X1" s="10"/>
    </row>
    <row r="2" customFormat="false" ht="12" hidden="false" customHeight="true" outlineLevel="0" collapsed="false">
      <c r="A2" s="19"/>
      <c r="B2" s="19"/>
      <c r="C2" s="19"/>
      <c r="D2" s="19"/>
      <c r="E2" s="19"/>
      <c r="F2" s="19"/>
      <c r="G2" s="19"/>
      <c r="H2" s="19"/>
      <c r="I2" s="19"/>
      <c r="J2" s="19"/>
      <c r="K2" s="19"/>
      <c r="L2" s="19"/>
      <c r="M2" s="19"/>
      <c r="N2" s="19"/>
      <c r="O2" s="19"/>
      <c r="P2" s="19"/>
      <c r="Q2" s="19"/>
      <c r="R2" s="19"/>
      <c r="S2" s="19"/>
      <c r="T2" s="19"/>
      <c r="U2" s="19"/>
      <c r="V2" s="19"/>
      <c r="W2" s="19"/>
      <c r="X2" s="19"/>
    </row>
    <row r="3" customFormat="false" ht="12" hidden="false" customHeight="true" outlineLevel="0" collapsed="false">
      <c r="A3" s="19"/>
      <c r="B3" s="23" t="s">
        <v>60</v>
      </c>
      <c r="C3" s="19"/>
      <c r="D3" s="19"/>
      <c r="E3" s="19"/>
      <c r="F3" s="19"/>
      <c r="G3" s="19"/>
      <c r="H3" s="19"/>
      <c r="I3" s="19"/>
      <c r="J3" s="19"/>
      <c r="K3" s="19"/>
      <c r="L3" s="19"/>
      <c r="M3" s="19"/>
      <c r="N3" s="19"/>
      <c r="O3" s="19"/>
      <c r="P3" s="19"/>
      <c r="Q3" s="19"/>
      <c r="R3" s="19"/>
      <c r="S3" s="19"/>
      <c r="T3" s="19"/>
      <c r="U3" s="19"/>
      <c r="V3" s="19"/>
      <c r="W3" s="19"/>
      <c r="X3" s="19"/>
    </row>
    <row r="4" customFormat="false" ht="12" hidden="false" customHeight="true" outlineLevel="0" collapsed="false">
      <c r="A4" s="19"/>
      <c r="B4" s="37"/>
      <c r="C4" s="19"/>
      <c r="D4" s="19"/>
      <c r="E4" s="19"/>
      <c r="F4" s="19"/>
      <c r="G4" s="19"/>
      <c r="H4" s="19"/>
      <c r="I4" s="19"/>
      <c r="J4" s="19"/>
      <c r="K4" s="19"/>
      <c r="L4" s="19"/>
      <c r="M4" s="19"/>
      <c r="N4" s="19"/>
      <c r="O4" s="19"/>
      <c r="P4" s="19"/>
      <c r="Q4" s="19"/>
      <c r="R4" s="19"/>
      <c r="S4" s="19"/>
      <c r="T4" s="19"/>
      <c r="U4" s="19"/>
      <c r="V4" s="19"/>
      <c r="W4" s="19"/>
      <c r="X4" s="19"/>
    </row>
    <row r="5" customFormat="false" ht="12" hidden="false" customHeight="true" outlineLevel="0" collapsed="false">
      <c r="A5" s="19"/>
      <c r="B5" s="37"/>
      <c r="C5" s="19"/>
      <c r="D5" s="19"/>
      <c r="E5" s="19"/>
      <c r="F5" s="19"/>
      <c r="G5" s="19"/>
      <c r="H5" s="19"/>
      <c r="I5" s="19"/>
      <c r="J5" s="19"/>
      <c r="K5" s="19"/>
      <c r="L5" s="19"/>
      <c r="M5" s="19"/>
      <c r="N5" s="19"/>
      <c r="O5" s="19"/>
      <c r="P5" s="19"/>
      <c r="Q5" s="19"/>
      <c r="R5" s="19"/>
      <c r="S5" s="19"/>
      <c r="T5" s="19"/>
      <c r="U5" s="19"/>
      <c r="V5" s="19"/>
      <c r="W5" s="19"/>
      <c r="X5" s="19"/>
    </row>
    <row r="6" customFormat="false" ht="12" hidden="false" customHeight="true" outlineLevel="0" collapsed="false">
      <c r="A6" s="19"/>
      <c r="B6" s="19"/>
      <c r="C6" s="19"/>
      <c r="D6" s="19" t="s">
        <v>1028</v>
      </c>
      <c r="E6" s="19"/>
      <c r="F6" s="19"/>
      <c r="G6" s="19" t="s">
        <v>0</v>
      </c>
      <c r="H6" s="822" t="n">
        <v>3</v>
      </c>
      <c r="I6" s="252" t="s">
        <v>728</v>
      </c>
      <c r="J6" s="791"/>
      <c r="K6" s="791"/>
      <c r="L6" s="791"/>
      <c r="M6" s="791"/>
      <c r="N6" s="791"/>
      <c r="O6" s="791"/>
      <c r="P6" s="791"/>
      <c r="Q6" s="791"/>
      <c r="R6" s="791"/>
      <c r="S6" s="791"/>
      <c r="T6" s="19"/>
      <c r="U6" s="19"/>
      <c r="V6" s="19"/>
      <c r="W6" s="19"/>
      <c r="X6" s="19"/>
    </row>
    <row r="7" customFormat="false" ht="12" hidden="false" customHeight="true" outlineLevel="0" collapsed="false">
      <c r="A7" s="19"/>
      <c r="B7" s="19"/>
      <c r="C7" s="19"/>
      <c r="D7" s="19"/>
      <c r="E7" s="19"/>
      <c r="F7" s="19"/>
      <c r="G7" s="19"/>
      <c r="H7" s="19"/>
      <c r="I7" s="19"/>
      <c r="J7" s="19"/>
      <c r="K7" s="19" t="s">
        <v>1029</v>
      </c>
      <c r="L7" s="19"/>
      <c r="M7" s="19"/>
      <c r="N7" s="19"/>
      <c r="O7" s="19"/>
      <c r="P7" s="19"/>
      <c r="Q7" s="19"/>
      <c r="R7" s="19"/>
      <c r="S7" s="19"/>
      <c r="T7" s="19"/>
      <c r="U7" s="19"/>
      <c r="V7" s="19"/>
      <c r="W7" s="19"/>
      <c r="X7" s="19"/>
    </row>
    <row r="8" customFormat="false" ht="12" hidden="false" customHeight="true" outlineLevel="0" collapsed="false">
      <c r="A8" s="19"/>
      <c r="B8" s="19"/>
      <c r="C8" s="19"/>
      <c r="D8" s="19" t="s">
        <v>1030</v>
      </c>
      <c r="E8" s="19"/>
      <c r="F8" s="19"/>
      <c r="G8" s="823" t="s">
        <v>0</v>
      </c>
      <c r="H8" s="824" t="n">
        <v>1.3</v>
      </c>
      <c r="I8" s="825" t="s">
        <v>1031</v>
      </c>
      <c r="J8" s="19"/>
      <c r="K8" s="126"/>
      <c r="L8" s="19"/>
      <c r="M8" s="19"/>
      <c r="N8" s="19"/>
      <c r="O8" s="19"/>
      <c r="P8" s="19"/>
      <c r="Q8" s="19"/>
      <c r="R8" s="19"/>
      <c r="S8" s="19"/>
      <c r="T8" s="19"/>
      <c r="U8" s="19"/>
      <c r="V8" s="19"/>
      <c r="W8" s="19"/>
      <c r="X8" s="19"/>
    </row>
    <row r="9" customFormat="false" ht="12" hidden="false" customHeight="true" outlineLevel="0" collapsed="false">
      <c r="A9" s="19"/>
      <c r="B9" s="19"/>
      <c r="C9" s="19"/>
      <c r="D9" s="19"/>
      <c r="E9" s="19"/>
      <c r="F9" s="19"/>
      <c r="G9" s="19"/>
      <c r="H9" s="19"/>
      <c r="I9" s="19"/>
      <c r="J9" s="19"/>
      <c r="K9" s="19"/>
      <c r="L9" s="19"/>
      <c r="M9" s="19"/>
      <c r="N9" s="19"/>
      <c r="O9" s="19"/>
      <c r="P9" s="19"/>
      <c r="Q9" s="19"/>
      <c r="R9" s="19"/>
      <c r="S9" s="19"/>
      <c r="T9" s="19"/>
      <c r="U9" s="19"/>
      <c r="V9" s="19"/>
      <c r="W9" s="19"/>
      <c r="X9" s="19"/>
    </row>
    <row r="10" customFormat="false" ht="12" hidden="false" customHeight="true" outlineLevel="0" collapsed="false">
      <c r="A10" s="19"/>
      <c r="B10" s="19"/>
      <c r="C10" s="19"/>
      <c r="D10" s="19" t="s">
        <v>1032</v>
      </c>
      <c r="E10" s="19"/>
      <c r="F10" s="19"/>
      <c r="G10" s="19"/>
      <c r="H10" s="826" t="n">
        <f aca="false">(H6*((H8-1)^2))/((H8+1)^2)</f>
        <v>0.05103969754</v>
      </c>
      <c r="I10" s="340" t="s">
        <v>728</v>
      </c>
      <c r="J10" s="19"/>
      <c r="K10" s="827" t="n">
        <f aca="false">H10/H6</f>
        <v>0.01701323251</v>
      </c>
      <c r="L10" s="19" t="s">
        <v>1033</v>
      </c>
      <c r="M10" s="19"/>
      <c r="N10" s="19"/>
      <c r="O10" s="19"/>
      <c r="P10" s="19"/>
      <c r="Q10" s="19"/>
      <c r="R10" s="19"/>
      <c r="S10" s="19"/>
      <c r="T10" s="19"/>
      <c r="U10" s="19"/>
      <c r="V10" s="19"/>
      <c r="W10" s="19"/>
      <c r="X10" s="19"/>
    </row>
    <row r="11" customFormat="false" ht="12" hidden="false" customHeight="true" outlineLevel="0" collapsed="false">
      <c r="A11" s="19"/>
      <c r="B11" s="19"/>
      <c r="C11" s="19"/>
      <c r="D11" s="19"/>
      <c r="E11" s="19"/>
      <c r="F11" s="19"/>
      <c r="G11" s="19"/>
      <c r="H11" s="19"/>
      <c r="I11" s="19"/>
      <c r="J11" s="19"/>
      <c r="K11" s="19"/>
      <c r="L11" s="19"/>
      <c r="M11" s="19"/>
      <c r="N11" s="19"/>
      <c r="O11" s="19"/>
      <c r="P11" s="19"/>
      <c r="Q11" s="19"/>
      <c r="R11" s="19"/>
      <c r="S11" s="19"/>
      <c r="T11" s="19"/>
      <c r="U11" s="19"/>
      <c r="V11" s="19"/>
      <c r="W11" s="19"/>
      <c r="X11" s="19"/>
    </row>
    <row r="12" customFormat="false" ht="12" hidden="false" customHeight="true" outlineLevel="0" collapsed="false">
      <c r="A12" s="19"/>
      <c r="B12" s="19"/>
      <c r="C12" s="19"/>
      <c r="D12" s="19" t="s">
        <v>1034</v>
      </c>
      <c r="E12" s="19"/>
      <c r="F12" s="19"/>
      <c r="G12" s="19"/>
      <c r="H12" s="826" t="n">
        <f aca="false">H6-H10</f>
        <v>2.948960302</v>
      </c>
      <c r="I12" s="340" t="s">
        <v>728</v>
      </c>
      <c r="J12" s="19"/>
      <c r="K12" s="827" t="n">
        <f aca="false">1-K10</f>
        <v>0.9829867675</v>
      </c>
      <c r="L12" s="19" t="s">
        <v>1033</v>
      </c>
      <c r="M12" s="19"/>
      <c r="N12" s="19"/>
      <c r="O12" s="19"/>
      <c r="P12" s="19"/>
      <c r="Q12" s="19"/>
      <c r="R12" s="19"/>
      <c r="S12" s="19"/>
      <c r="T12" s="19"/>
      <c r="U12" s="19"/>
      <c r="V12" s="19"/>
      <c r="W12" s="19"/>
      <c r="X12" s="19"/>
    </row>
    <row r="13" customFormat="false" ht="12" hidden="false" customHeight="true" outlineLevel="0" collapsed="false">
      <c r="A13" s="19"/>
      <c r="B13" s="19"/>
      <c r="C13" s="19"/>
      <c r="D13" s="19"/>
      <c r="E13" s="19"/>
      <c r="F13" s="19"/>
      <c r="G13" s="19"/>
      <c r="H13" s="19"/>
      <c r="I13" s="19"/>
      <c r="J13" s="19"/>
      <c r="K13" s="19"/>
      <c r="L13" s="19"/>
      <c r="M13" s="19"/>
      <c r="N13" s="19"/>
      <c r="O13" s="19"/>
      <c r="P13" s="19"/>
      <c r="Q13" s="19"/>
      <c r="R13" s="19"/>
      <c r="S13" s="19"/>
      <c r="T13" s="19"/>
      <c r="U13" s="19"/>
      <c r="V13" s="19"/>
      <c r="W13" s="19"/>
      <c r="X13" s="19"/>
    </row>
    <row r="14" customFormat="false" ht="12" hidden="false" customHeight="true" outlineLevel="0" collapsed="false">
      <c r="A14" s="19"/>
      <c r="B14" s="19"/>
      <c r="C14" s="19"/>
      <c r="D14" s="19" t="s">
        <v>1035</v>
      </c>
      <c r="E14" s="19"/>
      <c r="F14" s="19"/>
      <c r="G14" s="19"/>
      <c r="H14" s="828" t="n">
        <f aca="false">-10*LOG10(H12/H6)</f>
        <v>0.074523284</v>
      </c>
      <c r="I14" s="340" t="s">
        <v>258</v>
      </c>
      <c r="J14" s="19"/>
      <c r="K14" s="19" t="s">
        <v>1036</v>
      </c>
      <c r="L14" s="19"/>
      <c r="M14" s="19"/>
      <c r="N14" s="19"/>
      <c r="O14" s="19"/>
      <c r="P14" s="19"/>
      <c r="Q14" s="19"/>
      <c r="R14" s="19"/>
      <c r="S14" s="19"/>
      <c r="T14" s="19"/>
      <c r="U14" s="19"/>
      <c r="V14" s="19"/>
      <c r="W14" s="19"/>
      <c r="X14" s="19"/>
    </row>
    <row r="15" customFormat="false" ht="12" hidden="false" customHeight="true" outlineLevel="0" collapsed="false">
      <c r="A15" s="19"/>
      <c r="B15" s="19"/>
      <c r="C15" s="19"/>
      <c r="D15" s="19"/>
      <c r="E15" s="19"/>
      <c r="F15" s="19"/>
      <c r="G15" s="19"/>
      <c r="H15" s="791"/>
      <c r="I15" s="791"/>
      <c r="J15" s="791"/>
      <c r="K15" s="19" t="s">
        <v>1037</v>
      </c>
      <c r="L15" s="791"/>
      <c r="M15" s="791"/>
      <c r="N15" s="791"/>
      <c r="O15" s="791"/>
      <c r="P15" s="791"/>
      <c r="Q15" s="791"/>
      <c r="R15" s="791"/>
      <c r="S15" s="791"/>
      <c r="T15" s="19"/>
      <c r="U15" s="19"/>
      <c r="V15" s="19"/>
      <c r="W15" s="19"/>
      <c r="X15" s="19"/>
    </row>
    <row r="16" customFormat="false" ht="12" hidden="false" customHeight="true" outlineLevel="0" collapsed="false">
      <c r="A16" s="19"/>
      <c r="B16" s="19"/>
      <c r="C16" s="19"/>
      <c r="D16" s="19"/>
      <c r="E16" s="19"/>
      <c r="F16" s="19"/>
      <c r="G16" s="19"/>
      <c r="H16" s="791"/>
      <c r="I16" s="791"/>
      <c r="J16" s="791"/>
      <c r="K16" s="791"/>
      <c r="L16" s="791"/>
      <c r="M16" s="791"/>
      <c r="N16" s="791"/>
      <c r="O16" s="791"/>
      <c r="P16" s="791"/>
      <c r="Q16" s="791"/>
      <c r="R16" s="791"/>
      <c r="S16" s="791"/>
      <c r="T16" s="19"/>
      <c r="U16" s="19"/>
      <c r="V16" s="19"/>
      <c r="W16" s="19"/>
      <c r="X16" s="19"/>
    </row>
    <row r="17" customFormat="false" ht="12" hidden="false" customHeight="true" outlineLevel="0" collapsed="false">
      <c r="A17" s="19"/>
      <c r="B17" s="19"/>
      <c r="C17" s="19"/>
      <c r="D17" s="19"/>
      <c r="E17" s="19"/>
      <c r="F17" s="19"/>
      <c r="G17" s="19"/>
      <c r="H17" s="791"/>
      <c r="I17" s="791"/>
      <c r="J17" s="791"/>
      <c r="K17" s="791"/>
      <c r="L17" s="791"/>
      <c r="M17" s="791"/>
      <c r="N17" s="791"/>
      <c r="O17" s="791"/>
      <c r="P17" s="791"/>
      <c r="Q17" s="791"/>
      <c r="R17" s="791"/>
      <c r="S17" s="791"/>
      <c r="T17" s="19"/>
      <c r="U17" s="499" t="s">
        <v>1038</v>
      </c>
      <c r="V17" s="499"/>
      <c r="W17" s="499"/>
      <c r="X17" s="19"/>
    </row>
    <row r="18" customFormat="false" ht="12" hidden="false" customHeight="true" outlineLevel="0" collapsed="false">
      <c r="A18" s="19"/>
      <c r="B18" s="19"/>
      <c r="C18" s="19"/>
      <c r="D18" s="19"/>
      <c r="E18" s="19"/>
      <c r="F18" s="19"/>
      <c r="G18" s="19"/>
      <c r="H18" s="791"/>
      <c r="I18" s="791"/>
      <c r="J18" s="791"/>
      <c r="K18" s="791"/>
      <c r="L18" s="791"/>
      <c r="M18" s="791"/>
      <c r="N18" s="791"/>
      <c r="O18" s="791"/>
      <c r="P18" s="791"/>
      <c r="Q18" s="791"/>
      <c r="R18" s="791"/>
      <c r="S18" s="791"/>
      <c r="T18" s="19"/>
      <c r="U18" s="19" t="s">
        <v>1039</v>
      </c>
      <c r="V18" s="213" t="n">
        <f aca="false">SQRT(O19^2+Q19^2)</f>
        <v>50</v>
      </c>
      <c r="W18" s="829" t="s">
        <v>1040</v>
      </c>
      <c r="X18" s="19"/>
    </row>
    <row r="19" customFormat="false" ht="12" hidden="false" customHeight="true" outlineLevel="0" collapsed="false">
      <c r="A19" s="19"/>
      <c r="B19" s="19"/>
      <c r="C19" s="19"/>
      <c r="D19" s="19"/>
      <c r="E19" s="19"/>
      <c r="F19" s="19"/>
      <c r="G19" s="19"/>
      <c r="H19" s="791"/>
      <c r="I19" s="791"/>
      <c r="J19" s="791"/>
      <c r="K19" s="791"/>
      <c r="L19" s="791"/>
      <c r="M19" s="19" t="s">
        <v>1041</v>
      </c>
      <c r="N19" s="791"/>
      <c r="O19" s="50" t="n">
        <v>50</v>
      </c>
      <c r="P19" s="98" t="s">
        <v>1042</v>
      </c>
      <c r="Q19" s="830" t="n">
        <v>0</v>
      </c>
      <c r="R19" s="791"/>
      <c r="S19" s="791"/>
      <c r="T19" s="19"/>
      <c r="U19" s="19"/>
      <c r="V19" s="213"/>
      <c r="W19" s="19"/>
      <c r="X19" s="19"/>
    </row>
    <row r="20" customFormat="false" ht="12" hidden="false" customHeight="true" outlineLevel="0" collapsed="false">
      <c r="A20" s="19"/>
      <c r="B20" s="19"/>
      <c r="C20" s="19"/>
      <c r="D20" s="19"/>
      <c r="E20" s="19"/>
      <c r="F20" s="19"/>
      <c r="G20" s="19"/>
      <c r="H20" s="791"/>
      <c r="I20" s="791"/>
      <c r="J20" s="791"/>
      <c r="K20" s="791"/>
      <c r="L20" s="791"/>
      <c r="M20" s="791"/>
      <c r="N20" s="791"/>
      <c r="O20" s="791"/>
      <c r="P20" s="791"/>
      <c r="Q20" s="19"/>
      <c r="R20" s="791"/>
      <c r="S20" s="791"/>
      <c r="T20" s="19"/>
      <c r="U20" s="19" t="s">
        <v>1043</v>
      </c>
      <c r="V20" s="213" t="n">
        <f aca="false">SQRT(O21^2+Q21^2)</f>
        <v>79.0569415</v>
      </c>
      <c r="W20" s="829" t="s">
        <v>1040</v>
      </c>
      <c r="X20" s="19"/>
    </row>
    <row r="21" customFormat="false" ht="12" hidden="false" customHeight="true" outlineLevel="0" collapsed="false">
      <c r="A21" s="19"/>
      <c r="B21" s="19"/>
      <c r="C21" s="19"/>
      <c r="D21" s="19"/>
      <c r="E21" s="19"/>
      <c r="F21" s="19"/>
      <c r="G21" s="19"/>
      <c r="H21" s="791"/>
      <c r="I21" s="791"/>
      <c r="J21" s="791"/>
      <c r="K21" s="791"/>
      <c r="L21" s="791"/>
      <c r="M21" s="19" t="s">
        <v>1044</v>
      </c>
      <c r="N21" s="791"/>
      <c r="O21" s="50" t="n">
        <v>75</v>
      </c>
      <c r="P21" s="98" t="s">
        <v>1042</v>
      </c>
      <c r="Q21" s="830" t="n">
        <v>-25</v>
      </c>
      <c r="R21" s="791"/>
      <c r="S21" s="791"/>
      <c r="T21" s="19"/>
      <c r="U21" s="19"/>
      <c r="V21" s="19"/>
      <c r="W21" s="19"/>
      <c r="X21" s="19"/>
    </row>
    <row r="22" customFormat="false" ht="12" hidden="false" customHeight="true" outlineLevel="0" collapsed="false">
      <c r="A22" s="19"/>
      <c r="B22" s="19"/>
      <c r="C22" s="19"/>
      <c r="D22" s="19"/>
      <c r="E22" s="19"/>
      <c r="F22" s="19"/>
      <c r="G22" s="19"/>
      <c r="H22" s="791"/>
      <c r="I22" s="791"/>
      <c r="J22" s="791"/>
      <c r="K22" s="791"/>
      <c r="L22" s="791"/>
      <c r="M22" s="791"/>
      <c r="N22" s="791"/>
      <c r="O22" s="791"/>
      <c r="P22" s="791"/>
      <c r="Q22" s="791"/>
      <c r="R22" s="791"/>
      <c r="S22" s="791"/>
      <c r="T22" s="19"/>
      <c r="U22" s="19"/>
      <c r="V22" s="23" t="s">
        <v>60</v>
      </c>
      <c r="W22" s="19"/>
      <c r="X22" s="19"/>
    </row>
    <row r="23" customFormat="false" ht="12" hidden="false" customHeight="true" outlineLevel="0" collapsed="false">
      <c r="A23" s="19"/>
      <c r="B23" s="19"/>
      <c r="C23" s="19"/>
      <c r="D23" s="19"/>
      <c r="E23" s="19"/>
      <c r="F23" s="19"/>
      <c r="G23" s="19"/>
      <c r="H23" s="791"/>
      <c r="I23" s="791"/>
      <c r="J23" s="791"/>
      <c r="K23" s="791"/>
      <c r="L23" s="791"/>
      <c r="M23" s="19" t="s">
        <v>1045</v>
      </c>
      <c r="N23" s="791"/>
      <c r="O23" s="831" t="n">
        <f aca="false">IF(V18&gt;V20,V18/V20,V20/V18)</f>
        <v>1.58113883</v>
      </c>
      <c r="P23" s="215"/>
      <c r="Q23" s="791"/>
      <c r="R23" s="791"/>
      <c r="S23" s="791"/>
      <c r="T23" s="19"/>
      <c r="U23" s="19"/>
      <c r="V23" s="19"/>
      <c r="W23" s="19"/>
      <c r="X23" s="19"/>
    </row>
    <row r="24" customFormat="false" ht="12" hidden="false" customHeight="true" outlineLevel="0" collapsed="false">
      <c r="A24" s="19"/>
      <c r="B24" s="19"/>
      <c r="C24" s="19"/>
      <c r="D24" s="19"/>
      <c r="E24" s="19"/>
      <c r="F24" s="19"/>
      <c r="G24" s="19"/>
      <c r="H24" s="791"/>
      <c r="I24" s="791"/>
      <c r="J24" s="791"/>
      <c r="K24" s="791"/>
      <c r="L24" s="791"/>
      <c r="M24" s="791"/>
      <c r="N24" s="791"/>
      <c r="O24" s="791"/>
      <c r="P24" s="791"/>
      <c r="Q24" s="19" t="s">
        <v>1046</v>
      </c>
      <c r="R24" s="791"/>
      <c r="S24" s="791"/>
      <c r="T24" s="19"/>
      <c r="U24" s="19"/>
      <c r="V24" s="19"/>
      <c r="W24" s="19"/>
      <c r="X24" s="19"/>
    </row>
    <row r="25" customFormat="false" ht="12" hidden="false" customHeight="true" outlineLevel="0" collapsed="false">
      <c r="A25" s="19"/>
      <c r="B25" s="19"/>
      <c r="C25" s="19"/>
      <c r="D25" s="19"/>
      <c r="E25" s="19"/>
      <c r="F25" s="19"/>
      <c r="G25" s="19"/>
      <c r="H25" s="791"/>
      <c r="I25" s="791"/>
      <c r="J25" s="791"/>
      <c r="K25" s="791"/>
      <c r="L25" s="791"/>
      <c r="M25" s="791"/>
      <c r="N25" s="791"/>
      <c r="O25" s="791"/>
      <c r="P25" s="791"/>
      <c r="Q25" s="791"/>
      <c r="R25" s="791"/>
      <c r="S25" s="791"/>
      <c r="T25" s="19"/>
      <c r="U25" s="19"/>
      <c r="V25" s="19"/>
      <c r="W25" s="19"/>
      <c r="X25" s="19"/>
    </row>
    <row r="26" customFormat="false" ht="12" hidden="false" customHeight="true" outlineLevel="0" collapsed="false">
      <c r="A26" s="19"/>
      <c r="B26" s="19"/>
      <c r="C26" s="19"/>
      <c r="D26" s="19"/>
      <c r="E26" s="19"/>
      <c r="F26" s="19"/>
      <c r="G26" s="19"/>
      <c r="H26" s="791"/>
      <c r="I26" s="791"/>
      <c r="J26" s="791"/>
      <c r="K26" s="791"/>
      <c r="L26" s="791"/>
      <c r="M26" s="791"/>
      <c r="N26" s="791"/>
      <c r="O26" s="791"/>
      <c r="P26" s="791"/>
      <c r="Q26" s="791"/>
      <c r="R26" s="791"/>
      <c r="S26" s="791"/>
      <c r="T26" s="19"/>
      <c r="U26" s="19"/>
      <c r="V26" s="19"/>
      <c r="W26" s="19"/>
      <c r="X26" s="19"/>
    </row>
    <row r="27" customFormat="false" ht="12" hidden="false" customHeight="true" outlineLevel="0" collapsed="false">
      <c r="A27" s="19"/>
      <c r="B27" s="19"/>
      <c r="C27" s="19"/>
      <c r="D27" s="19"/>
      <c r="E27" s="19"/>
      <c r="F27" s="19"/>
      <c r="G27" s="19"/>
      <c r="H27" s="791"/>
      <c r="I27" s="791"/>
      <c r="J27" s="791"/>
      <c r="K27" s="791"/>
      <c r="L27" s="791"/>
      <c r="M27" s="791"/>
      <c r="N27" s="791"/>
      <c r="O27" s="791"/>
      <c r="P27" s="791"/>
      <c r="Q27" s="791"/>
      <c r="R27" s="19" t="s">
        <v>420</v>
      </c>
      <c r="S27" s="791"/>
      <c r="T27" s="19"/>
      <c r="U27" s="19"/>
      <c r="V27" s="19"/>
      <c r="W27" s="19"/>
      <c r="X27" s="19"/>
    </row>
    <row r="28" customFormat="false" ht="12" hidden="false" customHeight="true" outlineLevel="0" collapsed="false">
      <c r="A28" s="19"/>
      <c r="B28" s="19"/>
      <c r="C28" s="19"/>
      <c r="D28" s="19"/>
      <c r="E28" s="19"/>
      <c r="F28" s="19"/>
      <c r="G28" s="19"/>
      <c r="H28" s="791"/>
      <c r="I28" s="791"/>
      <c r="J28" s="791"/>
      <c r="K28" s="791"/>
      <c r="L28" s="791"/>
      <c r="M28" s="791"/>
      <c r="N28" s="791"/>
      <c r="O28" s="791"/>
      <c r="P28" s="791"/>
      <c r="Q28" s="791"/>
      <c r="R28" s="19" t="s">
        <v>0</v>
      </c>
      <c r="S28" s="791"/>
      <c r="T28" s="19"/>
      <c r="U28" s="19"/>
      <c r="V28" s="19"/>
      <c r="W28" s="19"/>
      <c r="X28" s="19"/>
    </row>
    <row r="29" customFormat="false" ht="12" hidden="false" customHeight="true" outlineLevel="0" collapsed="false">
      <c r="A29" s="19"/>
      <c r="B29" s="19"/>
      <c r="C29" s="19"/>
      <c r="D29" s="19"/>
      <c r="E29" s="19"/>
      <c r="F29" s="19"/>
      <c r="G29" s="19"/>
      <c r="H29" s="791"/>
      <c r="I29" s="791"/>
      <c r="J29" s="791"/>
      <c r="K29" s="791"/>
      <c r="L29" s="791"/>
      <c r="M29" s="791"/>
      <c r="N29" s="791"/>
      <c r="O29" s="791"/>
      <c r="P29" s="791"/>
      <c r="Q29" s="791"/>
      <c r="R29" s="791"/>
      <c r="S29" s="791"/>
      <c r="T29" s="19"/>
      <c r="U29" s="19"/>
      <c r="V29" s="19"/>
      <c r="W29" s="19"/>
      <c r="X29" s="19"/>
    </row>
    <row r="30" customFormat="false" ht="12" hidden="false" customHeight="true" outlineLevel="0" collapsed="false">
      <c r="A30" s="19"/>
      <c r="B30" s="19"/>
      <c r="C30" s="19"/>
      <c r="D30" s="19"/>
      <c r="E30" s="19"/>
      <c r="F30" s="19"/>
      <c r="G30" s="19"/>
      <c r="H30" s="791"/>
      <c r="I30" s="791"/>
      <c r="J30" s="791"/>
      <c r="K30" s="791"/>
      <c r="L30" s="791"/>
      <c r="M30" s="791"/>
      <c r="N30" s="791"/>
      <c r="O30" s="791"/>
      <c r="P30" s="791"/>
      <c r="Q30" s="19" t="s">
        <v>1047</v>
      </c>
      <c r="R30" s="791"/>
      <c r="S30" s="791"/>
      <c r="T30" s="19"/>
      <c r="U30" s="19"/>
      <c r="V30" s="19"/>
      <c r="W30" s="19"/>
      <c r="X30" s="19"/>
    </row>
    <row r="31" customFormat="false" ht="12" hidden="false" customHeight="true" outlineLevel="0" collapsed="false">
      <c r="A31" s="19"/>
      <c r="B31" s="19"/>
      <c r="C31" s="19"/>
      <c r="D31" s="19"/>
      <c r="E31" s="19"/>
      <c r="F31" s="19"/>
      <c r="G31" s="19"/>
      <c r="H31" s="791"/>
      <c r="I31" s="791"/>
      <c r="J31" s="791"/>
      <c r="K31" s="791"/>
      <c r="L31" s="791"/>
      <c r="M31" s="791"/>
      <c r="N31" s="791"/>
      <c r="O31" s="791"/>
      <c r="P31" s="791"/>
      <c r="Q31" s="791"/>
      <c r="R31" s="791"/>
      <c r="S31" s="791"/>
      <c r="T31" s="19"/>
      <c r="U31" s="19"/>
      <c r="V31" s="19"/>
      <c r="W31" s="19"/>
      <c r="X31" s="19"/>
    </row>
    <row r="32" customFormat="false" ht="12" hidden="false" customHeight="true" outlineLevel="0" collapsed="false">
      <c r="A32" s="19"/>
      <c r="B32" s="19"/>
      <c r="C32" s="19"/>
      <c r="D32" s="19"/>
      <c r="E32" s="19"/>
      <c r="F32" s="19"/>
      <c r="G32" s="19"/>
      <c r="H32" s="791"/>
      <c r="I32" s="791"/>
      <c r="J32" s="791"/>
      <c r="K32" s="791"/>
      <c r="L32" s="791"/>
      <c r="M32" s="19" t="s">
        <v>1048</v>
      </c>
      <c r="N32" s="19"/>
      <c r="O32" s="19"/>
      <c r="P32" s="19"/>
      <c r="Q32" s="832" t="n">
        <v>5</v>
      </c>
      <c r="R32" s="19"/>
      <c r="S32" s="791"/>
      <c r="T32" s="19"/>
      <c r="U32" s="19"/>
      <c r="V32" s="19"/>
      <c r="W32" s="19"/>
      <c r="X32" s="19"/>
    </row>
    <row r="33" customFormat="false" ht="12" hidden="false" customHeight="true" outlineLevel="0" collapsed="false">
      <c r="A33" s="19"/>
      <c r="B33" s="19"/>
      <c r="C33" s="19"/>
      <c r="D33" s="19"/>
      <c r="E33" s="19"/>
      <c r="F33" s="19"/>
      <c r="G33" s="19"/>
      <c r="H33" s="791"/>
      <c r="I33" s="791"/>
      <c r="J33" s="791"/>
      <c r="K33" s="791"/>
      <c r="L33" s="791"/>
      <c r="M33" s="19"/>
      <c r="N33" s="19"/>
      <c r="O33" s="19"/>
      <c r="P33" s="19"/>
      <c r="Q33" s="19"/>
      <c r="R33" s="19"/>
      <c r="S33" s="791"/>
      <c r="T33" s="19"/>
      <c r="U33" s="19"/>
      <c r="V33" s="19"/>
      <c r="W33" s="19"/>
      <c r="X33" s="19"/>
    </row>
    <row r="34" customFormat="false" ht="12" hidden="false" customHeight="true" outlineLevel="0" collapsed="false">
      <c r="A34" s="19"/>
      <c r="B34" s="19"/>
      <c r="C34" s="19"/>
      <c r="D34" s="19"/>
      <c r="E34" s="19"/>
      <c r="F34" s="19"/>
      <c r="G34" s="19"/>
      <c r="H34" s="791"/>
      <c r="I34" s="791"/>
      <c r="J34" s="791"/>
      <c r="K34" s="791"/>
      <c r="L34" s="791"/>
      <c r="M34" s="19" t="s">
        <v>1049</v>
      </c>
      <c r="N34" s="19"/>
      <c r="O34" s="19"/>
      <c r="P34" s="19"/>
      <c r="Q34" s="833" t="n">
        <v>0.25</v>
      </c>
      <c r="R34" s="19"/>
      <c r="S34" s="791"/>
      <c r="T34" s="19"/>
      <c r="U34" s="19"/>
      <c r="V34" s="19"/>
      <c r="W34" s="19"/>
      <c r="X34" s="19"/>
    </row>
    <row r="35" customFormat="false" ht="12" hidden="false" customHeight="true" outlineLevel="0" collapsed="false">
      <c r="A35" s="19"/>
      <c r="B35" s="19"/>
      <c r="C35" s="19"/>
      <c r="D35" s="19"/>
      <c r="E35" s="19"/>
      <c r="F35" s="19"/>
      <c r="G35" s="19"/>
      <c r="H35" s="791"/>
      <c r="I35" s="791"/>
      <c r="J35" s="791"/>
      <c r="K35" s="791"/>
      <c r="L35" s="791"/>
      <c r="M35" s="19"/>
      <c r="N35" s="19"/>
      <c r="O35" s="19"/>
      <c r="P35" s="19"/>
      <c r="Q35" s="19"/>
      <c r="R35" s="19"/>
      <c r="S35" s="791"/>
      <c r="T35" s="19"/>
      <c r="U35" s="19"/>
      <c r="V35" s="19"/>
      <c r="W35" s="19"/>
      <c r="X35" s="19"/>
    </row>
    <row r="36" customFormat="false" ht="12" hidden="false" customHeight="true" outlineLevel="0" collapsed="false">
      <c r="A36" s="19"/>
      <c r="B36" s="19"/>
      <c r="C36" s="19"/>
      <c r="D36" s="19"/>
      <c r="E36" s="19"/>
      <c r="F36" s="19"/>
      <c r="G36" s="19"/>
      <c r="H36" s="791"/>
      <c r="I36" s="791"/>
      <c r="J36" s="791"/>
      <c r="K36" s="791"/>
      <c r="L36" s="791"/>
      <c r="M36" s="19" t="s">
        <v>1045</v>
      </c>
      <c r="N36" s="19"/>
      <c r="O36" s="19"/>
      <c r="P36" s="19"/>
      <c r="Q36" s="831" t="n">
        <f aca="false">(SQRT(Q32)+SQRT(Q34))/(SQRT(Q32)-SQRT(Q34))</f>
        <v>1.576014311</v>
      </c>
      <c r="R36" s="19"/>
      <c r="S36" s="791"/>
      <c r="T36" s="19"/>
      <c r="U36" s="19"/>
      <c r="V36" s="19"/>
      <c r="W36" s="19"/>
      <c r="X36" s="19"/>
    </row>
    <row r="37" customFormat="false" ht="12" hidden="false" customHeight="true" outlineLevel="0" collapsed="false">
      <c r="A37" s="19"/>
      <c r="B37" s="19"/>
      <c r="C37" s="19"/>
      <c r="D37" s="19"/>
      <c r="E37" s="19"/>
      <c r="F37" s="19"/>
      <c r="G37" s="19"/>
      <c r="H37" s="791"/>
      <c r="I37" s="791"/>
      <c r="J37" s="791"/>
      <c r="K37" s="791"/>
      <c r="L37" s="791"/>
      <c r="M37" s="19"/>
      <c r="N37" s="19"/>
      <c r="O37" s="19"/>
      <c r="P37" s="19"/>
      <c r="Q37" s="19"/>
      <c r="R37" s="19"/>
      <c r="S37" s="791"/>
      <c r="T37" s="19"/>
      <c r="U37" s="19"/>
      <c r="V37" s="19"/>
      <c r="W37" s="19"/>
      <c r="X37" s="19"/>
    </row>
    <row r="38" customFormat="false" ht="12" hidden="false" customHeight="true" outlineLevel="0" collapsed="false">
      <c r="A38" s="19"/>
      <c r="B38" s="19"/>
      <c r="C38" s="19"/>
      <c r="D38" s="19"/>
      <c r="E38" s="19"/>
      <c r="F38" s="19"/>
      <c r="G38" s="19"/>
      <c r="H38" s="791"/>
      <c r="I38" s="791"/>
      <c r="J38" s="791"/>
      <c r="K38" s="791"/>
      <c r="L38" s="791"/>
      <c r="M38" s="19"/>
      <c r="N38" s="19"/>
      <c r="O38" s="19"/>
      <c r="P38" s="19"/>
      <c r="Q38" s="19"/>
      <c r="R38" s="19"/>
      <c r="S38" s="791"/>
      <c r="T38" s="19"/>
      <c r="U38" s="19"/>
      <c r="V38" s="19"/>
      <c r="W38" s="19"/>
      <c r="X38" s="19"/>
    </row>
    <row r="39" customFormat="false" ht="12" hidden="false" customHeight="true" outlineLevel="0" collapsed="false">
      <c r="A39" s="19"/>
      <c r="B39" s="19"/>
      <c r="C39" s="19"/>
      <c r="D39" s="19"/>
      <c r="E39" s="19"/>
      <c r="F39" s="19"/>
      <c r="G39" s="19"/>
      <c r="H39" s="791"/>
      <c r="I39" s="791"/>
      <c r="J39" s="791"/>
      <c r="K39" s="791"/>
      <c r="L39" s="791"/>
      <c r="M39" s="19"/>
      <c r="N39" s="19"/>
      <c r="O39" s="19"/>
      <c r="P39" s="19"/>
      <c r="Q39" s="791"/>
      <c r="R39" s="791"/>
      <c r="S39" s="791"/>
      <c r="T39" s="19"/>
      <c r="U39" s="19"/>
      <c r="V39" s="19"/>
      <c r="W39" s="19"/>
      <c r="X39" s="19"/>
    </row>
    <row r="40" customFormat="false" ht="12" hidden="false" customHeight="true" outlineLevel="0" collapsed="false">
      <c r="A40" s="19"/>
      <c r="B40" s="19"/>
      <c r="C40" s="19"/>
      <c r="D40" s="19"/>
      <c r="E40" s="19"/>
      <c r="F40" s="19"/>
      <c r="G40" s="19"/>
      <c r="H40" s="791"/>
      <c r="I40" s="791"/>
      <c r="J40" s="791"/>
      <c r="K40" s="791"/>
      <c r="L40" s="791"/>
      <c r="M40" s="19"/>
      <c r="N40" s="19"/>
      <c r="O40" s="19"/>
      <c r="P40" s="19"/>
      <c r="Q40" s="791"/>
      <c r="R40" s="791"/>
      <c r="S40" s="791"/>
      <c r="T40" s="19"/>
      <c r="U40" s="19"/>
      <c r="V40" s="19"/>
      <c r="W40" s="19"/>
      <c r="X40" s="19"/>
    </row>
    <row r="41" customFormat="false" ht="12" hidden="false" customHeight="true" outlineLevel="0" collapsed="false">
      <c r="A41" s="19"/>
      <c r="B41" s="19"/>
      <c r="C41" s="19"/>
      <c r="D41" s="19"/>
      <c r="E41" s="19"/>
      <c r="F41" s="19"/>
      <c r="G41" s="19"/>
      <c r="H41" s="791"/>
      <c r="I41" s="791"/>
      <c r="J41" s="791"/>
      <c r="K41" s="791"/>
      <c r="L41" s="791"/>
      <c r="M41" s="791"/>
      <c r="N41" s="791"/>
      <c r="O41" s="791"/>
      <c r="P41" s="791"/>
      <c r="Q41" s="791"/>
      <c r="R41" s="791"/>
      <c r="S41" s="791"/>
      <c r="T41" s="19"/>
      <c r="U41" s="19"/>
      <c r="V41" s="19"/>
      <c r="W41" s="19"/>
      <c r="X41" s="19"/>
    </row>
    <row r="42" customFormat="false" ht="12" hidden="false" customHeight="true" outlineLevel="0" collapsed="false">
      <c r="A42" s="19"/>
      <c r="B42" s="19"/>
      <c r="C42" s="19"/>
      <c r="D42" s="19"/>
      <c r="E42" s="19"/>
      <c r="F42" s="19"/>
      <c r="G42" s="23" t="s">
        <v>60</v>
      </c>
      <c r="H42" s="791"/>
      <c r="I42" s="791"/>
      <c r="J42" s="791"/>
      <c r="K42" s="791"/>
      <c r="L42" s="791"/>
      <c r="M42" s="791"/>
      <c r="N42" s="791"/>
      <c r="O42" s="791"/>
      <c r="P42" s="791"/>
      <c r="Q42" s="791"/>
      <c r="R42" s="791"/>
      <c r="S42" s="791"/>
      <c r="T42" s="19"/>
      <c r="U42" s="19"/>
      <c r="V42" s="19"/>
      <c r="W42" s="19"/>
      <c r="X42" s="19"/>
    </row>
    <row r="43" customFormat="false" ht="12" hidden="false" customHeight="true" outlineLevel="0" collapsed="false">
      <c r="A43" s="19"/>
      <c r="B43" s="19"/>
      <c r="C43" s="19"/>
      <c r="D43" s="19"/>
      <c r="E43" s="19"/>
      <c r="F43" s="19"/>
      <c r="G43" s="19"/>
      <c r="H43" s="791"/>
      <c r="I43" s="791"/>
      <c r="J43" s="791"/>
      <c r="K43" s="791"/>
      <c r="L43" s="791"/>
      <c r="M43" s="791"/>
      <c r="N43" s="791"/>
      <c r="O43" s="791"/>
      <c r="P43" s="791"/>
      <c r="Q43" s="791"/>
      <c r="R43" s="791"/>
      <c r="S43" s="791"/>
      <c r="T43" s="19"/>
      <c r="U43" s="19"/>
      <c r="V43" s="19"/>
      <c r="W43" s="19"/>
      <c r="X43" s="19"/>
    </row>
    <row r="44" customFormat="false" ht="12" hidden="false" customHeight="true" outlineLevel="0" collapsed="false">
      <c r="A44" s="19"/>
      <c r="B44" s="19"/>
      <c r="C44" s="19"/>
      <c r="D44" s="19"/>
      <c r="E44" s="19"/>
      <c r="F44" s="19"/>
      <c r="G44" s="19"/>
      <c r="H44" s="791"/>
      <c r="I44" s="791"/>
      <c r="J44" s="791"/>
      <c r="K44" s="791"/>
      <c r="L44" s="791"/>
      <c r="M44" s="791"/>
      <c r="N44" s="791"/>
      <c r="O44" s="791"/>
      <c r="P44" s="791"/>
      <c r="Q44" s="791"/>
      <c r="R44" s="791"/>
      <c r="S44" s="791"/>
      <c r="T44" s="19"/>
      <c r="U44" s="19"/>
      <c r="V44" s="19"/>
      <c r="W44" s="19"/>
      <c r="X44" s="19"/>
    </row>
    <row r="45" customFormat="false" ht="12" hidden="false" customHeight="true" outlineLevel="0" collapsed="false">
      <c r="A45" s="19"/>
      <c r="B45" s="19"/>
      <c r="C45" s="19"/>
      <c r="D45" s="19"/>
      <c r="E45" s="19"/>
      <c r="F45" s="19"/>
      <c r="G45" s="19"/>
      <c r="H45" s="791"/>
      <c r="I45" s="791"/>
      <c r="J45" s="791"/>
      <c r="K45" s="791"/>
      <c r="L45" s="791"/>
      <c r="M45" s="791"/>
      <c r="N45" s="791"/>
      <c r="O45" s="791"/>
      <c r="P45" s="791"/>
      <c r="Q45" s="791"/>
      <c r="R45" s="791"/>
      <c r="S45" s="791"/>
      <c r="T45" s="19"/>
      <c r="U45" s="19"/>
      <c r="V45" s="19"/>
      <c r="W45" s="19"/>
      <c r="X45" s="19"/>
    </row>
    <row r="46" customFormat="false" ht="12" hidden="false" customHeight="true" outlineLevel="0" collapsed="false">
      <c r="A46" s="19"/>
      <c r="B46" s="19"/>
      <c r="C46" s="19"/>
      <c r="D46" s="19"/>
      <c r="E46" s="19"/>
      <c r="F46" s="19"/>
      <c r="G46" s="19"/>
      <c r="H46" s="791"/>
      <c r="I46" s="791"/>
      <c r="J46" s="791"/>
      <c r="K46" s="791"/>
      <c r="L46" s="791"/>
      <c r="M46" s="791"/>
      <c r="N46" s="791"/>
      <c r="O46" s="791"/>
      <c r="P46" s="791"/>
      <c r="Q46" s="791"/>
      <c r="R46" s="791"/>
      <c r="S46" s="791"/>
      <c r="T46" s="19"/>
      <c r="U46" s="19"/>
      <c r="V46" s="19"/>
      <c r="W46" s="19"/>
      <c r="X46" s="19"/>
    </row>
    <row r="47" customFormat="false" ht="12" hidden="false" customHeight="true" outlineLevel="0" collapsed="false">
      <c r="A47" s="19"/>
      <c r="B47" s="19"/>
      <c r="C47" s="19"/>
      <c r="D47" s="19"/>
      <c r="E47" s="19"/>
      <c r="F47" s="19"/>
      <c r="G47" s="19"/>
      <c r="H47" s="791"/>
      <c r="I47" s="791"/>
      <c r="J47" s="791"/>
      <c r="K47" s="791"/>
      <c r="L47" s="791"/>
      <c r="M47" s="791"/>
      <c r="N47" s="791"/>
      <c r="O47" s="791"/>
      <c r="P47" s="791"/>
      <c r="Q47" s="791"/>
      <c r="R47" s="791"/>
      <c r="S47" s="791"/>
      <c r="T47" s="19"/>
      <c r="U47" s="19"/>
      <c r="V47" s="19"/>
      <c r="W47" s="19"/>
      <c r="X47" s="19"/>
    </row>
    <row r="48" customFormat="false" ht="12" hidden="false" customHeight="true" outlineLevel="0" collapsed="false">
      <c r="A48" s="19"/>
      <c r="B48" s="19"/>
      <c r="C48" s="19"/>
      <c r="D48" s="19"/>
      <c r="E48" s="19"/>
      <c r="F48" s="19"/>
      <c r="G48" s="19"/>
      <c r="H48" s="791"/>
      <c r="I48" s="791"/>
      <c r="J48" s="791"/>
      <c r="K48" s="791"/>
      <c r="L48" s="791"/>
      <c r="M48" s="791"/>
      <c r="N48" s="791"/>
      <c r="O48" s="791"/>
      <c r="P48" s="791"/>
      <c r="Q48" s="791"/>
      <c r="R48" s="791"/>
      <c r="S48" s="791"/>
      <c r="T48" s="19"/>
      <c r="U48" s="19"/>
      <c r="V48" s="19"/>
      <c r="W48" s="19"/>
      <c r="X48" s="19"/>
    </row>
    <row r="49" customFormat="false" ht="12" hidden="false" customHeight="true" outlineLevel="0" collapsed="false">
      <c r="A49" s="19"/>
      <c r="B49" s="19"/>
      <c r="C49" s="19"/>
      <c r="D49" s="19"/>
      <c r="E49" s="19"/>
      <c r="F49" s="19"/>
      <c r="G49" s="19"/>
      <c r="H49" s="791"/>
      <c r="I49" s="791"/>
      <c r="J49" s="791"/>
      <c r="K49" s="791"/>
      <c r="L49" s="791"/>
      <c r="M49" s="791"/>
      <c r="N49" s="791"/>
      <c r="O49" s="791"/>
      <c r="P49" s="791"/>
      <c r="Q49" s="791"/>
      <c r="R49" s="791"/>
      <c r="S49" s="791"/>
      <c r="T49" s="19"/>
      <c r="U49" s="19"/>
      <c r="V49" s="19"/>
      <c r="W49" s="19"/>
      <c r="X49" s="19"/>
    </row>
    <row r="50" customFormat="false" ht="12" hidden="false" customHeight="true" outlineLevel="0" collapsed="false">
      <c r="A50" s="19"/>
      <c r="B50" s="19"/>
      <c r="C50" s="19"/>
      <c r="D50" s="19"/>
      <c r="E50" s="19"/>
      <c r="F50" s="19"/>
      <c r="G50" s="19"/>
      <c r="H50" s="791"/>
      <c r="I50" s="791"/>
      <c r="J50" s="791"/>
      <c r="K50" s="791"/>
      <c r="L50" s="791"/>
      <c r="M50" s="791"/>
      <c r="N50" s="791"/>
      <c r="O50" s="791"/>
      <c r="P50" s="791"/>
      <c r="Q50" s="791"/>
      <c r="R50" s="791"/>
      <c r="S50" s="791"/>
      <c r="T50" s="19"/>
      <c r="U50" s="19"/>
      <c r="V50" s="19"/>
      <c r="W50" s="19"/>
      <c r="X50" s="19"/>
    </row>
    <row r="51" customFormat="false" ht="12" hidden="false" customHeight="true" outlineLevel="0" collapsed="false">
      <c r="A51" s="19"/>
      <c r="B51" s="19"/>
      <c r="C51" s="19"/>
      <c r="D51" s="19"/>
      <c r="E51" s="19"/>
      <c r="F51" s="19"/>
      <c r="G51" s="19"/>
      <c r="H51" s="791"/>
      <c r="I51" s="791"/>
      <c r="J51" s="791"/>
      <c r="K51" s="791"/>
      <c r="L51" s="791"/>
      <c r="M51" s="791"/>
      <c r="N51" s="791"/>
      <c r="O51" s="791"/>
      <c r="P51" s="791"/>
      <c r="Q51" s="791"/>
      <c r="R51" s="791"/>
      <c r="S51" s="791"/>
      <c r="T51" s="19"/>
      <c r="U51" s="19"/>
      <c r="V51" s="19"/>
      <c r="W51" s="19"/>
      <c r="X51" s="19"/>
    </row>
    <row r="52" customFormat="false" ht="12" hidden="false" customHeight="true" outlineLevel="0" collapsed="false">
      <c r="A52" s="19"/>
      <c r="B52" s="19"/>
      <c r="C52" s="19"/>
      <c r="D52" s="19"/>
      <c r="E52" s="19"/>
      <c r="F52" s="19"/>
      <c r="G52" s="19"/>
      <c r="H52" s="791"/>
      <c r="I52" s="791"/>
      <c r="J52" s="791"/>
      <c r="K52" s="791"/>
      <c r="L52" s="791"/>
      <c r="M52" s="791"/>
      <c r="N52" s="791"/>
      <c r="O52" s="791"/>
      <c r="P52" s="791"/>
      <c r="Q52" s="791"/>
      <c r="R52" s="791"/>
      <c r="S52" s="791"/>
      <c r="T52" s="19"/>
      <c r="U52" s="19"/>
      <c r="V52" s="19"/>
      <c r="W52" s="19"/>
      <c r="X52" s="19"/>
    </row>
    <row r="53" customFormat="false" ht="12" hidden="false" customHeight="true" outlineLevel="0" collapsed="false">
      <c r="A53" s="19"/>
      <c r="B53" s="19"/>
      <c r="C53" s="19"/>
      <c r="D53" s="19"/>
      <c r="E53" s="19"/>
      <c r="F53" s="19"/>
      <c r="G53" s="19"/>
      <c r="H53" s="791"/>
      <c r="I53" s="791"/>
      <c r="J53" s="791"/>
      <c r="K53" s="791"/>
      <c r="L53" s="791"/>
      <c r="M53" s="791"/>
      <c r="N53" s="791"/>
      <c r="O53" s="791"/>
      <c r="P53" s="791"/>
      <c r="Q53" s="791"/>
      <c r="R53" s="791"/>
      <c r="S53" s="791"/>
      <c r="T53" s="19"/>
      <c r="U53" s="19"/>
      <c r="V53" s="19"/>
      <c r="W53" s="19"/>
      <c r="X53" s="19"/>
    </row>
    <row r="54" customFormat="false" ht="12" hidden="false" customHeight="true" outlineLevel="0" collapsed="false">
      <c r="A54" s="19"/>
      <c r="B54" s="19"/>
      <c r="C54" s="19"/>
      <c r="D54" s="19"/>
      <c r="E54" s="19"/>
      <c r="F54" s="19"/>
      <c r="G54" s="19"/>
      <c r="H54" s="791"/>
      <c r="I54" s="791"/>
      <c r="J54" s="791"/>
      <c r="K54" s="791"/>
      <c r="L54" s="791"/>
      <c r="M54" s="791"/>
      <c r="N54" s="791"/>
      <c r="O54" s="791"/>
      <c r="P54" s="791"/>
      <c r="Q54" s="791"/>
      <c r="R54" s="791"/>
      <c r="S54" s="791"/>
      <c r="T54" s="19"/>
      <c r="U54" s="19"/>
      <c r="V54" s="19"/>
      <c r="W54" s="19"/>
      <c r="X54" s="19"/>
    </row>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39966"/>
    <pageSetUpPr fitToPage="false"/>
  </sheetPr>
  <dimension ref="A1:U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1" width="8.88"/>
    <col collapsed="false" customWidth="true" hidden="false" outlineLevel="0" max="2" min="2" style="1" width="15.88"/>
    <col collapsed="false" customWidth="true" hidden="false" outlineLevel="0" max="21" min="3" style="1" width="8.88"/>
    <col collapsed="false" customWidth="true" hidden="false" outlineLevel="0" max="26" min="22" style="1" width="14.38"/>
  </cols>
  <sheetData>
    <row r="1" customFormat="false" ht="16.5" hidden="false" customHeight="true" outlineLevel="0" collapsed="false">
      <c r="A1" s="834" t="s">
        <v>1050</v>
      </c>
      <c r="B1" s="499"/>
      <c r="C1" s="499"/>
      <c r="D1" s="499"/>
      <c r="E1" s="499"/>
      <c r="F1" s="499"/>
      <c r="G1" s="499"/>
      <c r="H1" s="499"/>
      <c r="I1" s="499"/>
      <c r="J1" s="499"/>
      <c r="K1" s="499"/>
      <c r="L1" s="499"/>
      <c r="M1" s="499"/>
      <c r="N1" s="499"/>
      <c r="O1" s="499"/>
      <c r="P1" s="499"/>
      <c r="Q1" s="499"/>
      <c r="R1" s="499"/>
      <c r="S1" s="499"/>
      <c r="T1" s="499"/>
      <c r="U1" s="499"/>
    </row>
    <row r="2" customFormat="false" ht="12.75" hidden="false" customHeight="true" outlineLevel="0" collapsed="false">
      <c r="A2" s="10"/>
      <c r="B2" s="10"/>
      <c r="C2" s="10"/>
      <c r="D2" s="10"/>
      <c r="E2" s="10"/>
      <c r="F2" s="10"/>
      <c r="G2" s="10"/>
      <c r="H2" s="10"/>
      <c r="I2" s="10"/>
      <c r="J2" s="10"/>
      <c r="K2" s="10"/>
      <c r="L2" s="10"/>
      <c r="M2" s="10"/>
      <c r="N2" s="10"/>
      <c r="O2" s="10"/>
      <c r="P2" s="10"/>
      <c r="Q2" s="10"/>
      <c r="R2" s="10"/>
      <c r="S2" s="10"/>
      <c r="T2" s="10"/>
      <c r="U2" s="10"/>
    </row>
    <row r="3" customFormat="false" ht="12" hidden="false" customHeight="true" outlineLevel="0" collapsed="false">
      <c r="A3" s="112"/>
      <c r="B3" s="835" t="s">
        <v>281</v>
      </c>
      <c r="C3" s="19"/>
      <c r="D3" s="19"/>
      <c r="E3" s="19"/>
      <c r="F3" s="19"/>
      <c r="G3" s="19"/>
      <c r="H3" s="19"/>
      <c r="I3" s="19"/>
      <c r="J3" s="517"/>
      <c r="K3" s="112"/>
      <c r="L3" s="112"/>
      <c r="M3" s="112"/>
      <c r="N3" s="112"/>
      <c r="O3" s="112"/>
      <c r="P3" s="112"/>
      <c r="Q3" s="112"/>
      <c r="R3" s="112"/>
      <c r="S3" s="112"/>
      <c r="T3" s="112"/>
      <c r="U3" s="112"/>
    </row>
    <row r="4" customFormat="false" ht="12" hidden="false" customHeight="true" outlineLevel="0" collapsed="false">
      <c r="A4" s="112"/>
      <c r="B4" s="513" t="s">
        <v>1051</v>
      </c>
      <c r="C4" s="19"/>
      <c r="D4" s="19"/>
      <c r="E4" s="19"/>
      <c r="F4" s="19"/>
      <c r="G4" s="19"/>
      <c r="H4" s="19"/>
      <c r="I4" s="19"/>
      <c r="J4" s="517"/>
      <c r="K4" s="112"/>
      <c r="L4" s="112"/>
      <c r="M4" s="112"/>
      <c r="N4" s="112"/>
      <c r="O4" s="112"/>
      <c r="P4" s="112"/>
      <c r="Q4" s="112"/>
      <c r="R4" s="112"/>
      <c r="S4" s="112"/>
      <c r="T4" s="112"/>
      <c r="U4" s="112"/>
    </row>
    <row r="5" customFormat="false" ht="12" hidden="false" customHeight="true" outlineLevel="0" collapsed="false">
      <c r="A5" s="112"/>
      <c r="B5" s="836" t="s">
        <v>1052</v>
      </c>
      <c r="C5" s="837" t="n">
        <f aca="false">Orbit!B98</f>
        <v>19.0622</v>
      </c>
      <c r="D5" s="19" t="s">
        <v>215</v>
      </c>
      <c r="E5" s="19"/>
      <c r="F5" s="19"/>
      <c r="G5" s="19"/>
      <c r="H5" s="19"/>
      <c r="I5" s="19"/>
      <c r="J5" s="517"/>
      <c r="K5" s="112"/>
      <c r="L5" s="112"/>
      <c r="M5" s="112"/>
      <c r="N5" s="112"/>
      <c r="O5" s="112"/>
      <c r="P5" s="112"/>
      <c r="Q5" s="112"/>
      <c r="R5" s="112"/>
      <c r="S5" s="112"/>
      <c r="T5" s="112"/>
      <c r="U5" s="112"/>
    </row>
    <row r="6" customFormat="false" ht="12" hidden="false" customHeight="true" outlineLevel="0" collapsed="false">
      <c r="A6" s="112"/>
      <c r="B6" s="513" t="s">
        <v>1053</v>
      </c>
      <c r="C6" s="98" t="n">
        <f aca="false">IF(C5&gt;0,1,0)</f>
        <v>1</v>
      </c>
      <c r="D6" s="19"/>
      <c r="E6" s="19" t="s">
        <v>0</v>
      </c>
      <c r="F6" s="19"/>
      <c r="G6" s="19" t="s">
        <v>1054</v>
      </c>
      <c r="H6" s="19"/>
      <c r="I6" s="19"/>
      <c r="J6" s="517"/>
      <c r="K6" s="112"/>
      <c r="L6" s="112"/>
      <c r="M6" s="112"/>
      <c r="N6" s="112"/>
      <c r="O6" s="112"/>
      <c r="P6" s="112"/>
      <c r="Q6" s="112"/>
      <c r="R6" s="112"/>
      <c r="S6" s="112"/>
      <c r="T6" s="112"/>
      <c r="U6" s="112"/>
    </row>
    <row r="7" customFormat="false" ht="12" hidden="false" customHeight="true" outlineLevel="0" collapsed="false">
      <c r="A7" s="112"/>
      <c r="B7" s="513"/>
      <c r="C7" s="98" t="n">
        <f aca="false">N(NOT(C6))</f>
        <v>0</v>
      </c>
      <c r="D7" s="19"/>
      <c r="E7" s="19"/>
      <c r="F7" s="19"/>
      <c r="G7" s="19" t="s">
        <v>1055</v>
      </c>
      <c r="H7" s="19"/>
      <c r="I7" s="19"/>
      <c r="J7" s="517"/>
      <c r="K7" s="112"/>
      <c r="L7" s="112"/>
      <c r="M7" s="112"/>
      <c r="N7" s="112"/>
      <c r="O7" s="112"/>
      <c r="P7" s="112"/>
      <c r="Q7" s="112"/>
      <c r="R7" s="112"/>
      <c r="S7" s="112"/>
      <c r="T7" s="112"/>
      <c r="U7" s="112"/>
    </row>
    <row r="8" customFormat="false" ht="12" hidden="false" customHeight="true" outlineLevel="0" collapsed="false">
      <c r="A8" s="112"/>
      <c r="B8" s="836" t="s">
        <v>1056</v>
      </c>
      <c r="C8" s="837" t="n">
        <f aca="false">Orbit!B101</f>
        <v>-16.6258</v>
      </c>
      <c r="D8" s="19" t="s">
        <v>215</v>
      </c>
      <c r="E8" s="19" t="s">
        <v>0</v>
      </c>
      <c r="F8" s="19"/>
      <c r="G8" s="19" t="s">
        <v>0</v>
      </c>
      <c r="H8" s="19"/>
      <c r="I8" s="19"/>
      <c r="J8" s="517"/>
      <c r="K8" s="112"/>
      <c r="L8" s="112"/>
      <c r="M8" s="112"/>
      <c r="N8" s="112"/>
      <c r="O8" s="112"/>
      <c r="P8" s="112"/>
      <c r="Q8" s="112"/>
      <c r="R8" s="112"/>
      <c r="S8" s="112"/>
      <c r="T8" s="112"/>
      <c r="U8" s="112"/>
    </row>
    <row r="9" customFormat="false" ht="12" hidden="false" customHeight="true" outlineLevel="0" collapsed="false">
      <c r="A9" s="112"/>
      <c r="B9" s="513" t="s">
        <v>1057</v>
      </c>
      <c r="C9" s="98" t="n">
        <f aca="false">IF(C8&gt;0,1,0)</f>
        <v>0</v>
      </c>
      <c r="D9" s="19"/>
      <c r="E9" s="19"/>
      <c r="F9" s="19"/>
      <c r="G9" s="19" t="s">
        <v>1058</v>
      </c>
      <c r="H9" s="19"/>
      <c r="I9" s="19"/>
      <c r="J9" s="517"/>
      <c r="K9" s="112"/>
      <c r="L9" s="112"/>
      <c r="M9" s="112"/>
      <c r="N9" s="112"/>
      <c r="O9" s="112"/>
      <c r="P9" s="112"/>
      <c r="Q9" s="112"/>
      <c r="R9" s="112"/>
      <c r="S9" s="112"/>
      <c r="T9" s="112"/>
      <c r="U9" s="112"/>
    </row>
    <row r="10" customFormat="false" ht="12" hidden="false" customHeight="true" outlineLevel="0" collapsed="false">
      <c r="A10" s="112"/>
      <c r="B10" s="513"/>
      <c r="C10" s="98" t="n">
        <f aca="false">N(NOT(C9))</f>
        <v>1</v>
      </c>
      <c r="D10" s="19"/>
      <c r="E10" s="19"/>
      <c r="F10" s="19"/>
      <c r="G10" s="19" t="s">
        <v>1059</v>
      </c>
      <c r="H10" s="19"/>
      <c r="I10" s="19"/>
      <c r="J10" s="517"/>
      <c r="K10" s="112"/>
      <c r="L10" s="112"/>
      <c r="M10" s="112"/>
      <c r="N10" s="112"/>
      <c r="O10" s="112"/>
      <c r="P10" s="112"/>
      <c r="Q10" s="112"/>
      <c r="R10" s="112"/>
      <c r="S10" s="112"/>
      <c r="T10" s="112"/>
      <c r="U10" s="112"/>
    </row>
    <row r="11" customFormat="false" ht="12" hidden="false" customHeight="true" outlineLevel="0" collapsed="false">
      <c r="A11" s="112"/>
      <c r="B11" s="513"/>
      <c r="C11" s="212" t="s">
        <v>1060</v>
      </c>
      <c r="D11" s="19"/>
      <c r="E11" s="212" t="s">
        <v>1061</v>
      </c>
      <c r="F11" s="19"/>
      <c r="G11" s="212" t="s">
        <v>1062</v>
      </c>
      <c r="H11" s="19"/>
      <c r="I11" s="19"/>
      <c r="J11" s="517"/>
      <c r="K11" s="112"/>
      <c r="L11" s="112"/>
      <c r="M11" s="112"/>
      <c r="N11" s="112"/>
      <c r="O11" s="112"/>
      <c r="P11" s="112"/>
      <c r="Q11" s="112"/>
      <c r="R11" s="112"/>
      <c r="S11" s="112"/>
      <c r="T11" s="112"/>
      <c r="U11" s="112"/>
    </row>
    <row r="12" customFormat="false" ht="12" hidden="false" customHeight="true" outlineLevel="0" collapsed="false">
      <c r="A12" s="112"/>
      <c r="B12" s="513" t="s">
        <v>1063</v>
      </c>
      <c r="C12" s="98" t="n">
        <f aca="false">N(AND(C7,C10))</f>
        <v>0</v>
      </c>
      <c r="D12" s="19"/>
      <c r="E12" s="199" t="n">
        <f aca="false">C12*(-C17)</f>
        <v>0</v>
      </c>
      <c r="F12" s="19" t="s">
        <v>215</v>
      </c>
      <c r="G12" s="19" t="s">
        <v>1064</v>
      </c>
      <c r="H12" s="19"/>
      <c r="I12" s="19"/>
      <c r="J12" s="517"/>
      <c r="K12" s="112"/>
      <c r="L12" s="112"/>
      <c r="M12" s="112"/>
      <c r="N12" s="112"/>
      <c r="O12" s="112"/>
      <c r="P12" s="112"/>
      <c r="Q12" s="112"/>
      <c r="R12" s="112"/>
      <c r="S12" s="112"/>
      <c r="T12" s="112"/>
      <c r="U12" s="112"/>
    </row>
    <row r="13" customFormat="false" ht="12" hidden="false" customHeight="true" outlineLevel="0" collapsed="false">
      <c r="A13" s="112"/>
      <c r="B13" s="513" t="s">
        <v>1065</v>
      </c>
      <c r="C13" s="98" t="n">
        <f aca="false">N(AND(C6,C10))</f>
        <v>1</v>
      </c>
      <c r="D13" s="19"/>
      <c r="E13" s="199" t="n">
        <f aca="false">C13*(180-C17)</f>
        <v>137.5635099</v>
      </c>
      <c r="F13" s="19" t="s">
        <v>215</v>
      </c>
      <c r="G13" s="19" t="s">
        <v>1066</v>
      </c>
      <c r="H13" s="19"/>
      <c r="I13" s="19"/>
      <c r="J13" s="517"/>
      <c r="K13" s="112"/>
      <c r="L13" s="112"/>
      <c r="M13" s="112"/>
      <c r="N13" s="112"/>
      <c r="O13" s="112"/>
      <c r="P13" s="112"/>
      <c r="Q13" s="112"/>
      <c r="R13" s="112"/>
      <c r="S13" s="112"/>
      <c r="T13" s="112"/>
      <c r="U13" s="112"/>
    </row>
    <row r="14" customFormat="false" ht="12" hidden="false" customHeight="true" outlineLevel="0" collapsed="false">
      <c r="A14" s="112"/>
      <c r="B14" s="513" t="s">
        <v>1067</v>
      </c>
      <c r="C14" s="98" t="n">
        <f aca="false">N(AND(C6,C9))</f>
        <v>0</v>
      </c>
      <c r="D14" s="19"/>
      <c r="E14" s="199" t="n">
        <f aca="false">C14*(180-C17)</f>
        <v>0</v>
      </c>
      <c r="F14" s="19" t="s">
        <v>215</v>
      </c>
      <c r="G14" s="19" t="s">
        <v>1068</v>
      </c>
      <c r="H14" s="19"/>
      <c r="I14" s="19"/>
      <c r="J14" s="517"/>
      <c r="K14" s="112"/>
      <c r="L14" s="112"/>
      <c r="M14" s="112"/>
      <c r="N14" s="112"/>
      <c r="O14" s="112"/>
      <c r="P14" s="112"/>
      <c r="Q14" s="112"/>
      <c r="R14" s="112"/>
      <c r="S14" s="112"/>
      <c r="T14" s="112"/>
      <c r="U14" s="112"/>
    </row>
    <row r="15" customFormat="false" ht="12" hidden="false" customHeight="true" outlineLevel="0" collapsed="false">
      <c r="A15" s="112"/>
      <c r="B15" s="513" t="s">
        <v>1069</v>
      </c>
      <c r="C15" s="98" t="n">
        <f aca="false">N(AND(C7,C9))</f>
        <v>0</v>
      </c>
      <c r="D15" s="19"/>
      <c r="E15" s="199" t="n">
        <f aca="false">C15*(360-C17)</f>
        <v>0</v>
      </c>
      <c r="F15" s="19" t="s">
        <v>215</v>
      </c>
      <c r="G15" s="19" t="s">
        <v>1070</v>
      </c>
      <c r="H15" s="19"/>
      <c r="I15" s="19"/>
      <c r="J15" s="517"/>
      <c r="K15" s="112"/>
      <c r="L15" s="112"/>
      <c r="M15" s="112"/>
      <c r="N15" s="112"/>
      <c r="O15" s="112"/>
      <c r="P15" s="112"/>
      <c r="Q15" s="112"/>
      <c r="R15" s="112"/>
      <c r="S15" s="112"/>
      <c r="T15" s="112"/>
      <c r="U15" s="112"/>
    </row>
    <row r="16" customFormat="false" ht="12" hidden="false" customHeight="true" outlineLevel="0" collapsed="false">
      <c r="A16" s="112"/>
      <c r="B16" s="513"/>
      <c r="C16" s="19"/>
      <c r="D16" s="19"/>
      <c r="E16" s="19"/>
      <c r="F16" s="19"/>
      <c r="G16" s="19"/>
      <c r="H16" s="19"/>
      <c r="I16" s="19"/>
      <c r="J16" s="517"/>
      <c r="K16" s="112"/>
      <c r="L16" s="112"/>
      <c r="M16" s="112"/>
      <c r="N16" s="112"/>
      <c r="O16" s="112"/>
      <c r="P16" s="112"/>
      <c r="Q16" s="112"/>
      <c r="R16" s="112"/>
      <c r="S16" s="112"/>
      <c r="T16" s="112"/>
      <c r="U16" s="112"/>
    </row>
    <row r="17" customFormat="false" ht="12" hidden="false" customHeight="true" outlineLevel="0" collapsed="false">
      <c r="A17" s="112"/>
      <c r="B17" s="836" t="s">
        <v>1071</v>
      </c>
      <c r="C17" s="838" t="n">
        <f aca="false">Orbit!B107</f>
        <v>42.43649014</v>
      </c>
      <c r="D17" s="19" t="s">
        <v>215</v>
      </c>
      <c r="E17" s="19"/>
      <c r="F17" s="19"/>
      <c r="G17" s="19"/>
      <c r="H17" s="19"/>
      <c r="I17" s="19"/>
      <c r="J17" s="517"/>
      <c r="K17" s="112"/>
      <c r="L17" s="112"/>
      <c r="M17" s="112"/>
      <c r="N17" s="112"/>
      <c r="O17" s="112"/>
      <c r="P17" s="112"/>
      <c r="Q17" s="112"/>
      <c r="R17" s="112"/>
      <c r="S17" s="112"/>
      <c r="T17" s="112"/>
      <c r="U17" s="112"/>
    </row>
    <row r="18" customFormat="false" ht="12" hidden="false" customHeight="true" outlineLevel="0" collapsed="false">
      <c r="A18" s="112"/>
      <c r="B18" s="513"/>
      <c r="C18" s="19"/>
      <c r="D18" s="19"/>
      <c r="E18" s="19"/>
      <c r="F18" s="19"/>
      <c r="G18" s="19"/>
      <c r="H18" s="19"/>
      <c r="I18" s="19"/>
      <c r="J18" s="517"/>
      <c r="K18" s="112"/>
      <c r="L18" s="112"/>
      <c r="M18" s="112"/>
      <c r="N18" s="112"/>
      <c r="O18" s="112"/>
      <c r="P18" s="112"/>
      <c r="Q18" s="112"/>
      <c r="R18" s="112"/>
      <c r="S18" s="112"/>
      <c r="T18" s="112"/>
      <c r="U18" s="112"/>
    </row>
    <row r="19" customFormat="false" ht="12" hidden="false" customHeight="true" outlineLevel="0" collapsed="false">
      <c r="A19" s="112"/>
      <c r="B19" s="836" t="s">
        <v>1072</v>
      </c>
      <c r="C19" s="19"/>
      <c r="D19" s="19"/>
      <c r="E19" s="839" t="n">
        <f aca="false">SUM(E12:E15)</f>
        <v>137.5635099</v>
      </c>
      <c r="F19" s="546" t="s">
        <v>215</v>
      </c>
      <c r="G19" s="19"/>
      <c r="H19" s="19"/>
      <c r="I19" s="19"/>
      <c r="J19" s="517"/>
      <c r="K19" s="112"/>
      <c r="L19" s="112"/>
      <c r="M19" s="112"/>
      <c r="N19" s="112"/>
      <c r="O19" s="112"/>
      <c r="P19" s="112"/>
      <c r="Q19" s="112"/>
      <c r="R19" s="112"/>
      <c r="S19" s="112"/>
      <c r="T19" s="112"/>
      <c r="U19" s="112"/>
    </row>
    <row r="20" customFormat="false" ht="12" hidden="false" customHeight="true" outlineLevel="0" collapsed="false">
      <c r="A20" s="112"/>
      <c r="B20" s="513"/>
      <c r="C20" s="19"/>
      <c r="D20" s="19"/>
      <c r="E20" s="19"/>
      <c r="F20" s="19"/>
      <c r="G20" s="19"/>
      <c r="H20" s="19"/>
      <c r="I20" s="19"/>
      <c r="J20" s="517"/>
      <c r="K20" s="112"/>
      <c r="L20" s="112"/>
      <c r="M20" s="112"/>
      <c r="N20" s="112"/>
      <c r="O20" s="112"/>
      <c r="P20" s="112"/>
      <c r="Q20" s="112"/>
      <c r="R20" s="112"/>
      <c r="S20" s="112"/>
      <c r="T20" s="112"/>
      <c r="U20" s="112"/>
    </row>
    <row r="21" customFormat="false" ht="12.75" hidden="false" customHeight="true" outlineLevel="0" collapsed="false">
      <c r="A21" s="112"/>
      <c r="B21" s="527"/>
      <c r="C21" s="107"/>
      <c r="D21" s="107"/>
      <c r="E21" s="107"/>
      <c r="F21" s="107"/>
      <c r="G21" s="107"/>
      <c r="H21" s="107"/>
      <c r="I21" s="107"/>
      <c r="J21" s="528"/>
      <c r="K21" s="112"/>
      <c r="L21" s="112"/>
      <c r="M21" s="112"/>
      <c r="N21" s="112"/>
      <c r="O21" s="112"/>
      <c r="P21" s="112"/>
      <c r="Q21" s="112"/>
      <c r="R21" s="112"/>
      <c r="S21" s="112"/>
      <c r="T21" s="112"/>
      <c r="U21" s="112"/>
    </row>
    <row r="22" customFormat="false" ht="12" hidden="false" customHeight="true" outlineLevel="0" collapsed="false">
      <c r="A22" s="112"/>
      <c r="B22" s="112"/>
      <c r="C22" s="112"/>
      <c r="D22" s="112"/>
      <c r="E22" s="112"/>
      <c r="F22" s="112"/>
      <c r="G22" s="112"/>
      <c r="H22" s="112"/>
      <c r="I22" s="112"/>
      <c r="J22" s="112"/>
      <c r="K22" s="112"/>
      <c r="L22" s="112"/>
      <c r="M22" s="112"/>
      <c r="N22" s="112"/>
      <c r="O22" s="112"/>
      <c r="P22" s="112"/>
      <c r="Q22" s="112"/>
      <c r="R22" s="112"/>
      <c r="S22" s="112"/>
      <c r="T22" s="112"/>
      <c r="U22" s="112"/>
    </row>
    <row r="23" customFormat="false" ht="12.75" hidden="false" customHeight="true" outlineLevel="0" collapsed="false">
      <c r="A23" s="112"/>
      <c r="B23" s="753"/>
      <c r="C23" s="753"/>
      <c r="D23" s="753"/>
      <c r="E23" s="753"/>
      <c r="F23" s="753"/>
      <c r="G23" s="753"/>
      <c r="H23" s="753"/>
      <c r="I23" s="753"/>
      <c r="J23" s="753"/>
      <c r="K23" s="112"/>
      <c r="L23" s="112"/>
      <c r="M23" s="112"/>
      <c r="N23" s="112"/>
      <c r="O23" s="112"/>
      <c r="P23" s="112"/>
      <c r="Q23" s="112"/>
      <c r="R23" s="112"/>
      <c r="S23" s="112"/>
      <c r="T23" s="112"/>
      <c r="U23" s="112"/>
    </row>
    <row r="24" customFormat="false" ht="12" hidden="false" customHeight="true" outlineLevel="0" collapsed="false">
      <c r="A24" s="112"/>
      <c r="B24" s="835" t="s">
        <v>277</v>
      </c>
      <c r="C24" s="19"/>
      <c r="D24" s="19"/>
      <c r="E24" s="19"/>
      <c r="F24" s="19"/>
      <c r="G24" s="19"/>
      <c r="H24" s="19"/>
      <c r="I24" s="19"/>
      <c r="J24" s="517"/>
      <c r="K24" s="112"/>
      <c r="L24" s="112"/>
      <c r="M24" s="112"/>
      <c r="N24" s="112"/>
      <c r="O24" s="112"/>
      <c r="P24" s="112"/>
      <c r="Q24" s="112"/>
      <c r="R24" s="112"/>
      <c r="S24" s="112"/>
      <c r="T24" s="112"/>
      <c r="U24" s="112"/>
    </row>
    <row r="25" customFormat="false" ht="12" hidden="false" customHeight="true" outlineLevel="0" collapsed="false">
      <c r="A25" s="112"/>
      <c r="B25" s="513" t="s">
        <v>1051</v>
      </c>
      <c r="C25" s="19"/>
      <c r="D25" s="19"/>
      <c r="E25" s="19"/>
      <c r="F25" s="19"/>
      <c r="G25" s="19"/>
      <c r="H25" s="19"/>
      <c r="I25" s="19"/>
      <c r="J25" s="517"/>
      <c r="K25" s="112"/>
      <c r="L25" s="112"/>
      <c r="M25" s="112"/>
      <c r="N25" s="112"/>
      <c r="O25" s="112"/>
      <c r="P25" s="112"/>
      <c r="Q25" s="112"/>
      <c r="R25" s="112"/>
      <c r="S25" s="112"/>
      <c r="T25" s="112"/>
      <c r="U25" s="112"/>
    </row>
    <row r="26" customFormat="false" ht="12" hidden="false" customHeight="true" outlineLevel="0" collapsed="false">
      <c r="A26" s="112"/>
      <c r="B26" s="836" t="s">
        <v>1052</v>
      </c>
      <c r="C26" s="837" t="n">
        <f aca="false">Orbit!O98</f>
        <v>17.4292</v>
      </c>
      <c r="D26" s="19" t="s">
        <v>215</v>
      </c>
      <c r="E26" s="19"/>
      <c r="F26" s="19"/>
      <c r="G26" s="19"/>
      <c r="H26" s="19"/>
      <c r="I26" s="19"/>
      <c r="J26" s="517"/>
      <c r="K26" s="112"/>
      <c r="L26" s="112"/>
      <c r="M26" s="112"/>
      <c r="N26" s="112"/>
      <c r="O26" s="112"/>
      <c r="P26" s="112"/>
      <c r="Q26" s="112"/>
      <c r="R26" s="112"/>
      <c r="S26" s="112"/>
      <c r="T26" s="112"/>
      <c r="U26" s="112"/>
    </row>
    <row r="27" customFormat="false" ht="12" hidden="false" customHeight="true" outlineLevel="0" collapsed="false">
      <c r="A27" s="112"/>
      <c r="B27" s="513" t="s">
        <v>1053</v>
      </c>
      <c r="C27" s="98" t="n">
        <f aca="false">IF(C26&gt;0,1,0)</f>
        <v>1</v>
      </c>
      <c r="D27" s="19"/>
      <c r="E27" s="19" t="s">
        <v>0</v>
      </c>
      <c r="F27" s="19"/>
      <c r="G27" s="19" t="s">
        <v>1054</v>
      </c>
      <c r="H27" s="19"/>
      <c r="I27" s="19"/>
      <c r="J27" s="517"/>
      <c r="K27" s="112"/>
      <c r="L27" s="112"/>
      <c r="M27" s="112"/>
      <c r="N27" s="112"/>
      <c r="O27" s="112"/>
      <c r="P27" s="112"/>
      <c r="Q27" s="112"/>
      <c r="R27" s="112"/>
      <c r="S27" s="112"/>
      <c r="T27" s="112"/>
      <c r="U27" s="112"/>
    </row>
    <row r="28" customFormat="false" ht="12" hidden="false" customHeight="true" outlineLevel="0" collapsed="false">
      <c r="A28" s="112"/>
      <c r="B28" s="513"/>
      <c r="C28" s="98" t="n">
        <f aca="false">N(NOT(C27))</f>
        <v>0</v>
      </c>
      <c r="D28" s="19"/>
      <c r="E28" s="19"/>
      <c r="F28" s="19"/>
      <c r="G28" s="19" t="s">
        <v>1055</v>
      </c>
      <c r="H28" s="19"/>
      <c r="I28" s="19"/>
      <c r="J28" s="517"/>
      <c r="K28" s="112"/>
      <c r="L28" s="112"/>
      <c r="M28" s="112"/>
      <c r="N28" s="112"/>
      <c r="O28" s="112"/>
      <c r="P28" s="112"/>
      <c r="Q28" s="112"/>
      <c r="R28" s="112"/>
      <c r="S28" s="112"/>
      <c r="T28" s="112"/>
      <c r="U28" s="112"/>
    </row>
    <row r="29" customFormat="false" ht="12" hidden="false" customHeight="true" outlineLevel="0" collapsed="false">
      <c r="A29" s="112"/>
      <c r="B29" s="836" t="s">
        <v>1056</v>
      </c>
      <c r="C29" s="837" t="n">
        <f aca="false">Orbit!O101</f>
        <v>-11.0342</v>
      </c>
      <c r="D29" s="19" t="s">
        <v>215</v>
      </c>
      <c r="E29" s="19" t="s">
        <v>0</v>
      </c>
      <c r="F29" s="19"/>
      <c r="G29" s="19" t="s">
        <v>0</v>
      </c>
      <c r="H29" s="19"/>
      <c r="I29" s="19"/>
      <c r="J29" s="517"/>
      <c r="K29" s="112"/>
      <c r="L29" s="112"/>
      <c r="M29" s="112"/>
      <c r="N29" s="112" t="s">
        <v>0</v>
      </c>
      <c r="O29" s="112"/>
      <c r="P29" s="112"/>
      <c r="Q29" s="112"/>
      <c r="R29" s="112"/>
      <c r="S29" s="112"/>
      <c r="T29" s="112"/>
      <c r="U29" s="112"/>
    </row>
    <row r="30" customFormat="false" ht="12" hidden="false" customHeight="true" outlineLevel="0" collapsed="false">
      <c r="A30" s="112"/>
      <c r="B30" s="513" t="s">
        <v>1057</v>
      </c>
      <c r="C30" s="98" t="n">
        <f aca="false">IF(C29&gt;0,1,0)</f>
        <v>0</v>
      </c>
      <c r="D30" s="19"/>
      <c r="E30" s="19"/>
      <c r="F30" s="19"/>
      <c r="G30" s="19" t="s">
        <v>1058</v>
      </c>
      <c r="H30" s="19"/>
      <c r="I30" s="19"/>
      <c r="J30" s="517"/>
      <c r="K30" s="112"/>
      <c r="L30" s="112"/>
      <c r="M30" s="112"/>
      <c r="N30" s="112"/>
      <c r="O30" s="112"/>
      <c r="P30" s="112"/>
      <c r="Q30" s="112"/>
      <c r="R30" s="112"/>
      <c r="S30" s="112"/>
      <c r="T30" s="112"/>
      <c r="U30" s="112"/>
    </row>
    <row r="31" customFormat="false" ht="12" hidden="false" customHeight="true" outlineLevel="0" collapsed="false">
      <c r="A31" s="112"/>
      <c r="B31" s="513"/>
      <c r="C31" s="98" t="n">
        <f aca="false">N(NOT(C30))</f>
        <v>1</v>
      </c>
      <c r="D31" s="19"/>
      <c r="E31" s="19"/>
      <c r="F31" s="19"/>
      <c r="G31" s="19" t="s">
        <v>1059</v>
      </c>
      <c r="H31" s="19"/>
      <c r="I31" s="19"/>
      <c r="J31" s="517"/>
      <c r="K31" s="112"/>
      <c r="L31" s="112"/>
      <c r="M31" s="112"/>
      <c r="N31" s="112"/>
      <c r="O31" s="112"/>
      <c r="P31" s="112"/>
      <c r="Q31" s="112"/>
      <c r="R31" s="112"/>
      <c r="S31" s="112"/>
      <c r="T31" s="112"/>
      <c r="U31" s="112"/>
    </row>
    <row r="32" customFormat="false" ht="12" hidden="false" customHeight="true" outlineLevel="0" collapsed="false">
      <c r="A32" s="112"/>
      <c r="B32" s="513"/>
      <c r="C32" s="212" t="s">
        <v>1060</v>
      </c>
      <c r="D32" s="19"/>
      <c r="E32" s="212" t="s">
        <v>1061</v>
      </c>
      <c r="F32" s="19"/>
      <c r="G32" s="212" t="s">
        <v>1073</v>
      </c>
      <c r="H32" s="19"/>
      <c r="I32" s="19"/>
      <c r="J32" s="517"/>
      <c r="K32" s="112"/>
      <c r="L32" s="112"/>
      <c r="M32" s="112"/>
      <c r="N32" s="112"/>
      <c r="O32" s="112"/>
      <c r="P32" s="112"/>
      <c r="Q32" s="112"/>
      <c r="R32" s="112"/>
      <c r="S32" s="112"/>
      <c r="T32" s="112"/>
      <c r="U32" s="112"/>
    </row>
    <row r="33" customFormat="false" ht="12" hidden="false" customHeight="true" outlineLevel="0" collapsed="false">
      <c r="A33" s="112"/>
      <c r="B33" s="513" t="s">
        <v>1063</v>
      </c>
      <c r="C33" s="98" t="n">
        <f aca="false">N(AND(C28,C31))</f>
        <v>0</v>
      </c>
      <c r="D33" s="19"/>
      <c r="E33" s="199" t="n">
        <f aca="false">C33*(-C38)</f>
        <v>0</v>
      </c>
      <c r="F33" s="19" t="s">
        <v>215</v>
      </c>
      <c r="G33" s="19" t="s">
        <v>1064</v>
      </c>
      <c r="H33" s="19"/>
      <c r="I33" s="19"/>
      <c r="J33" s="517"/>
      <c r="K33" s="112"/>
      <c r="L33" s="112"/>
      <c r="M33" s="112"/>
      <c r="N33" s="112"/>
      <c r="O33" s="112"/>
      <c r="P33" s="112"/>
      <c r="Q33" s="112"/>
      <c r="R33" s="112"/>
      <c r="S33" s="112"/>
      <c r="T33" s="112"/>
      <c r="U33" s="112"/>
    </row>
    <row r="34" customFormat="false" ht="12" hidden="false" customHeight="true" outlineLevel="0" collapsed="false">
      <c r="A34" s="112"/>
      <c r="B34" s="513" t="s">
        <v>1065</v>
      </c>
      <c r="C34" s="98" t="n">
        <f aca="false">N(AND(C27,C31))</f>
        <v>1</v>
      </c>
      <c r="D34" s="19"/>
      <c r="E34" s="199" t="n">
        <f aca="false">C34*(180-C38)</f>
        <v>146.9348358</v>
      </c>
      <c r="F34" s="19" t="s">
        <v>215</v>
      </c>
      <c r="G34" s="19" t="s">
        <v>1066</v>
      </c>
      <c r="H34" s="19"/>
      <c r="I34" s="19"/>
      <c r="J34" s="517"/>
      <c r="K34" s="112"/>
      <c r="L34" s="112"/>
      <c r="M34" s="112"/>
      <c r="N34" s="112"/>
      <c r="O34" s="112"/>
      <c r="P34" s="112"/>
      <c r="Q34" s="112"/>
      <c r="R34" s="112"/>
      <c r="S34" s="112"/>
      <c r="T34" s="112"/>
      <c r="U34" s="112"/>
    </row>
    <row r="35" customFormat="false" ht="12" hidden="false" customHeight="true" outlineLevel="0" collapsed="false">
      <c r="A35" s="112"/>
      <c r="B35" s="513" t="s">
        <v>1067</v>
      </c>
      <c r="C35" s="98" t="n">
        <f aca="false">N(AND(C27,C30))</f>
        <v>0</v>
      </c>
      <c r="D35" s="19"/>
      <c r="E35" s="199" t="n">
        <f aca="false">C35*(180-C38)</f>
        <v>0</v>
      </c>
      <c r="F35" s="19" t="s">
        <v>215</v>
      </c>
      <c r="G35" s="19" t="s">
        <v>1068</v>
      </c>
      <c r="H35" s="19"/>
      <c r="I35" s="19"/>
      <c r="J35" s="517"/>
      <c r="K35" s="112"/>
      <c r="L35" s="112"/>
      <c r="M35" s="112"/>
      <c r="N35" s="112"/>
      <c r="O35" s="112"/>
      <c r="P35" s="112"/>
      <c r="Q35" s="112"/>
      <c r="R35" s="112"/>
      <c r="S35" s="112"/>
      <c r="T35" s="112"/>
      <c r="U35" s="112"/>
    </row>
    <row r="36" customFormat="false" ht="12" hidden="false" customHeight="true" outlineLevel="0" collapsed="false">
      <c r="A36" s="112"/>
      <c r="B36" s="513" t="s">
        <v>1069</v>
      </c>
      <c r="C36" s="98" t="n">
        <f aca="false">N(AND(C28,C30))</f>
        <v>0</v>
      </c>
      <c r="D36" s="19"/>
      <c r="E36" s="199" t="n">
        <f aca="false">C36*(360-C38)</f>
        <v>0</v>
      </c>
      <c r="F36" s="19" t="s">
        <v>215</v>
      </c>
      <c r="G36" s="19" t="s">
        <v>1070</v>
      </c>
      <c r="H36" s="19"/>
      <c r="I36" s="19"/>
      <c r="J36" s="517"/>
      <c r="K36" s="112"/>
      <c r="L36" s="112"/>
      <c r="M36" s="112"/>
      <c r="N36" s="112"/>
      <c r="O36" s="112"/>
      <c r="P36" s="112"/>
      <c r="Q36" s="112"/>
      <c r="R36" s="112"/>
      <c r="S36" s="112"/>
      <c r="T36" s="112"/>
      <c r="U36" s="112"/>
    </row>
    <row r="37" customFormat="false" ht="12" hidden="false" customHeight="true" outlineLevel="0" collapsed="false">
      <c r="A37" s="112"/>
      <c r="B37" s="513"/>
      <c r="C37" s="19"/>
      <c r="D37" s="19"/>
      <c r="E37" s="19"/>
      <c r="F37" s="19"/>
      <c r="G37" s="19"/>
      <c r="H37" s="19"/>
      <c r="I37" s="19"/>
      <c r="J37" s="517"/>
      <c r="K37" s="112"/>
      <c r="L37" s="112"/>
      <c r="M37" s="112"/>
      <c r="N37" s="112"/>
      <c r="O37" s="112"/>
      <c r="P37" s="112"/>
      <c r="Q37" s="112"/>
      <c r="R37" s="112"/>
      <c r="S37" s="112"/>
      <c r="T37" s="112"/>
      <c r="U37" s="112"/>
    </row>
    <row r="38" customFormat="false" ht="12" hidden="false" customHeight="true" outlineLevel="0" collapsed="false">
      <c r="A38" s="112"/>
      <c r="B38" s="836" t="s">
        <v>1071</v>
      </c>
      <c r="C38" s="838" t="n">
        <f aca="false">Orbit!O107</f>
        <v>33.06516416</v>
      </c>
      <c r="D38" s="19" t="s">
        <v>215</v>
      </c>
      <c r="E38" s="19"/>
      <c r="F38" s="19"/>
      <c r="G38" s="19"/>
      <c r="H38" s="19"/>
      <c r="I38" s="19"/>
      <c r="J38" s="517"/>
      <c r="K38" s="112"/>
      <c r="L38" s="112"/>
      <c r="M38" s="112"/>
      <c r="N38" s="112"/>
      <c r="O38" s="112"/>
      <c r="P38" s="112"/>
      <c r="Q38" s="112"/>
      <c r="R38" s="112"/>
      <c r="S38" s="112"/>
      <c r="T38" s="112"/>
      <c r="U38" s="112"/>
    </row>
    <row r="39" customFormat="false" ht="12" hidden="false" customHeight="true" outlineLevel="0" collapsed="false">
      <c r="A39" s="112"/>
      <c r="B39" s="513"/>
      <c r="C39" s="19"/>
      <c r="D39" s="19"/>
      <c r="E39" s="19"/>
      <c r="F39" s="19"/>
      <c r="G39" s="19"/>
      <c r="H39" s="19"/>
      <c r="I39" s="19"/>
      <c r="J39" s="517"/>
      <c r="K39" s="112"/>
      <c r="L39" s="112"/>
      <c r="M39" s="112"/>
      <c r="N39" s="112"/>
      <c r="O39" s="112"/>
      <c r="P39" s="112"/>
      <c r="Q39" s="112"/>
      <c r="R39" s="112"/>
      <c r="S39" s="112"/>
      <c r="T39" s="112"/>
      <c r="U39" s="112"/>
    </row>
    <row r="40" customFormat="false" ht="12" hidden="false" customHeight="true" outlineLevel="0" collapsed="false">
      <c r="A40" s="112"/>
      <c r="B40" s="836" t="s">
        <v>1072</v>
      </c>
      <c r="C40" s="19"/>
      <c r="D40" s="19"/>
      <c r="E40" s="839" t="n">
        <f aca="false">SUM(E33:E36)</f>
        <v>146.9348358</v>
      </c>
      <c r="F40" s="546" t="s">
        <v>215</v>
      </c>
      <c r="G40" s="19"/>
      <c r="H40" s="19"/>
      <c r="I40" s="19"/>
      <c r="J40" s="517"/>
      <c r="K40" s="112"/>
      <c r="L40" s="112"/>
      <c r="M40" s="112"/>
      <c r="N40" s="112"/>
      <c r="O40" s="112"/>
      <c r="P40" s="112"/>
      <c r="Q40" s="112"/>
      <c r="R40" s="112"/>
      <c r="S40" s="112"/>
      <c r="T40" s="112"/>
      <c r="U40" s="112"/>
    </row>
    <row r="41" customFormat="false" ht="12" hidden="false" customHeight="true" outlineLevel="0" collapsed="false">
      <c r="A41" s="112"/>
      <c r="B41" s="513"/>
      <c r="C41" s="19"/>
      <c r="D41" s="19"/>
      <c r="E41" s="19"/>
      <c r="F41" s="19"/>
      <c r="G41" s="19"/>
      <c r="H41" s="19"/>
      <c r="I41" s="19"/>
      <c r="J41" s="517"/>
      <c r="K41" s="112"/>
      <c r="L41" s="112"/>
      <c r="M41" s="112"/>
      <c r="N41" s="112"/>
      <c r="O41" s="112"/>
      <c r="P41" s="112"/>
      <c r="Q41" s="112"/>
      <c r="R41" s="112"/>
      <c r="S41" s="112"/>
      <c r="T41" s="112"/>
      <c r="U41" s="112"/>
    </row>
    <row r="42" customFormat="false" ht="12.75" hidden="false" customHeight="true" outlineLevel="0" collapsed="false">
      <c r="A42" s="112"/>
      <c r="B42" s="527"/>
      <c r="C42" s="107"/>
      <c r="D42" s="107"/>
      <c r="E42" s="107"/>
      <c r="F42" s="107"/>
      <c r="G42" s="107"/>
      <c r="H42" s="107"/>
      <c r="I42" s="107"/>
      <c r="J42" s="528"/>
      <c r="K42" s="112"/>
      <c r="L42" s="112"/>
      <c r="M42" s="112"/>
      <c r="N42" s="112"/>
      <c r="O42" s="112"/>
      <c r="P42" s="112"/>
      <c r="Q42" s="112"/>
      <c r="R42" s="112"/>
      <c r="S42" s="112"/>
      <c r="T42" s="112"/>
      <c r="U42" s="112"/>
    </row>
    <row r="43" customFormat="false" ht="12" hidden="false" customHeight="true" outlineLevel="0" collapsed="false">
      <c r="A43" s="112"/>
      <c r="B43" s="112"/>
      <c r="C43" s="112"/>
      <c r="D43" s="112"/>
      <c r="E43" s="112"/>
      <c r="F43" s="112"/>
      <c r="G43" s="112"/>
      <c r="H43" s="112"/>
      <c r="I43" s="112"/>
      <c r="J43" s="112"/>
      <c r="K43" s="112"/>
      <c r="L43" s="112"/>
      <c r="M43" s="112"/>
      <c r="N43" s="112"/>
      <c r="O43" s="112"/>
      <c r="P43" s="112"/>
      <c r="Q43" s="112"/>
      <c r="R43" s="112"/>
      <c r="S43" s="112"/>
      <c r="T43" s="112"/>
      <c r="U43" s="112"/>
    </row>
    <row r="44" customFormat="false" ht="12" hidden="false" customHeight="true" outlineLevel="0" collapsed="false">
      <c r="A44" s="112"/>
      <c r="B44" s="112"/>
      <c r="C44" s="112"/>
      <c r="D44" s="112"/>
      <c r="E44" s="112"/>
      <c r="F44" s="112"/>
      <c r="G44" s="112"/>
      <c r="H44" s="112"/>
      <c r="I44" s="112"/>
      <c r="J44" s="112"/>
      <c r="K44" s="112"/>
      <c r="L44" s="112"/>
      <c r="M44" s="112"/>
      <c r="N44" s="112"/>
      <c r="O44" s="112"/>
      <c r="P44" s="112"/>
      <c r="Q44" s="112"/>
      <c r="R44" s="112"/>
      <c r="S44" s="112"/>
      <c r="T44" s="112"/>
      <c r="U44" s="112"/>
    </row>
    <row r="45" customFormat="false" ht="12" hidden="false" customHeight="true" outlineLevel="0" collapsed="false">
      <c r="A45" s="112"/>
      <c r="B45" s="112"/>
      <c r="C45" s="112"/>
      <c r="D45" s="112"/>
      <c r="E45" s="112"/>
      <c r="F45" s="112"/>
      <c r="G45" s="112"/>
      <c r="H45" s="112"/>
      <c r="I45" s="112"/>
      <c r="J45" s="112"/>
      <c r="K45" s="112"/>
      <c r="L45" s="112"/>
      <c r="M45" s="112"/>
      <c r="N45" s="112"/>
      <c r="O45" s="112"/>
      <c r="P45" s="112"/>
      <c r="Q45" s="112"/>
      <c r="R45" s="112"/>
      <c r="S45" s="112"/>
      <c r="T45" s="112"/>
      <c r="U45" s="112"/>
    </row>
    <row r="46" customFormat="false" ht="12" hidden="false" customHeight="true" outlineLevel="0" collapsed="false">
      <c r="A46" s="112"/>
      <c r="B46" s="112"/>
      <c r="C46" s="112"/>
      <c r="D46" s="112"/>
      <c r="E46" s="112"/>
      <c r="F46" s="112"/>
      <c r="G46" s="112"/>
      <c r="H46" s="112"/>
      <c r="I46" s="112"/>
      <c r="J46" s="112"/>
      <c r="K46" s="112"/>
      <c r="L46" s="112"/>
      <c r="M46" s="112"/>
      <c r="N46" s="112"/>
      <c r="O46" s="112"/>
      <c r="P46" s="112"/>
      <c r="Q46" s="112"/>
      <c r="R46" s="112"/>
      <c r="S46" s="112"/>
      <c r="T46" s="112"/>
      <c r="U46" s="112"/>
    </row>
    <row r="47" customFormat="false" ht="12" hidden="false" customHeight="true" outlineLevel="0" collapsed="false">
      <c r="A47" s="112"/>
      <c r="B47" s="112"/>
      <c r="C47" s="112"/>
      <c r="D47" s="112"/>
      <c r="E47" s="112"/>
      <c r="F47" s="112"/>
      <c r="G47" s="112"/>
      <c r="H47" s="112"/>
      <c r="I47" s="112"/>
      <c r="J47" s="112"/>
      <c r="K47" s="112"/>
      <c r="L47" s="112"/>
      <c r="M47" s="112"/>
      <c r="N47" s="112"/>
      <c r="O47" s="112"/>
      <c r="P47" s="112"/>
      <c r="Q47" s="112"/>
      <c r="R47" s="112"/>
      <c r="S47" s="112"/>
      <c r="T47" s="112"/>
      <c r="U47" s="112"/>
    </row>
    <row r="48" customFormat="false" ht="12" hidden="false" customHeight="true" outlineLevel="0" collapsed="false">
      <c r="A48" s="112"/>
      <c r="B48" s="112"/>
      <c r="C48" s="112"/>
      <c r="D48" s="112"/>
      <c r="E48" s="112"/>
      <c r="F48" s="112"/>
      <c r="G48" s="112"/>
      <c r="H48" s="112"/>
      <c r="I48" s="112"/>
      <c r="J48" s="112"/>
      <c r="K48" s="112"/>
      <c r="L48" s="112"/>
      <c r="M48" s="112"/>
      <c r="N48" s="112"/>
      <c r="O48" s="112"/>
      <c r="P48" s="112"/>
      <c r="Q48" s="112"/>
      <c r="R48" s="112"/>
      <c r="S48" s="112"/>
      <c r="T48" s="112"/>
      <c r="U48" s="112"/>
    </row>
    <row r="49" customFormat="false" ht="12" hidden="false" customHeight="true" outlineLevel="0" collapsed="false">
      <c r="A49" s="112"/>
      <c r="B49" s="112"/>
      <c r="C49" s="112"/>
      <c r="D49" s="112"/>
      <c r="E49" s="112"/>
      <c r="F49" s="112"/>
      <c r="G49" s="112"/>
      <c r="H49" s="112"/>
      <c r="I49" s="112"/>
      <c r="J49" s="112"/>
      <c r="K49" s="112"/>
      <c r="L49" s="112"/>
      <c r="M49" s="112"/>
      <c r="N49" s="112"/>
      <c r="O49" s="112"/>
      <c r="P49" s="112"/>
      <c r="Q49" s="112"/>
      <c r="R49" s="112"/>
      <c r="S49" s="112"/>
      <c r="T49" s="112"/>
      <c r="U49" s="112"/>
    </row>
    <row r="50" customFormat="false" ht="12" hidden="false" customHeight="true" outlineLevel="0" collapsed="false">
      <c r="A50" s="112"/>
      <c r="B50" s="112"/>
      <c r="C50" s="112"/>
      <c r="D50" s="112"/>
      <c r="E50" s="112"/>
      <c r="F50" s="112"/>
      <c r="G50" s="112"/>
      <c r="H50" s="112"/>
      <c r="I50" s="112"/>
      <c r="J50" s="112"/>
      <c r="K50" s="112"/>
      <c r="L50" s="112"/>
      <c r="M50" s="112"/>
      <c r="N50" s="112"/>
      <c r="O50" s="112"/>
      <c r="P50" s="112"/>
      <c r="Q50" s="112"/>
      <c r="R50" s="112"/>
      <c r="S50" s="112"/>
      <c r="T50" s="112"/>
      <c r="U50" s="112"/>
    </row>
    <row r="51" customFormat="false" ht="12" hidden="false" customHeight="true" outlineLevel="0" collapsed="false">
      <c r="A51" s="112"/>
      <c r="B51" s="112"/>
      <c r="C51" s="112"/>
      <c r="D51" s="112"/>
      <c r="E51" s="112"/>
      <c r="F51" s="112"/>
      <c r="G51" s="112"/>
      <c r="H51" s="112"/>
      <c r="I51" s="112"/>
      <c r="J51" s="112"/>
      <c r="K51" s="112"/>
      <c r="L51" s="112"/>
      <c r="M51" s="112"/>
      <c r="N51" s="112"/>
      <c r="O51" s="112"/>
      <c r="P51" s="112"/>
      <c r="Q51" s="112"/>
      <c r="R51" s="112"/>
      <c r="S51" s="112"/>
      <c r="T51" s="112"/>
      <c r="U51" s="112"/>
    </row>
    <row r="52" customFormat="false" ht="12" hidden="false" customHeight="true" outlineLevel="0" collapsed="false">
      <c r="A52" s="112"/>
      <c r="B52" s="112"/>
      <c r="C52" s="112"/>
      <c r="D52" s="112"/>
      <c r="E52" s="112"/>
      <c r="F52" s="112"/>
      <c r="G52" s="112"/>
      <c r="H52" s="112"/>
      <c r="I52" s="112"/>
      <c r="J52" s="112"/>
      <c r="K52" s="112"/>
      <c r="L52" s="112"/>
      <c r="M52" s="112"/>
      <c r="N52" s="112"/>
      <c r="O52" s="112"/>
      <c r="P52" s="112"/>
      <c r="Q52" s="112"/>
      <c r="R52" s="112"/>
      <c r="S52" s="112"/>
      <c r="T52" s="112"/>
      <c r="U52" s="112"/>
    </row>
    <row r="53" customFormat="false" ht="12" hidden="false" customHeight="true" outlineLevel="0" collapsed="false">
      <c r="A53" s="112"/>
      <c r="B53" s="112"/>
      <c r="C53" s="112"/>
      <c r="D53" s="112"/>
      <c r="E53" s="112"/>
      <c r="F53" s="112"/>
      <c r="G53" s="112"/>
      <c r="H53" s="112"/>
      <c r="I53" s="112"/>
      <c r="J53" s="112"/>
      <c r="K53" s="112"/>
      <c r="L53" s="112"/>
      <c r="M53" s="112"/>
      <c r="N53" s="112"/>
      <c r="O53" s="112"/>
      <c r="P53" s="112"/>
      <c r="Q53" s="112"/>
      <c r="R53" s="112"/>
      <c r="S53" s="112"/>
      <c r="T53" s="112"/>
      <c r="U53" s="112"/>
    </row>
    <row r="54" customFormat="false" ht="12" hidden="false" customHeight="true" outlineLevel="0" collapsed="false">
      <c r="A54" s="112"/>
      <c r="B54" s="112"/>
      <c r="C54" s="112"/>
      <c r="D54" s="112"/>
      <c r="E54" s="112"/>
      <c r="F54" s="112"/>
      <c r="G54" s="112"/>
      <c r="H54" s="112"/>
      <c r="I54" s="112"/>
      <c r="J54" s="112"/>
      <c r="K54" s="112"/>
      <c r="L54" s="112"/>
      <c r="M54" s="112"/>
      <c r="N54" s="112"/>
      <c r="O54" s="112"/>
      <c r="P54" s="112"/>
      <c r="Q54" s="112"/>
      <c r="R54" s="112"/>
      <c r="S54" s="112"/>
      <c r="T54" s="112"/>
      <c r="U54" s="112"/>
    </row>
    <row r="55" customFormat="false" ht="12" hidden="false" customHeight="true" outlineLevel="0" collapsed="false">
      <c r="A55" s="112"/>
      <c r="B55" s="112"/>
      <c r="C55" s="112"/>
      <c r="D55" s="112"/>
      <c r="E55" s="112"/>
      <c r="F55" s="112"/>
      <c r="G55" s="112"/>
      <c r="H55" s="112"/>
      <c r="I55" s="112"/>
      <c r="J55" s="112"/>
      <c r="K55" s="112"/>
      <c r="L55" s="112"/>
      <c r="M55" s="112"/>
      <c r="N55" s="112"/>
      <c r="O55" s="112"/>
      <c r="P55" s="112"/>
      <c r="Q55" s="112"/>
      <c r="R55" s="112"/>
      <c r="S55" s="112"/>
      <c r="T55" s="112"/>
      <c r="U55" s="112"/>
    </row>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39966"/>
    <pageSetUpPr fitToPage="false"/>
  </sheetPr>
  <dimension ref="A1:I100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9" min="1" style="1" width="8.88"/>
    <col collapsed="false" customWidth="true" hidden="false" outlineLevel="0" max="26" min="10" style="1" width="14.38"/>
  </cols>
  <sheetData>
    <row r="1" customFormat="false" ht="12" hidden="false" customHeight="true" outlineLevel="0" collapsed="false">
      <c r="A1" s="38" t="s">
        <v>1074</v>
      </c>
      <c r="B1" s="43"/>
      <c r="C1" s="43"/>
      <c r="D1" s="43"/>
    </row>
    <row r="2" customFormat="false" ht="12" hidden="false" customHeight="true" outlineLevel="0" collapsed="false">
      <c r="A2" s="23" t="s">
        <v>60</v>
      </c>
      <c r="B2" s="43" t="s">
        <v>1075</v>
      </c>
      <c r="C2" s="43" t="s">
        <v>87</v>
      </c>
      <c r="D2" s="43" t="s">
        <v>1076</v>
      </c>
      <c r="E2" s="43" t="s">
        <v>1077</v>
      </c>
      <c r="F2" s="43" t="s">
        <v>1078</v>
      </c>
      <c r="G2" s="43" t="s">
        <v>1079</v>
      </c>
      <c r="I2" s="38" t="s">
        <v>0</v>
      </c>
    </row>
    <row r="3" customFormat="false" ht="12" hidden="false" customHeight="true" outlineLevel="0" collapsed="false">
      <c r="B3" s="43" t="n">
        <f aca="false">SQRT(D3-(C3)^2)</f>
        <v>3.51994318135961</v>
      </c>
      <c r="C3" s="716" t="n">
        <v>-1.9</v>
      </c>
      <c r="D3" s="716" t="n">
        <v>16</v>
      </c>
      <c r="E3" s="43" t="n">
        <f aca="false">SQRT(G3-(F4)^2)</f>
        <v>3.57456291034303</v>
      </c>
      <c r="F3" s="43" t="n">
        <v>-1.9</v>
      </c>
      <c r="G3" s="716" t="n">
        <v>16.2</v>
      </c>
      <c r="I3" s="38" t="s">
        <v>0</v>
      </c>
    </row>
    <row r="4" customFormat="false" ht="12" hidden="false" customHeight="true" outlineLevel="0" collapsed="false">
      <c r="B4" s="43" t="n">
        <f aca="false">SQRT(D4-(C4)^2)</f>
        <v>3.54647712526107</v>
      </c>
      <c r="C4" s="716" t="n">
        <f aca="false">C3+0.05</f>
        <v>-1.85</v>
      </c>
      <c r="D4" s="716" t="n">
        <v>16</v>
      </c>
      <c r="E4" s="43" t="n">
        <f aca="false">SQRT(G4-(F5)^2)</f>
        <v>3.6</v>
      </c>
      <c r="F4" s="43" t="n">
        <f aca="false">F3+0.05</f>
        <v>-1.85</v>
      </c>
      <c r="G4" s="716" t="n">
        <v>16.2</v>
      </c>
    </row>
    <row r="5" customFormat="false" ht="12" hidden="false" customHeight="true" outlineLevel="0" collapsed="false">
      <c r="B5" s="43" t="n">
        <f aca="false">SQRT(D5-(C5)^2)</f>
        <v>3.57211421989835</v>
      </c>
      <c r="C5" s="716" t="n">
        <f aca="false">C4+0.05</f>
        <v>-1.8</v>
      </c>
      <c r="D5" s="716" t="n">
        <v>16</v>
      </c>
      <c r="E5" s="43" t="n">
        <f aca="false">SQRT(G5-(F6)^2)</f>
        <v>3.62456893988789</v>
      </c>
      <c r="F5" s="716" t="n">
        <f aca="false">F4+0.05</f>
        <v>-1.8</v>
      </c>
      <c r="G5" s="716" t="n">
        <v>16.2</v>
      </c>
    </row>
    <row r="6" customFormat="false" ht="12" hidden="false" customHeight="true" outlineLevel="0" collapsed="false">
      <c r="B6" s="43" t="n">
        <f aca="false">SQRT(D6-(C6)^2)</f>
        <v>3.59687364248454</v>
      </c>
      <c r="C6" s="716" t="n">
        <f aca="false">C5+0.05</f>
        <v>-1.75</v>
      </c>
      <c r="D6" s="716" t="n">
        <v>16</v>
      </c>
      <c r="E6" s="43" t="n">
        <f aca="false">SQRT(G6-(F7)^2)</f>
        <v>3.64828726939094</v>
      </c>
      <c r="F6" s="716" t="n">
        <f aca="false">F5+0.05</f>
        <v>-1.75</v>
      </c>
      <c r="G6" s="716" t="n">
        <v>16.2</v>
      </c>
    </row>
    <row r="7" customFormat="false" ht="12" hidden="false" customHeight="true" outlineLevel="0" collapsed="false">
      <c r="B7" s="43" t="n">
        <f aca="false">SQRT(D7-(C7)^2)</f>
        <v>3.62077339804634</v>
      </c>
      <c r="C7" s="716" t="n">
        <f aca="false">C6+0.05</f>
        <v>-1.7</v>
      </c>
      <c r="D7" s="716" t="n">
        <v>16</v>
      </c>
      <c r="E7" s="43" t="n">
        <f aca="false">SQRT(G7-(F8)^2)</f>
        <v>3.67117147515613</v>
      </c>
      <c r="F7" s="716" t="n">
        <f aca="false">F6+0.05</f>
        <v>-1.7</v>
      </c>
      <c r="G7" s="716" t="n">
        <v>16.2</v>
      </c>
    </row>
    <row r="8" customFormat="false" ht="12" hidden="false" customHeight="true" outlineLevel="0" collapsed="false">
      <c r="B8" s="43" t="n">
        <f aca="false">SQRT(D8-(C8)^2)</f>
        <v>3.64383040220041</v>
      </c>
      <c r="C8" s="716" t="n">
        <f aca="false">C7+0.05</f>
        <v>-1.65</v>
      </c>
      <c r="D8" s="716" t="n">
        <v>16</v>
      </c>
      <c r="E8" s="43" t="n">
        <f aca="false">SQRT(G8-(F9)^2)</f>
        <v>3.69323706252388</v>
      </c>
      <c r="F8" s="716" t="n">
        <f aca="false">F7+0.05</f>
        <v>-1.65</v>
      </c>
      <c r="G8" s="716" t="n">
        <v>16.2</v>
      </c>
    </row>
    <row r="9" customFormat="false" ht="12" hidden="false" customHeight="true" outlineLevel="0" collapsed="false">
      <c r="B9" s="43" t="n">
        <f aca="false">SQRT(D9-(C9)^2)</f>
        <v>3.66606055596467</v>
      </c>
      <c r="C9" s="716" t="n">
        <f aca="false">C8+0.05</f>
        <v>-1.6</v>
      </c>
      <c r="D9" s="716" t="n">
        <v>16</v>
      </c>
      <c r="E9" s="43" t="n">
        <f aca="false">SQRT(G9-(F10)^2)</f>
        <v>3.71449862027165</v>
      </c>
      <c r="F9" s="716" t="n">
        <f aca="false">F8+0.05</f>
        <v>-1.6</v>
      </c>
      <c r="G9" s="716" t="n">
        <v>16.2</v>
      </c>
    </row>
    <row r="10" customFormat="false" ht="12" hidden="false" customHeight="true" outlineLevel="0" collapsed="false">
      <c r="B10" s="43" t="n">
        <f aca="false">SQRT(D10-(C10)^2)</f>
        <v>3.68747881349846</v>
      </c>
      <c r="C10" s="716" t="n">
        <f aca="false">C9+0.05</f>
        <v>-1.55</v>
      </c>
      <c r="D10" s="716" t="n">
        <v>16</v>
      </c>
      <c r="E10" s="43" t="n">
        <f aca="false">SQRT(G10-(F11)^2)</f>
        <v>3.73496987939662</v>
      </c>
      <c r="F10" s="716" t="n">
        <f aca="false">F9+0.05</f>
        <v>-1.55</v>
      </c>
      <c r="G10" s="716" t="n">
        <v>16.2</v>
      </c>
    </row>
    <row r="11" customFormat="false" ht="12" hidden="false" customHeight="true" outlineLevel="0" collapsed="false">
      <c r="B11" s="43" t="n">
        <f aca="false">SQRT(D11-(C11)^2)</f>
        <v>3.70809924354783</v>
      </c>
      <c r="C11" s="716" t="n">
        <f aca="false">C10+0.05</f>
        <v>-1.5</v>
      </c>
      <c r="D11" s="716" t="n">
        <v>16</v>
      </c>
      <c r="E11" s="43" t="n">
        <f aca="false">SQRT(G11-(F12)^2)</f>
        <v>3.75466376657085</v>
      </c>
      <c r="F11" s="716" t="n">
        <f aca="false">F10+0.05</f>
        <v>-1.5</v>
      </c>
      <c r="G11" s="716" t="n">
        <v>16.2</v>
      </c>
    </row>
    <row r="12" customFormat="false" ht="12" hidden="false" customHeight="true" outlineLevel="0" collapsed="false">
      <c r="B12" s="43" t="n">
        <f aca="false">SQRT(D12-(C12)^2)</f>
        <v>3.72793508527174</v>
      </c>
      <c r="C12" s="716" t="n">
        <f aca="false">C11+0.05</f>
        <v>-1.45</v>
      </c>
      <c r="D12" s="716" t="n">
        <v>16</v>
      </c>
      <c r="E12" s="43" t="n">
        <f aca="false">SQRT(G12-(F13)^2)</f>
        <v>3.77359245282264</v>
      </c>
      <c r="F12" s="716" t="n">
        <f aca="false">F11+0.05</f>
        <v>-1.45</v>
      </c>
      <c r="G12" s="716" t="n">
        <v>16.2</v>
      </c>
    </row>
    <row r="13" customFormat="false" ht="12" hidden="false" customHeight="true" outlineLevel="0" collapsed="false">
      <c r="B13" s="43" t="n">
        <f aca="false">SQRT(D13-(C13)^2)</f>
        <v>3.74699879903904</v>
      </c>
      <c r="C13" s="716" t="n">
        <f aca="false">C12+0.05</f>
        <v>-1.4</v>
      </c>
      <c r="D13" s="716" t="n">
        <v>16</v>
      </c>
      <c r="E13" s="43" t="n">
        <f aca="false">SQRT(G13-(F14)^2)</f>
        <v>3.79176739792936</v>
      </c>
      <c r="F13" s="716" t="n">
        <f aca="false">F12+0.05</f>
        <v>-1.4</v>
      </c>
      <c r="G13" s="716" t="n">
        <v>16.2</v>
      </c>
    </row>
    <row r="14" customFormat="false" ht="12" hidden="false" customHeight="true" outlineLevel="0" collapsed="false">
      <c r="B14" s="43" t="n">
        <f aca="false">SQRT(D14-(C14)^2)</f>
        <v>3.76530211271287</v>
      </c>
      <c r="C14" s="716" t="n">
        <f aca="false">C13+0.05</f>
        <v>-1.35</v>
      </c>
      <c r="D14" s="716" t="n">
        <v>16</v>
      </c>
      <c r="E14" s="43" t="n">
        <f aca="false">SQRT(G14-(F15)^2)</f>
        <v>3.80919939094818</v>
      </c>
      <c r="F14" s="716" t="n">
        <f aca="false">F13+0.05</f>
        <v>-1.35</v>
      </c>
      <c r="G14" s="716" t="n">
        <v>16.2</v>
      </c>
    </row>
    <row r="15" customFormat="false" ht="12" hidden="false" customHeight="true" outlineLevel="0" collapsed="false">
      <c r="B15" s="43" t="n">
        <f aca="false">SQRT(D15-(C15)^2)</f>
        <v>3.78285606387555</v>
      </c>
      <c r="C15" s="716" t="n">
        <f aca="false">C14+0.05</f>
        <v>-1.3</v>
      </c>
      <c r="D15" s="716" t="n">
        <v>16</v>
      </c>
      <c r="E15" s="43" t="n">
        <f aca="false">SQRT(G15-(F16)^2)</f>
        <v>3.82589858726025</v>
      </c>
      <c r="F15" s="716" t="n">
        <f aca="false">F14+0.05</f>
        <v>-1.3</v>
      </c>
      <c r="G15" s="716" t="n">
        <v>16.2</v>
      </c>
    </row>
    <row r="16" customFormat="false" ht="12" hidden="false" customHeight="true" outlineLevel="0" collapsed="false">
      <c r="B16" s="43" t="n">
        <f aca="false">SQRT(D16-(C16)^2)</f>
        <v>3.79967103839267</v>
      </c>
      <c r="C16" s="716" t="n">
        <f aca="false">C15+0.05</f>
        <v>-1.25</v>
      </c>
      <c r="D16" s="716" t="n">
        <v>16</v>
      </c>
      <c r="E16" s="43" t="n">
        <f aca="false">SQRT(G16-(F17)^2)</f>
        <v>3.84187454245971</v>
      </c>
      <c r="F16" s="716" t="n">
        <f aca="false">F15+0.05</f>
        <v>-1.25</v>
      </c>
      <c r="G16" s="716" t="n">
        <v>16.2</v>
      </c>
    </row>
    <row r="17" customFormat="false" ht="12" hidden="false" customHeight="true" outlineLevel="0" collapsed="false">
      <c r="B17" s="43" t="n">
        <f aca="false">SQRT(D17-(C17)^2)</f>
        <v>3.81575680566778</v>
      </c>
      <c r="C17" s="716" t="n">
        <f aca="false">C16+0.05</f>
        <v>-1.2</v>
      </c>
      <c r="D17" s="716" t="n">
        <v>16</v>
      </c>
      <c r="E17" s="43" t="n">
        <f aca="false">SQRT(G17-(F18)^2)</f>
        <v>3.85713624338057</v>
      </c>
      <c r="F17" s="716" t="n">
        <f aca="false">F16+0.05</f>
        <v>-1.2</v>
      </c>
      <c r="G17" s="716" t="n">
        <v>16.2</v>
      </c>
    </row>
    <row r="18" customFormat="false" ht="12" hidden="false" customHeight="true" outlineLevel="0" collapsed="false">
      <c r="B18" s="43" t="n">
        <f aca="false">SQRT(D18-(C18)^2)</f>
        <v>3.83112255089811</v>
      </c>
      <c r="C18" s="716" t="n">
        <f aca="false">C17+0.05</f>
        <v>-1.15</v>
      </c>
      <c r="D18" s="716" t="n">
        <v>16</v>
      </c>
      <c r="E18" s="43" t="n">
        <f aca="false">SQRT(G18-(F19)^2)</f>
        <v>3.87169213652119</v>
      </c>
      <c r="F18" s="716" t="n">
        <f aca="false">F17+0.05</f>
        <v>-1.15</v>
      </c>
      <c r="G18" s="716" t="n">
        <v>16.2</v>
      </c>
    </row>
    <row r="19" customFormat="false" ht="12" hidden="false" customHeight="true" outlineLevel="0" collapsed="false">
      <c r="B19" s="43" t="n">
        <f aca="false">SQRT(D19-(C19)^2)</f>
        <v>3.84577690460588</v>
      </c>
      <c r="C19" s="716" t="n">
        <f aca="false">C18+0.05</f>
        <v>-1.1</v>
      </c>
      <c r="D19" s="716" t="n">
        <v>16</v>
      </c>
      <c r="E19" s="43" t="n">
        <f aca="false">SQRT(G19-(F20)^2)</f>
        <v>3.88555015409659</v>
      </c>
      <c r="F19" s="716" t="n">
        <f aca="false">F18+0.05</f>
        <v>-1.1</v>
      </c>
      <c r="G19" s="716" t="n">
        <v>16.2</v>
      </c>
    </row>
    <row r="20" customFormat="false" ht="12" hidden="false" customHeight="true" outlineLevel="0" collapsed="false">
      <c r="B20" s="43" t="n">
        <f aca="false">SQRT(D20-(C20)^2)</f>
        <v>3.85972796968906</v>
      </c>
      <c r="C20" s="716" t="n">
        <f aca="false">C19+0.05</f>
        <v>-1.05</v>
      </c>
      <c r="D20" s="716" t="n">
        <v>16</v>
      </c>
      <c r="E20" s="43" t="n">
        <f aca="false">SQRT(G20-(F21)^2)</f>
        <v>3.89871773792359</v>
      </c>
      <c r="F20" s="716" t="n">
        <f aca="false">F19+0.05</f>
        <v>-1.05</v>
      </c>
      <c r="G20" s="716" t="n">
        <v>16.2</v>
      </c>
    </row>
    <row r="21" customFormat="false" ht="12" hidden="false" customHeight="true" outlineLevel="0" collapsed="false">
      <c r="B21" s="43" t="n">
        <f aca="false">SQRT(D21-(C21)^2)</f>
        <v>3.87298334620742</v>
      </c>
      <c r="C21" s="716" t="n">
        <f aca="false">C20+0.05</f>
        <v>-0.999999999999999</v>
      </c>
      <c r="D21" s="716" t="n">
        <v>16</v>
      </c>
      <c r="E21" s="43" t="n">
        <f aca="false">SQRT(G21-(F22)^2)</f>
        <v>3.91120186132089</v>
      </c>
      <c r="F21" s="716" t="n">
        <f aca="false">F20+0.05</f>
        <v>-0.999999999999999</v>
      </c>
      <c r="G21" s="716" t="n">
        <v>16.2</v>
      </c>
    </row>
    <row r="22" customFormat="false" ht="12" hidden="false" customHeight="true" outlineLevel="0" collapsed="false">
      <c r="B22" s="43" t="n">
        <f aca="false">SQRT(D22-(C22)^2)</f>
        <v>3.88555015409659</v>
      </c>
      <c r="C22" s="716" t="n">
        <f aca="false">C21+0.05</f>
        <v>-0.949999999999999</v>
      </c>
      <c r="D22" s="716" t="n">
        <v>16</v>
      </c>
      <c r="E22" s="43" t="n">
        <f aca="false">SQRT(G22-(F23)^2)</f>
        <v>3.92300904918661</v>
      </c>
      <c r="F22" s="716" t="n">
        <f aca="false">F21+0.05</f>
        <v>-0.949999999999999</v>
      </c>
      <c r="G22" s="716" t="n">
        <v>16.2</v>
      </c>
    </row>
    <row r="23" customFormat="false" ht="12" hidden="false" customHeight="true" outlineLevel="0" collapsed="false">
      <c r="B23" s="43" t="n">
        <f aca="false">SQRT(D23-(C23)^2)</f>
        <v>3.89743505398102</v>
      </c>
      <c r="C23" s="716" t="n">
        <f aca="false">C22+0.05</f>
        <v>-0.899999999999999</v>
      </c>
      <c r="D23" s="716" t="n">
        <v>16</v>
      </c>
      <c r="E23" s="43" t="n">
        <f aca="false">SQRT(G23-(F24)^2)</f>
        <v>3.93414539639805</v>
      </c>
      <c r="F23" s="716" t="n">
        <f aca="false">F22+0.05</f>
        <v>-0.899999999999999</v>
      </c>
      <c r="G23" s="716" t="n">
        <v>16.2</v>
      </c>
    </row>
    <row r="24" customFormat="false" ht="12" hidden="false" customHeight="true" outlineLevel="0" collapsed="false">
      <c r="B24" s="43" t="n">
        <f aca="false">SQRT(D24-(C24)^2)</f>
        <v>3.90864426623862</v>
      </c>
      <c r="C24" s="716" t="n">
        <f aca="false">C23+0.05</f>
        <v>-0.849999999999999</v>
      </c>
      <c r="D24" s="716" t="n">
        <v>16</v>
      </c>
      <c r="E24" s="43" t="n">
        <f aca="false">SQRT(G24-(F25)^2)</f>
        <v>3.9446165846632</v>
      </c>
      <c r="F24" s="716" t="n">
        <f aca="false">F23+0.05</f>
        <v>-0.849999999999999</v>
      </c>
      <c r="G24" s="716" t="n">
        <v>16.2</v>
      </c>
    </row>
    <row r="25" customFormat="false" ht="12" hidden="false" customHeight="true" outlineLevel="0" collapsed="false">
      <c r="B25" s="43" t="n">
        <f aca="false">SQRT(D25-(C25)^2)</f>
        <v>3.91918358845309</v>
      </c>
      <c r="C25" s="716" t="n">
        <f aca="false">C24+0.05</f>
        <v>-0.799999999999999</v>
      </c>
      <c r="D25" s="716" t="n">
        <v>16</v>
      </c>
      <c r="E25" s="43" t="n">
        <f aca="false">SQRT(G25-(F26)^2)</f>
        <v>3.95442789793922</v>
      </c>
      <c r="F25" s="716" t="n">
        <f aca="false">F24+0.05</f>
        <v>-0.799999999999999</v>
      </c>
      <c r="G25" s="716" t="n">
        <v>16.2</v>
      </c>
    </row>
    <row r="26" customFormat="false" ht="12" hidden="false" customHeight="true" outlineLevel="0" collapsed="false">
      <c r="B26" s="43" t="n">
        <f aca="false">SQRT(D26-(C26)^2)</f>
        <v>3.92905841137543</v>
      </c>
      <c r="C26" s="716" t="n">
        <f aca="false">C25+0.05</f>
        <v>-0.749999999999999</v>
      </c>
      <c r="D26" s="716" t="n">
        <v>16</v>
      </c>
      <c r="E26" s="43" t="n">
        <f aca="false">SQRT(G26-(F27)^2)</f>
        <v>3.96358423652128</v>
      </c>
      <c r="F26" s="716" t="n">
        <f aca="false">F25+0.05</f>
        <v>-0.749999999999999</v>
      </c>
      <c r="G26" s="716" t="n">
        <v>16.2</v>
      </c>
    </row>
    <row r="27" customFormat="false" ht="12" hidden="false" customHeight="true" outlineLevel="0" collapsed="false">
      <c r="B27" s="43" t="n">
        <f aca="false">SQRT(D27-(C27)^2)</f>
        <v>3.93827373350304</v>
      </c>
      <c r="C27" s="716" t="n">
        <f aca="false">C26+0.05</f>
        <v>-0.699999999999999</v>
      </c>
      <c r="D27" s="716" t="n">
        <v>16</v>
      </c>
      <c r="E27" s="43" t="n">
        <f aca="false">SQRT(G27-(F28)^2)</f>
        <v>3.97209012989383</v>
      </c>
      <c r="F27" s="716" t="n">
        <f aca="false">F26+0.05</f>
        <v>-0.699999999999999</v>
      </c>
      <c r="G27" s="716" t="n">
        <v>16.2</v>
      </c>
    </row>
    <row r="28" customFormat="false" ht="12" hidden="false" customHeight="true" outlineLevel="0" collapsed="false">
      <c r="B28" s="43" t="n">
        <f aca="false">SQRT(D28-(C28)^2)</f>
        <v>3.94683417437318</v>
      </c>
      <c r="C28" s="716" t="n">
        <f aca="false">C27+0.05</f>
        <v>-0.649999999999999</v>
      </c>
      <c r="D28" s="716" t="n">
        <v>16</v>
      </c>
      <c r="E28" s="840" t="n">
        <f aca="false">SQRT(G28-(F29)^2)</f>
        <v>3.97994974842648</v>
      </c>
      <c r="F28" s="716" t="n">
        <f aca="false">F27+0.05</f>
        <v>-0.649999999999999</v>
      </c>
      <c r="G28" s="716" t="n">
        <v>16.2</v>
      </c>
    </row>
    <row r="29" customFormat="false" ht="12" hidden="false" customHeight="true" outlineLevel="0" collapsed="false">
      <c r="B29" s="43" t="n">
        <f aca="false">SQRT(D29-(C29)^2)</f>
        <v>3.95474398665704</v>
      </c>
      <c r="C29" s="716" t="n">
        <f aca="false">C28+0.05</f>
        <v>-0.599999999999999</v>
      </c>
      <c r="D29" s="716" t="n">
        <v>16</v>
      </c>
      <c r="E29" s="43" t="n">
        <f aca="false">SQRT(G29-(F30)^2)</f>
        <v>3.98716691398793</v>
      </c>
      <c r="F29" s="716" t="n">
        <f aca="false">F28+0.05</f>
        <v>-0.599999999999999</v>
      </c>
      <c r="G29" s="716" t="n">
        <v>16.2</v>
      </c>
    </row>
    <row r="30" customFormat="false" ht="12" hidden="false" customHeight="true" outlineLevel="0" collapsed="false">
      <c r="B30" s="43" t="n">
        <f aca="false">SQRT(D30-(C30)^2)</f>
        <v>3.96200706713151</v>
      </c>
      <c r="C30" s="716" t="n">
        <f aca="false">C29+0.05</f>
        <v>-0.549999999999999</v>
      </c>
      <c r="D30" s="716" t="n">
        <v>16</v>
      </c>
      <c r="E30" s="43" t="n">
        <f aca="false">SQRT(G30-(F31)^2)</f>
        <v>3.99374510954317</v>
      </c>
      <c r="F30" s="716" t="n">
        <f aca="false">F29+0.05</f>
        <v>-0.549999999999999</v>
      </c>
      <c r="G30" s="716" t="n">
        <v>16.2</v>
      </c>
    </row>
    <row r="31" customFormat="false" ht="12" hidden="false" customHeight="true" outlineLevel="0" collapsed="false">
      <c r="B31" s="43" t="n">
        <f aca="false">SQRT(D31-(C31)^2)</f>
        <v>3.96862696659689</v>
      </c>
      <c r="C31" s="716" t="n">
        <f aca="false">C30+0.05</f>
        <v>-0.499999999999999</v>
      </c>
      <c r="D31" s="716" t="n">
        <v>16</v>
      </c>
      <c r="E31" s="43" t="n">
        <f aca="false">SQRT(G31-(F32)^2)</f>
        <v>3.99968748779202</v>
      </c>
      <c r="F31" s="716" t="n">
        <f aca="false">F30+0.05</f>
        <v>-0.499999999999999</v>
      </c>
      <c r="G31" s="716" t="n">
        <v>16.2</v>
      </c>
    </row>
    <row r="32" customFormat="false" ht="12" hidden="false" customHeight="true" outlineLevel="0" collapsed="false">
      <c r="B32" s="43" t="n">
        <f aca="false">SQRT(D32-(C32)^2)</f>
        <v>3.97460689880144</v>
      </c>
      <c r="C32" s="716" t="n">
        <f aca="false">C31+0.05</f>
        <v>-0.449999999999999</v>
      </c>
      <c r="D32" s="716" t="n">
        <v>16</v>
      </c>
      <c r="E32" s="43" t="n">
        <f aca="false">SQRT(G32-(F33)^2)</f>
        <v>4.00499687890016</v>
      </c>
      <c r="F32" s="716" t="n">
        <f aca="false">F31+0.05</f>
        <v>-0.449999999999999</v>
      </c>
      <c r="G32" s="716" t="n">
        <v>16.2</v>
      </c>
    </row>
    <row r="33" customFormat="false" ht="12" hidden="false" customHeight="true" outlineLevel="0" collapsed="false">
      <c r="B33" s="43" t="n">
        <f aca="false">SQRT(D33-(C33)^2)</f>
        <v>3.97994974842648</v>
      </c>
      <c r="C33" s="716" t="n">
        <f aca="false">C32+0.05</f>
        <v>-0.399999999999999</v>
      </c>
      <c r="D33" s="716" t="n">
        <v>16</v>
      </c>
      <c r="E33" s="43" t="n">
        <f aca="false">SQRT(G33-(F34)^2)</f>
        <v>4.00967579736816</v>
      </c>
      <c r="F33" s="716" t="n">
        <f aca="false">F32+0.05</f>
        <v>-0.399999999999999</v>
      </c>
      <c r="G33" s="716" t="n">
        <v>16.2</v>
      </c>
    </row>
    <row r="34" customFormat="false" ht="12" hidden="false" customHeight="true" outlineLevel="0" collapsed="false">
      <c r="B34" s="43" t="n">
        <f aca="false">SQRT(D34-(C34)^2)</f>
        <v>3.98465807817936</v>
      </c>
      <c r="C34" s="716" t="n">
        <f aca="false">C33+0.05</f>
        <v>-0.349999999999999</v>
      </c>
      <c r="D34" s="716" t="n">
        <v>16</v>
      </c>
      <c r="E34" s="43" t="n">
        <f aca="false">SQRT(G34-(F35)^2)</f>
        <v>4.0137264480779</v>
      </c>
      <c r="F34" s="716" t="n">
        <f aca="false">F33+0.05</f>
        <v>-0.349999999999999</v>
      </c>
      <c r="G34" s="716" t="n">
        <v>16.2</v>
      </c>
    </row>
    <row r="35" customFormat="false" ht="12" hidden="false" customHeight="true" outlineLevel="0" collapsed="false">
      <c r="B35" s="43" t="n">
        <f aca="false">SQRT(D35-(C35)^2)</f>
        <v>3.98873413503583</v>
      </c>
      <c r="C35" s="716" t="n">
        <f aca="false">C34+0.05</f>
        <v>-0.299999999999999</v>
      </c>
      <c r="D35" s="716" t="n">
        <v>16</v>
      </c>
      <c r="E35" s="43" t="n">
        <f aca="false">SQRT(G35-(F36)^2)</f>
        <v>4.01715073155091</v>
      </c>
      <c r="F35" s="716" t="n">
        <f aca="false">F34+0.05</f>
        <v>-0.299999999999999</v>
      </c>
      <c r="G35" s="716" t="n">
        <v>16.2</v>
      </c>
    </row>
    <row r="36" customFormat="false" ht="12" hidden="false" customHeight="true" outlineLevel="0" collapsed="false">
      <c r="B36" s="43" t="n">
        <f aca="false">SQRT(D36-(C36)^2)</f>
        <v>3.99217985566783</v>
      </c>
      <c r="C36" s="716" t="n">
        <f aca="false">C35+0.05</f>
        <v>-0.249999999999999</v>
      </c>
      <c r="D36" s="716" t="n">
        <v>16</v>
      </c>
      <c r="E36" s="43" t="n">
        <f aca="false">SQRT(G36-(F37)^2)</f>
        <v>4.01995024844836</v>
      </c>
      <c r="F36" s="716" t="n">
        <f aca="false">F35+0.05</f>
        <v>-0.249999999999999</v>
      </c>
      <c r="G36" s="716" t="n">
        <v>16.2</v>
      </c>
    </row>
    <row r="37" customFormat="false" ht="12" hidden="false" customHeight="true" outlineLevel="0" collapsed="false">
      <c r="B37" s="43" t="n">
        <f aca="false">SQRT(D37-(C37)^2)</f>
        <v>3.99499687108764</v>
      </c>
      <c r="C37" s="716" t="n">
        <f aca="false">C36+0.05</f>
        <v>-0.199999999999999</v>
      </c>
      <c r="D37" s="716" t="n">
        <v>16</v>
      </c>
      <c r="E37" s="43" t="n">
        <f aca="false">SQRT(G37-(F38)^2)</f>
        <v>4.02212630333758</v>
      </c>
      <c r="F37" s="716" t="n">
        <f aca="false">F36+0.05</f>
        <v>-0.199999999999999</v>
      </c>
      <c r="G37" s="716" t="n">
        <v>16.2</v>
      </c>
    </row>
    <row r="38" customFormat="false" ht="12" hidden="false" customHeight="true" outlineLevel="0" collapsed="false">
      <c r="B38" s="43" t="n">
        <f aca="false">SQRT(D38-(C38)^2)</f>
        <v>3.99718651053463</v>
      </c>
      <c r="C38" s="716" t="n">
        <f aca="false">C37+0.05</f>
        <v>-0.149999999999999</v>
      </c>
      <c r="D38" s="716" t="n">
        <v>16</v>
      </c>
      <c r="E38" s="43" t="n">
        <f aca="false">SQRT(G38-(F39)^2)</f>
        <v>4.02367990774614</v>
      </c>
      <c r="F38" s="716" t="n">
        <f aca="false">F37+0.05</f>
        <v>-0.149999999999999</v>
      </c>
      <c r="G38" s="716" t="n">
        <v>16.2</v>
      </c>
    </row>
    <row r="39" customFormat="false" ht="12" hidden="false" customHeight="true" outlineLevel="0" collapsed="false">
      <c r="B39" s="43" t="n">
        <f aca="false">SQRT(D39-(C39)^2)</f>
        <v>3.99874980462644</v>
      </c>
      <c r="C39" s="716" t="n">
        <f aca="false">C38+0.05</f>
        <v>-0.0999999999999988</v>
      </c>
      <c r="D39" s="716" t="n">
        <v>16</v>
      </c>
      <c r="E39" s="43" t="n">
        <f aca="false">SQRT(G39-(F40)^2)</f>
        <v>4.02461178252015</v>
      </c>
      <c r="F39" s="716" t="n">
        <f aca="false">F38+0.05</f>
        <v>-0.0999999999999988</v>
      </c>
      <c r="G39" s="716" t="n">
        <v>16.2</v>
      </c>
    </row>
    <row r="40" customFormat="false" ht="12" hidden="false" customHeight="true" outlineLevel="0" collapsed="false">
      <c r="B40" s="43" t="n">
        <f aca="false">SQRT(D40-(C40)^2)</f>
        <v>3.99968748779202</v>
      </c>
      <c r="C40" s="716" t="n">
        <f aca="false">C39+0.05</f>
        <v>-0.0499999999999988</v>
      </c>
      <c r="D40" s="716" t="n">
        <v>16</v>
      </c>
      <c r="E40" s="43" t="n">
        <f aca="false">SQRT(G40-(F41)^2)</f>
        <v>4.02492235949962</v>
      </c>
      <c r="F40" s="716" t="n">
        <f aca="false">F39+0.05</f>
        <v>-0.0499999999999988</v>
      </c>
      <c r="G40" s="716" t="n">
        <v>16.2</v>
      </c>
    </row>
    <row r="41" customFormat="false" ht="12" hidden="false" customHeight="true" outlineLevel="0" collapsed="false">
      <c r="B41" s="841" t="n">
        <v>4</v>
      </c>
      <c r="C41" s="842" t="n">
        <v>0</v>
      </c>
      <c r="D41" s="842" t="n">
        <v>16</v>
      </c>
      <c r="E41" s="112" t="n">
        <f aca="false">SQRT(G41-(F41)^2)</f>
        <v>4.02492235949962</v>
      </c>
      <c r="F41" s="112" t="n">
        <v>0</v>
      </c>
      <c r="G41" s="716" t="n">
        <v>16.2</v>
      </c>
      <c r="I41" s="38" t="s">
        <v>0</v>
      </c>
    </row>
    <row r="42" customFormat="false" ht="12" hidden="false" customHeight="true" outlineLevel="0" collapsed="false">
      <c r="B42" s="38" t="n">
        <f aca="false">SQRT(D42-(C42)^2)</f>
        <v>3.99968748779202</v>
      </c>
      <c r="C42" s="38" t="n">
        <v>0.05</v>
      </c>
      <c r="D42" s="38" t="n">
        <v>16</v>
      </c>
      <c r="E42" s="38" t="n">
        <f aca="false">SQRT(G42-(F42)^2)</f>
        <v>4.02461178252015</v>
      </c>
      <c r="F42" s="38" t="n">
        <v>0.05</v>
      </c>
      <c r="G42" s="716" t="n">
        <v>16.2</v>
      </c>
    </row>
    <row r="43" customFormat="false" ht="12" hidden="false" customHeight="true" outlineLevel="0" collapsed="false">
      <c r="B43" s="38" t="n">
        <f aca="false">SQRT(D43-(C43)^2)</f>
        <v>3.99874980462644</v>
      </c>
      <c r="C43" s="38" t="n">
        <f aca="false">C42+0.05</f>
        <v>0.1</v>
      </c>
      <c r="D43" s="38" t="n">
        <v>16</v>
      </c>
      <c r="E43" s="38" t="n">
        <f aca="false">SQRT(G43-(F43)^2)</f>
        <v>4.02367990774614</v>
      </c>
      <c r="F43" s="38" t="n">
        <f aca="false">F42+0.05</f>
        <v>0.1</v>
      </c>
      <c r="G43" s="716" t="n">
        <v>16.2</v>
      </c>
    </row>
    <row r="44" customFormat="false" ht="12" hidden="false" customHeight="true" outlineLevel="0" collapsed="false">
      <c r="B44" s="38" t="n">
        <f aca="false">SQRT(D44-(C44)^2)</f>
        <v>3.99718651053463</v>
      </c>
      <c r="C44" s="38" t="n">
        <f aca="false">C43+0.05</f>
        <v>0.15</v>
      </c>
      <c r="D44" s="38" t="n">
        <v>16</v>
      </c>
      <c r="E44" s="38" t="n">
        <f aca="false">SQRT(G44-(F44)^2)</f>
        <v>4.02212630333758</v>
      </c>
      <c r="F44" s="38" t="n">
        <f aca="false">F43+0.05</f>
        <v>0.15</v>
      </c>
      <c r="G44" s="716" t="n">
        <v>16.2</v>
      </c>
    </row>
    <row r="45" customFormat="false" ht="12" hidden="false" customHeight="true" outlineLevel="0" collapsed="false">
      <c r="B45" s="38" t="n">
        <f aca="false">SQRT(D45-(C45)^2)</f>
        <v>3.99499687108764</v>
      </c>
      <c r="C45" s="38" t="n">
        <f aca="false">C44+0.05</f>
        <v>0.2</v>
      </c>
      <c r="D45" s="38" t="n">
        <v>16</v>
      </c>
      <c r="E45" s="38" t="n">
        <f aca="false">SQRT(G45-(F45)^2)</f>
        <v>4.01995024844836</v>
      </c>
      <c r="F45" s="38" t="n">
        <f aca="false">F44+0.05</f>
        <v>0.2</v>
      </c>
      <c r="G45" s="716" t="n">
        <v>16.2</v>
      </c>
    </row>
    <row r="46" customFormat="false" ht="12" hidden="false" customHeight="true" outlineLevel="0" collapsed="false">
      <c r="B46" s="38" t="n">
        <f aca="false">SQRT(D46-(C46)^2)</f>
        <v>3.99217985566783</v>
      </c>
      <c r="C46" s="38" t="n">
        <f aca="false">C45+0.05</f>
        <v>0.25</v>
      </c>
      <c r="D46" s="38" t="n">
        <v>16</v>
      </c>
      <c r="E46" s="38" t="n">
        <f aca="false">SQRT(G46-(F46)^2)</f>
        <v>4.01715073155091</v>
      </c>
      <c r="F46" s="38" t="n">
        <f aca="false">F45+0.05</f>
        <v>0.25</v>
      </c>
      <c r="G46" s="716" t="n">
        <v>16.2</v>
      </c>
    </row>
    <row r="47" customFormat="false" ht="12" hidden="false" customHeight="true" outlineLevel="0" collapsed="false">
      <c r="B47" s="38" t="n">
        <f aca="false">SQRT(D47-(C47)^2)</f>
        <v>3.98873413503583</v>
      </c>
      <c r="C47" s="38" t="n">
        <f aca="false">C46+0.05</f>
        <v>0.3</v>
      </c>
      <c r="D47" s="38" t="n">
        <v>16</v>
      </c>
      <c r="E47" s="38" t="n">
        <f aca="false">SQRT(G47-(F47)^2)</f>
        <v>4.0137264480779</v>
      </c>
      <c r="F47" s="38" t="n">
        <f aca="false">F46+0.05</f>
        <v>0.3</v>
      </c>
      <c r="G47" s="716" t="n">
        <v>16.2</v>
      </c>
    </row>
    <row r="48" customFormat="false" ht="12" hidden="false" customHeight="true" outlineLevel="0" collapsed="false">
      <c r="B48" s="38" t="n">
        <f aca="false">SQRT(D48-(C48)^2)</f>
        <v>3.98465807817936</v>
      </c>
      <c r="C48" s="38" t="n">
        <f aca="false">C47+0.05</f>
        <v>0.35</v>
      </c>
      <c r="D48" s="38" t="n">
        <v>16</v>
      </c>
      <c r="E48" s="38" t="n">
        <f aca="false">SQRT(G48-(F48)^2)</f>
        <v>4.00967579736816</v>
      </c>
      <c r="F48" s="38" t="n">
        <f aca="false">F47+0.05</f>
        <v>0.35</v>
      </c>
      <c r="G48" s="716" t="n">
        <v>16.2</v>
      </c>
    </row>
    <row r="49" customFormat="false" ht="12" hidden="false" customHeight="true" outlineLevel="0" collapsed="false">
      <c r="B49" s="38" t="n">
        <f aca="false">SQRT(D49-(C49)^2)</f>
        <v>3.97994974842648</v>
      </c>
      <c r="C49" s="38" t="n">
        <f aca="false">C48+0.05</f>
        <v>0.4</v>
      </c>
      <c r="D49" s="38" t="n">
        <v>16</v>
      </c>
      <c r="E49" s="38" t="n">
        <f aca="false">SQRT(G49-(F49)^2)</f>
        <v>4.00499687890016</v>
      </c>
      <c r="F49" s="38" t="n">
        <f aca="false">F48+0.05</f>
        <v>0.4</v>
      </c>
      <c r="G49" s="716" t="n">
        <v>16.2</v>
      </c>
    </row>
    <row r="50" customFormat="false" ht="12" hidden="false" customHeight="true" outlineLevel="0" collapsed="false">
      <c r="B50" s="38" t="n">
        <f aca="false">SQRT(D50-(C50)^2)</f>
        <v>3.97460689880144</v>
      </c>
      <c r="C50" s="38" t="n">
        <f aca="false">C49+0.05</f>
        <v>0.45</v>
      </c>
      <c r="D50" s="38" t="n">
        <v>16</v>
      </c>
      <c r="E50" s="38" t="n">
        <f aca="false">SQRT(G50-(F50)^2)</f>
        <v>3.99968748779202</v>
      </c>
      <c r="F50" s="38" t="n">
        <f aca="false">F49+0.05</f>
        <v>0.45</v>
      </c>
      <c r="G50" s="716" t="n">
        <v>16.2</v>
      </c>
    </row>
    <row r="51" customFormat="false" ht="12" hidden="false" customHeight="true" outlineLevel="0" collapsed="false">
      <c r="B51" s="38" t="n">
        <f aca="false">SQRT(D51-(C51)^2)</f>
        <v>3.96862696659689</v>
      </c>
      <c r="C51" s="38" t="n">
        <f aca="false">C50+0.05</f>
        <v>0.5</v>
      </c>
      <c r="D51" s="38" t="n">
        <v>16</v>
      </c>
      <c r="E51" s="38" t="n">
        <f aca="false">SQRT(G51-(F51)^2)</f>
        <v>3.99374510954317</v>
      </c>
      <c r="F51" s="38" t="n">
        <f aca="false">F50+0.05</f>
        <v>0.5</v>
      </c>
      <c r="G51" s="716" t="n">
        <v>16.2</v>
      </c>
    </row>
    <row r="52" customFormat="false" ht="12" hidden="false" customHeight="true" outlineLevel="0" collapsed="false">
      <c r="B52" s="38" t="n">
        <f aca="false">SQRT(D52-(C52)^2)</f>
        <v>3.96200706713151</v>
      </c>
      <c r="C52" s="38" t="n">
        <f aca="false">C51+0.05</f>
        <v>0.55</v>
      </c>
      <c r="D52" s="38" t="n">
        <v>16</v>
      </c>
      <c r="E52" s="38" t="n">
        <f aca="false">SQRT(G52-(F52)^2)</f>
        <v>3.98716691398793</v>
      </c>
      <c r="F52" s="38" t="n">
        <f aca="false">F51+0.05</f>
        <v>0.55</v>
      </c>
      <c r="G52" s="716" t="n">
        <v>16.2</v>
      </c>
    </row>
    <row r="53" customFormat="false" ht="12" hidden="false" customHeight="true" outlineLevel="0" collapsed="false">
      <c r="B53" s="38" t="n">
        <f aca="false">SQRT(D53-(C53)^2)</f>
        <v>3.95474398665704</v>
      </c>
      <c r="C53" s="38" t="n">
        <f aca="false">C52+0.05</f>
        <v>0.6</v>
      </c>
      <c r="D53" s="38" t="n">
        <v>16</v>
      </c>
      <c r="E53" s="38" t="n">
        <f aca="false">SQRT(G53-(F53)^2)</f>
        <v>3.97994974842648</v>
      </c>
      <c r="F53" s="38" t="n">
        <f aca="false">F52+0.05</f>
        <v>0.6</v>
      </c>
      <c r="G53" s="716" t="n">
        <v>16.2</v>
      </c>
    </row>
    <row r="54" customFormat="false" ht="12" hidden="false" customHeight="true" outlineLevel="0" collapsed="false">
      <c r="B54" s="38" t="n">
        <f aca="false">SQRT(D54-(C54)^2)</f>
        <v>3.94683417437318</v>
      </c>
      <c r="C54" s="38" t="n">
        <f aca="false">C53+0.05</f>
        <v>0.65</v>
      </c>
      <c r="D54" s="38" t="n">
        <v>16</v>
      </c>
      <c r="E54" s="38" t="n">
        <f aca="false">SQRT(G54-(F54)^2)</f>
        <v>3.97209012989383</v>
      </c>
      <c r="F54" s="38" t="n">
        <f aca="false">F53+0.05</f>
        <v>0.65</v>
      </c>
      <c r="G54" s="716" t="n">
        <v>16.2</v>
      </c>
    </row>
    <row r="55" customFormat="false" ht="12" hidden="false" customHeight="true" outlineLevel="0" collapsed="false">
      <c r="B55" s="38" t="n">
        <f aca="false">SQRT(D55-(C55)^2)</f>
        <v>3.93827373350304</v>
      </c>
      <c r="C55" s="38" t="n">
        <f aca="false">C54+0.05</f>
        <v>0.7</v>
      </c>
      <c r="D55" s="38" t="n">
        <v>16</v>
      </c>
      <c r="E55" s="38" t="n">
        <f aca="false">SQRT(G55-(F55)^2)</f>
        <v>3.96358423652128</v>
      </c>
      <c r="F55" s="38" t="n">
        <f aca="false">F54+0.05</f>
        <v>0.7</v>
      </c>
      <c r="G55" s="716" t="n">
        <v>16.2</v>
      </c>
    </row>
    <row r="56" customFormat="false" ht="12" hidden="false" customHeight="true" outlineLevel="0" collapsed="false">
      <c r="B56" s="38" t="n">
        <f aca="false">SQRT(D56-(C56)^2)</f>
        <v>3.92905841137543</v>
      </c>
      <c r="C56" s="38" t="n">
        <f aca="false">C55+0.05</f>
        <v>0.75</v>
      </c>
      <c r="D56" s="38" t="n">
        <v>16</v>
      </c>
      <c r="E56" s="38" t="n">
        <f aca="false">SQRT(G56-(F56)^2)</f>
        <v>3.95442789793922</v>
      </c>
      <c r="F56" s="38" t="n">
        <f aca="false">F55+0.05</f>
        <v>0.75</v>
      </c>
      <c r="G56" s="716" t="n">
        <v>16.2</v>
      </c>
    </row>
    <row r="57" customFormat="false" ht="12" hidden="false" customHeight="true" outlineLevel="0" collapsed="false">
      <c r="B57" s="38" t="n">
        <f aca="false">SQRT(D57-(C57)^2)</f>
        <v>3.91918358845309</v>
      </c>
      <c r="C57" s="38" t="n">
        <f aca="false">C56+0.05</f>
        <v>0.8</v>
      </c>
      <c r="D57" s="38" t="n">
        <v>16</v>
      </c>
      <c r="E57" s="38" t="n">
        <f aca="false">SQRT(G57-(F57)^2)</f>
        <v>3.9446165846632</v>
      </c>
      <c r="F57" s="38" t="n">
        <f aca="false">F56+0.05</f>
        <v>0.8</v>
      </c>
      <c r="G57" s="716" t="n">
        <v>16.2</v>
      </c>
    </row>
    <row r="58" customFormat="false" ht="12" hidden="false" customHeight="true" outlineLevel="0" collapsed="false">
      <c r="B58" s="38" t="n">
        <f aca="false">SQRT(D58-(C58)^2)</f>
        <v>3.90864426623862</v>
      </c>
      <c r="C58" s="38" t="n">
        <f aca="false">C57+0.05</f>
        <v>0.85</v>
      </c>
      <c r="D58" s="38" t="n">
        <v>16</v>
      </c>
      <c r="E58" s="38" t="n">
        <f aca="false">SQRT(G58-(F58)^2)</f>
        <v>3.93414539639805</v>
      </c>
      <c r="F58" s="38" t="n">
        <f aca="false">F57+0.05</f>
        <v>0.85</v>
      </c>
      <c r="G58" s="716" t="n">
        <v>16.2</v>
      </c>
    </row>
    <row r="59" customFormat="false" ht="12" hidden="false" customHeight="true" outlineLevel="0" collapsed="false">
      <c r="B59" s="38" t="n">
        <f aca="false">SQRT(D59-(C59)^2)</f>
        <v>3.89743505398102</v>
      </c>
      <c r="C59" s="38" t="n">
        <f aca="false">C58+0.05</f>
        <v>0.9</v>
      </c>
      <c r="D59" s="38" t="n">
        <v>16</v>
      </c>
      <c r="E59" s="38" t="n">
        <f aca="false">SQRT(G59-(F59)^2)</f>
        <v>3.92300904918661</v>
      </c>
      <c r="F59" s="38" t="n">
        <f aca="false">F58+0.05</f>
        <v>0.9</v>
      </c>
      <c r="G59" s="716" t="n">
        <v>16.2</v>
      </c>
    </row>
    <row r="60" customFormat="false" ht="12" hidden="false" customHeight="true" outlineLevel="0" collapsed="false">
      <c r="B60" s="38" t="n">
        <f aca="false">SQRT(D60-(C60)^2)</f>
        <v>3.88555015409659</v>
      </c>
      <c r="C60" s="38" t="n">
        <f aca="false">C59+0.05</f>
        <v>0.95</v>
      </c>
      <c r="D60" s="38" t="n">
        <v>16</v>
      </c>
      <c r="E60" s="38" t="n">
        <f aca="false">SQRT(G60-(F60)^2)</f>
        <v>3.91120186132089</v>
      </c>
      <c r="F60" s="38" t="n">
        <f aca="false">F59+0.05</f>
        <v>0.95</v>
      </c>
      <c r="G60" s="716" t="n">
        <v>16.2</v>
      </c>
    </row>
    <row r="61" customFormat="false" ht="12" hidden="false" customHeight="true" outlineLevel="0" collapsed="false">
      <c r="B61" s="38" t="n">
        <f aca="false">SQRT(D61-(C61)^2)</f>
        <v>3.87298334620742</v>
      </c>
      <c r="C61" s="38" t="n">
        <f aca="false">C60+0.05</f>
        <v>1</v>
      </c>
      <c r="D61" s="38" t="n">
        <v>16</v>
      </c>
      <c r="E61" s="38" t="n">
        <f aca="false">SQRT(G61-(F61)^2)</f>
        <v>3.89871773792359</v>
      </c>
      <c r="F61" s="38" t="n">
        <f aca="false">F60+0.05</f>
        <v>1</v>
      </c>
      <c r="G61" s="716" t="n">
        <v>16.2</v>
      </c>
    </row>
    <row r="62" customFormat="false" ht="12" hidden="false" customHeight="true" outlineLevel="0" collapsed="false">
      <c r="B62" s="38" t="n">
        <f aca="false">SQRT(D62-(C62)^2)</f>
        <v>3.85972796968906</v>
      </c>
      <c r="C62" s="38" t="n">
        <f aca="false">C61+0.05</f>
        <v>1.05</v>
      </c>
      <c r="D62" s="38" t="n">
        <v>16</v>
      </c>
      <c r="E62" s="38" t="n">
        <f aca="false">SQRT(G62-(F62)^2)</f>
        <v>3.88555015409659</v>
      </c>
      <c r="F62" s="38" t="n">
        <f aca="false">F61+0.05</f>
        <v>1.05</v>
      </c>
      <c r="G62" s="716" t="n">
        <v>16.2</v>
      </c>
    </row>
    <row r="63" customFormat="false" ht="12" hidden="false" customHeight="true" outlineLevel="0" collapsed="false">
      <c r="B63" s="38" t="n">
        <f aca="false">SQRT(D63-(C63)^2)</f>
        <v>3.84577690460588</v>
      </c>
      <c r="C63" s="38" t="n">
        <f aca="false">C62+0.05</f>
        <v>1.1</v>
      </c>
      <c r="D63" s="38" t="n">
        <v>16</v>
      </c>
      <c r="E63" s="38" t="n">
        <f aca="false">SQRT(G63-(F63)^2)</f>
        <v>3.87169213652119</v>
      </c>
      <c r="F63" s="38" t="n">
        <f aca="false">F62+0.05</f>
        <v>1.1</v>
      </c>
      <c r="G63" s="716" t="n">
        <v>16.2</v>
      </c>
    </row>
    <row r="64" customFormat="false" ht="12" hidden="false" customHeight="true" outlineLevel="0" collapsed="false">
      <c r="B64" s="38" t="n">
        <f aca="false">SQRT(D64-(C64)^2)</f>
        <v>3.8311225508981</v>
      </c>
      <c r="C64" s="38" t="n">
        <f aca="false">C63+0.05</f>
        <v>1.15</v>
      </c>
      <c r="D64" s="38" t="n">
        <v>16</v>
      </c>
      <c r="E64" s="38" t="n">
        <f aca="false">SQRT(G64-(F64)^2)</f>
        <v>3.85713624338057</v>
      </c>
      <c r="F64" s="38" t="n">
        <f aca="false">F63+0.05</f>
        <v>1.15</v>
      </c>
      <c r="G64" s="716" t="n">
        <v>16.2</v>
      </c>
    </row>
    <row r="65" customFormat="false" ht="12" hidden="false" customHeight="true" outlineLevel="0" collapsed="false">
      <c r="B65" s="38" t="n">
        <f aca="false">SQRT(D65-(C65)^2)</f>
        <v>3.81575680566778</v>
      </c>
      <c r="C65" s="38" t="n">
        <f aca="false">C64+0.05</f>
        <v>1.2</v>
      </c>
      <c r="D65" s="38" t="n">
        <v>16</v>
      </c>
      <c r="E65" s="38" t="n">
        <f aca="false">SQRT(G65-(F65)^2)</f>
        <v>3.84187454245971</v>
      </c>
      <c r="F65" s="38" t="n">
        <f aca="false">F64+0.05</f>
        <v>1.2</v>
      </c>
      <c r="G65" s="716" t="n">
        <v>16.2</v>
      </c>
    </row>
    <row r="66" customFormat="false" ht="12" hidden="false" customHeight="true" outlineLevel="0" collapsed="false">
      <c r="B66" s="38" t="n">
        <f aca="false">SQRT(D66-(C66)^2)</f>
        <v>3.79967103839267</v>
      </c>
      <c r="C66" s="38" t="n">
        <f aca="false">C65+0.05</f>
        <v>1.25</v>
      </c>
      <c r="D66" s="38" t="n">
        <v>16</v>
      </c>
      <c r="E66" s="38" t="n">
        <f aca="false">SQRT(G66-(F66)^2)</f>
        <v>3.82589858726025</v>
      </c>
      <c r="F66" s="38" t="n">
        <f aca="false">F65+0.05</f>
        <v>1.25</v>
      </c>
      <c r="G66" s="716" t="n">
        <v>16.2</v>
      </c>
    </row>
    <row r="67" customFormat="false" ht="12" hidden="false" customHeight="true" outlineLevel="0" collapsed="false">
      <c r="B67" s="38" t="n">
        <f aca="false">SQRT(D67-(C67)^2)</f>
        <v>3.78285606387555</v>
      </c>
      <c r="C67" s="38" t="n">
        <f aca="false">C66+0.05</f>
        <v>1.3</v>
      </c>
      <c r="D67" s="38" t="n">
        <v>16</v>
      </c>
      <c r="E67" s="38" t="n">
        <f aca="false">SQRT(G67-(F67)^2)</f>
        <v>3.80919939094818</v>
      </c>
      <c r="F67" s="38" t="n">
        <f aca="false">F66+0.05</f>
        <v>1.3</v>
      </c>
      <c r="G67" s="716" t="n">
        <v>16.2</v>
      </c>
    </row>
    <row r="68" customFormat="false" ht="12" hidden="false" customHeight="true" outlineLevel="0" collapsed="false">
      <c r="B68" s="38" t="n">
        <f aca="false">SQRT(D68-(C68)^2)</f>
        <v>3.76530211271287</v>
      </c>
      <c r="C68" s="38" t="n">
        <f aca="false">C67+0.05</f>
        <v>1.35</v>
      </c>
      <c r="D68" s="38" t="n">
        <v>16</v>
      </c>
      <c r="E68" s="38" t="n">
        <f aca="false">SQRT(G68-(F68)^2)</f>
        <v>3.79176739792936</v>
      </c>
      <c r="F68" s="38" t="n">
        <f aca="false">F67+0.05</f>
        <v>1.35</v>
      </c>
      <c r="G68" s="716" t="n">
        <v>16.2</v>
      </c>
    </row>
    <row r="69" customFormat="false" ht="12" hidden="false" customHeight="true" outlineLevel="0" collapsed="false">
      <c r="B69" s="38" t="n">
        <f aca="false">SQRT(D69-(C69)^2)</f>
        <v>3.74699879903904</v>
      </c>
      <c r="C69" s="38" t="n">
        <f aca="false">C68+0.05</f>
        <v>1.4</v>
      </c>
      <c r="D69" s="38" t="n">
        <v>16</v>
      </c>
      <c r="E69" s="38" t="n">
        <f aca="false">SQRT(G69-(F69)^2)</f>
        <v>3.77359245282264</v>
      </c>
      <c r="F69" s="38" t="n">
        <f aca="false">F68+0.05</f>
        <v>1.4</v>
      </c>
      <c r="G69" s="716" t="n">
        <v>16.2</v>
      </c>
    </row>
    <row r="70" customFormat="false" ht="12" hidden="false" customHeight="true" outlineLevel="0" collapsed="false">
      <c r="B70" s="38" t="n">
        <f aca="false">SQRT(D70-(C70)^2)</f>
        <v>3.72793508527174</v>
      </c>
      <c r="C70" s="38" t="n">
        <f aca="false">C69+0.05</f>
        <v>1.45</v>
      </c>
      <c r="D70" s="38" t="n">
        <v>16</v>
      </c>
      <c r="E70" s="38" t="n">
        <f aca="false">SQRT(G70-(F70)^2)</f>
        <v>3.75466376657085</v>
      </c>
      <c r="F70" s="38" t="n">
        <f aca="false">F69+0.05</f>
        <v>1.45</v>
      </c>
      <c r="G70" s="716" t="n">
        <v>16.2</v>
      </c>
    </row>
    <row r="71" customFormat="false" ht="12" hidden="false" customHeight="true" outlineLevel="0" collapsed="false">
      <c r="B71" s="38" t="n">
        <f aca="false">SQRT(D71-(C71)^2)</f>
        <v>3.70809924354783</v>
      </c>
      <c r="C71" s="38" t="n">
        <f aca="false">C70+0.05</f>
        <v>1.5</v>
      </c>
      <c r="D71" s="38" t="n">
        <v>16</v>
      </c>
      <c r="E71" s="38" t="n">
        <f aca="false">SQRT(G71-(F71)^2)</f>
        <v>3.73496987939662</v>
      </c>
      <c r="F71" s="38" t="n">
        <f aca="false">F70+0.05</f>
        <v>1.5</v>
      </c>
      <c r="G71" s="716" t="n">
        <v>16.2</v>
      </c>
    </row>
    <row r="72" customFormat="false" ht="12" hidden="false" customHeight="true" outlineLevel="0" collapsed="false">
      <c r="B72" s="38" t="n">
        <f aca="false">SQRT(D72-(C72)^2)</f>
        <v>3.68747881349846</v>
      </c>
      <c r="C72" s="38" t="n">
        <f aca="false">C71+0.05</f>
        <v>1.55</v>
      </c>
      <c r="D72" s="38" t="n">
        <v>16</v>
      </c>
      <c r="E72" s="38" t="n">
        <f aca="false">SQRT(G72-(F72)^2)</f>
        <v>3.71449862027165</v>
      </c>
      <c r="F72" s="38" t="n">
        <f aca="false">F71+0.05</f>
        <v>1.55</v>
      </c>
      <c r="G72" s="716" t="n">
        <v>16.2</v>
      </c>
    </row>
    <row r="73" customFormat="false" ht="12" hidden="false" customHeight="true" outlineLevel="0" collapsed="false">
      <c r="B73" s="38" t="n">
        <f aca="false">SQRT(D73-(C73)^2)</f>
        <v>3.66606055596467</v>
      </c>
      <c r="C73" s="38" t="n">
        <f aca="false">C72+0.05</f>
        <v>1.6</v>
      </c>
      <c r="D73" s="38" t="n">
        <v>16</v>
      </c>
      <c r="E73" s="38" t="n">
        <f aca="false">SQRT(G73-(F73)^2)</f>
        <v>3.69323706252388</v>
      </c>
      <c r="F73" s="38" t="n">
        <f aca="false">F72+0.05</f>
        <v>1.6</v>
      </c>
      <c r="G73" s="716" t="n">
        <v>16.2</v>
      </c>
    </row>
    <row r="74" customFormat="false" ht="12" hidden="false" customHeight="true" outlineLevel="0" collapsed="false">
      <c r="B74" s="38" t="n">
        <f aca="false">SQRT(D74-(C74)^2)</f>
        <v>3.64383040220041</v>
      </c>
      <c r="C74" s="38" t="n">
        <f aca="false">C73+0.05</f>
        <v>1.65</v>
      </c>
      <c r="D74" s="38" t="n">
        <v>16</v>
      </c>
      <c r="E74" s="38" t="n">
        <f aca="false">SQRT(G74-(F74)^2)</f>
        <v>3.67117147515613</v>
      </c>
      <c r="F74" s="38" t="n">
        <f aca="false">F73+0.05</f>
        <v>1.65</v>
      </c>
      <c r="G74" s="716" t="n">
        <v>16.2</v>
      </c>
    </row>
    <row r="75" customFormat="false" ht="12" hidden="false" customHeight="true" outlineLevel="0" collapsed="false">
      <c r="B75" s="38" t="n">
        <f aca="false">SQRT(D75-(C75)^2)</f>
        <v>3.62077339804633</v>
      </c>
      <c r="C75" s="38" t="n">
        <f aca="false">C74+0.05</f>
        <v>1.7</v>
      </c>
      <c r="D75" s="38" t="n">
        <v>16</v>
      </c>
      <c r="E75" s="38" t="n">
        <f aca="false">SQRT(G75-(F75)^2)</f>
        <v>3.64828726939094</v>
      </c>
      <c r="F75" s="38" t="n">
        <f aca="false">F74+0.05</f>
        <v>1.7</v>
      </c>
      <c r="G75" s="716" t="n">
        <v>16.2</v>
      </c>
    </row>
    <row r="76" customFormat="false" ht="12" hidden="false" customHeight="true" outlineLevel="0" collapsed="false">
      <c r="B76" s="38" t="n">
        <f aca="false">SQRT(D76-(C76)^2)</f>
        <v>3.59687364248454</v>
      </c>
      <c r="C76" s="38" t="n">
        <f aca="false">C75+0.05</f>
        <v>1.75</v>
      </c>
      <c r="D76" s="38" t="n">
        <v>16</v>
      </c>
      <c r="E76" s="38" t="n">
        <f aca="false">SQRT(G76-(F76)^2)</f>
        <v>3.62456893988789</v>
      </c>
      <c r="F76" s="38" t="n">
        <f aca="false">F75+0.05</f>
        <v>1.75</v>
      </c>
      <c r="G76" s="716" t="n">
        <v>16.2</v>
      </c>
    </row>
    <row r="77" customFormat="false" ht="12" hidden="false" customHeight="true" outlineLevel="0" collapsed="false">
      <c r="B77" s="38" t="n">
        <f aca="false">SQRT(D77-(C77)^2)</f>
        <v>3.57211421989835</v>
      </c>
      <c r="C77" s="38" t="n">
        <f aca="false">C76+0.05</f>
        <v>1.8</v>
      </c>
      <c r="D77" s="38" t="n">
        <v>16</v>
      </c>
      <c r="E77" s="38" t="n">
        <f aca="false">SQRT(G77-(F77)^2)</f>
        <v>3.6</v>
      </c>
      <c r="F77" s="38" t="n">
        <f aca="false">F76+0.05</f>
        <v>1.8</v>
      </c>
      <c r="G77" s="716" t="n">
        <v>16.2</v>
      </c>
    </row>
    <row r="78" customFormat="false" ht="12" hidden="false" customHeight="true" outlineLevel="0" collapsed="false">
      <c r="B78" s="38" t="n">
        <f aca="false">SQRT(D78-(C78)^2)</f>
        <v>3.54647712526107</v>
      </c>
      <c r="C78" s="38" t="n">
        <f aca="false">C77+0.05</f>
        <v>1.85</v>
      </c>
      <c r="D78" s="38" t="n">
        <v>16</v>
      </c>
      <c r="E78" s="38" t="n">
        <f aca="false">SQRT(G78-(F78)^2)</f>
        <v>3.57456291034302</v>
      </c>
      <c r="F78" s="38" t="n">
        <f aca="false">F77+0.05</f>
        <v>1.85</v>
      </c>
      <c r="G78" s="716" t="n">
        <v>16.2</v>
      </c>
    </row>
    <row r="79" customFormat="false" ht="12" hidden="false" customHeight="true" outlineLevel="0" collapsed="false">
      <c r="B79" s="38" t="n">
        <f aca="false">SQRT(D79-(C79)^2)</f>
        <v>3.51994318135961</v>
      </c>
      <c r="C79" s="38" t="n">
        <f aca="false">C78+0.05</f>
        <v>1.9</v>
      </c>
      <c r="D79" s="38" t="n">
        <v>16</v>
      </c>
      <c r="E79" s="38" t="n">
        <f aca="false">SQRT(G79-(F79)^2)</f>
        <v>3.54823899984203</v>
      </c>
      <c r="F79" s="38" t="n">
        <f aca="false">F78+0.05</f>
        <v>1.9</v>
      </c>
      <c r="G79" s="716" t="n">
        <v>16.2</v>
      </c>
    </row>
    <row r="80" customFormat="false" ht="12" hidden="false" customHeight="true" outlineLevel="0" collapsed="false"/>
    <row r="81" customFormat="false" ht="12" hidden="false" customHeight="true" outlineLevel="0" collapsed="false">
      <c r="C81" s="38" t="s">
        <v>0</v>
      </c>
    </row>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961</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2003-03-25T04:05:57Z</dcterms:created>
  <dc:creator>jking</dc:creator>
  <dc:description/>
  <dc:language>en-US</dc:language>
  <cp:lastModifiedBy/>
  <dcterms:modified xsi:type="dcterms:W3CDTF">2025-06-09T21:57:10Z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