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F63" authorId="0">
      <text>
        <r>
          <rPr>
            <sz val="10"/>
            <rFont val="Arial"/>
            <family val="2"/>
          </rPr>
          <t xml:space="preserve">Assumed. Working on a getting a definite number from somewhere.</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J61" authorId="0">
      <text>
        <r>
          <rPr>
            <sz val="10"/>
            <rFont val="Arial"/>
            <family val="2"/>
          </rPr>
          <t xml:space="preserve">Since there is no external lna in the system, the lna here is inside the transceiver.</t>
        </r>
      </text>
    </comment>
    <comment ref="J132" authorId="0">
      <text>
        <r>
          <rPr>
            <sz val="10"/>
            <rFont val="Arial"/>
            <family val="2"/>
          </rPr>
          <t xml:space="preserve">Since there is no external lna in the system, the lna here is inside the transceiver.</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R59" authorId="0">
      <text>
        <r>
          <rPr>
            <sz val="10"/>
            <rFont val="Arial"/>
            <family val="2"/>
          </rPr>
          <t xml:space="preserve">I can’t find a definite source of the NF on a lora module. Everyone seems to just assume or cite 6 dB but I can’t confirm where this came from.</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D23" authorId="0">
      <text>
        <r>
          <rPr>
            <sz val="10"/>
            <rFont val="Arial"/>
            <family val="2"/>
          </rPr>
          <t xml:space="preserve">Making the assumption the Eb/No is similar regardless of bandwidth (</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3" authorId="0">
      <text>
        <r>
          <rPr>
            <sz val="10"/>
            <rFont val="Arial"/>
            <family val="2"/>
          </rPr>
          <t xml:space="preserve">From Simulation for BER vs SNR for LoRa.</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<sst xmlns="http://schemas.openxmlformats.org/spreadsheetml/2006/main" count="2705" uniqueCount="1079">
  <si>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</si>
  <si>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</si>
  <si>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</si>
  <si>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</si>
  <si>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</si>
  <si>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</si>
  <si>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</si>
  <si>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</si>
  <si>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</si>
  <si>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</si>
  <si>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</si>
  <si>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</si>
  <si>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</si>
  <si>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Dylan Larson</t>
  </si>
  <si>
    <t xml:space="preserve">Com. Eng.</t>
  </si>
  <si>
    <t xml:space="preserve">NOTE #2:</t>
  </si>
  <si>
    <t xml:space="preserve">Enter Name of Project Manager:</t>
  </si>
  <si>
    <t xml:space="preserve">Project Manager:</t>
  </si>
  <si>
    <t xml:space="preserve">Joe Dubois</t>
  </si>
  <si>
    <t xml:space="preserve">P.M.</t>
  </si>
  <si>
    <t xml:space="preserve">NOTE #3:</t>
  </si>
  <si>
    <t xml:space="preserve">Orbit Type:</t>
  </si>
  <si>
    <t xml:space="preserve">Low Earth Orbit Satellite</t>
  </si>
  <si>
    <t xml:space="preserve">NOTE #4:</t>
  </si>
  <si>
    <t xml:space="preserve">Model Under </t>
  </si>
  <si>
    <t xml:space="preserve">Educational Store and Forward Satellite</t>
  </si>
  <si>
    <t xml:space="preserve">Investigation:</t>
  </si>
  <si>
    <t xml:space="preserve">1U Cube Satellite</t>
  </si>
  <si>
    <t xml:space="preserve">NOTE #5:</t>
  </si>
  <si>
    <t xml:space="preserve">Model/Case No./Rev No.:</t>
  </si>
  <si>
    <t xml:space="preserve">User Model W/ PA+LNA /TBD/1.0.1</t>
  </si>
  <si>
    <t xml:space="preserve">Config. Control</t>
  </si>
  <si>
    <t xml:space="preserve">Date Data Last Modified:</t>
  </si>
  <si>
    <t xml:space="preserve">2025 June 08</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</si>
  <si>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</si>
  <si>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</si>
  <si>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</si>
  <si>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</si>
  <si>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</si>
  <si>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</si>
  <si>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</si>
  <si>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</si>
  <si>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</si>
  <si>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</si>
  <si>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</si>
  <si>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</si>
  <si>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</si>
  <si>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</si>
  <si>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</si>
  <si>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</si>
  <si>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</si>
  <si>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</si>
  <si>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</si>
  <si>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</si>
  <si>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</si>
  <si>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</si>
  <si>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</si>
  <si>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</si>
  <si>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</si>
  <si>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</si>
  <si>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</si>
  <si>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</si>
  <si>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</si>
  <si>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</si>
  <si>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</si>
  <si>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</si>
  <si>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</si>
  <si>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</si>
  <si>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</si>
  <si>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</si>
  <si>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</si>
  <si>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</si>
  <si>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</si>
  <si>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</si>
  <si>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</si>
  <si>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</si>
  <si>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</si>
  <si>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</si>
  <si>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</si>
  <si>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</si>
  <si>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</si>
  <si>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</si>
  <si>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</si>
  <si>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</si>
  <si>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</si>
  <si>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</si>
  <si>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</si>
  <si>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</si>
  <si>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</si>
  <si>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</si>
  <si>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</si>
  <si>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</si>
  <si>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</si>
  <si>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</si>
  <si>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</si>
  <si>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</si>
  <si>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</si>
  <si>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</si>
  <si>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</si>
  <si>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</si>
  <si>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</si>
  <si>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</si>
  <si>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</si>
  <si>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</si>
  <si>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</si>
  <si>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</si>
  <si>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</si>
  <si>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</si>
  <si>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</si>
  <si>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</si>
  <si>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</si>
  <si>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</si>
  <si>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</si>
  <si>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</si>
  <si>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</si>
  <si>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</si>
  <si>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</si>
  <si>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</si>
  <si>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</si>
  <si>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</si>
  <si>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</si>
  <si>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</si>
  <si>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</si>
  <si>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</si>
  <si>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</si>
  <si>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</si>
  <si>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</si>
  <si>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</si>
  <si>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</si>
  <si>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</si>
  <si>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</si>
  <si>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</si>
  <si>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</si>
  <si>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</si>
  <si>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</si>
  <si>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</si>
  <si>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</si>
  <si>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</si>
  <si>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</si>
  <si>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</si>
  <si>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</si>
  <si>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</si>
  <si>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</si>
  <si>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</si>
  <si>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</si>
  <si>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</si>
  <si>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</si>
  <si>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</si>
  <si>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</si>
  <si>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</si>
  <si>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</si>
  <si>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</si>
  <si>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</si>
  <si>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</si>
  <si>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</si>
  <si>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</si>
  <si>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</si>
  <si>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</si>
  <si>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</si>
  <si>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</si>
  <si>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</si>
  <si>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</si>
  <si>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</si>
  <si>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</si>
  <si>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</si>
  <si>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</si>
  <si>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</si>
  <si>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</si>
  <si>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</si>
  <si>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</si>
  <si>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</si>
  <si>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</si>
  <si>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</si>
  <si>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</si>
  <si>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</si>
  <si>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</si>
  <si>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</si>
  <si>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</si>
  <si>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</si>
  <si>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</si>
  <si>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</si>
  <si>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</si>
  <si>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</si>
  <si>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</si>
  <si>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</si>
  <si>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</si>
  <si>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</si>
  <si>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</si>
  <si>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</si>
  <si>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</si>
  <si>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</si>
  <si>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</si>
  <si>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</si>
  <si>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</si>
  <si>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</si>
  <si>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</si>
  <si>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</si>
  <si>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</si>
  <si>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</si>
  <si>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</si>
  <si>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</si>
  <si>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</si>
  <si>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</si>
  <si>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</si>
  <si>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</si>
  <si>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</si>
  <si>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</si>
  <si>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</si>
  <si>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</si>
  <si>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</si>
  <si>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</si>
  <si>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</si>
  <si>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</si>
  <si>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</si>
  <si>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</si>
  <si>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</si>
  <si>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</si>
  <si>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</si>
  <si>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</si>
  <si>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</si>
  <si>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</si>
  <si>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</si>
  <si>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</si>
  <si>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</si>
  <si>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</si>
  <si>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</si>
  <si>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</si>
  <si>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</si>
  <si>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</si>
  <si>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</si>
  <si>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</si>
  <si>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</si>
  <si>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</si>
  <si>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</si>
  <si>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</si>
  <si>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</si>
  <si>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</si>
  <si>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</si>
  <si>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</si>
  <si>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</si>
  <si>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</si>
  <si>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</si>
  <si>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</si>
  <si>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</si>
  <si>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</si>
  <si>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</si>
  <si>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</si>
  <si>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</si>
  <si>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</si>
  <si>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</si>
  <si>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</si>
  <si>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</si>
  <si>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</si>
  <si>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</si>
  <si>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</si>
  <si>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</si>
  <si>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</si>
  <si>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</si>
  <si>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</si>
  <si>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</si>
  <si>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</si>
  <si>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</si>
  <si>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</si>
  <si>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</si>
  <si>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</si>
  <si>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</si>
  <si>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</si>
  <si>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</si>
  <si>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</si>
  <si>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</si>
  <si>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</si>
  <si>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</si>
  <si>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</si>
  <si>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</si>
  <si>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</si>
  <si>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</si>
  <si>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</si>
  <si>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</si>
  <si>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</si>
  <si>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</si>
  <si>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</si>
  <si>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</si>
  <si>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</si>
  <si>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</si>
  <si>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</si>
  <si>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</si>
  <si>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</si>
  <si>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</si>
  <si>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</si>
  <si>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</si>
  <si>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</si>
  <si>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</si>
  <si>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</si>
  <si>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</si>
  <si>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</si>
  <si>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</si>
  <si>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</si>
  <si>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</si>
  <si>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</si>
  <si>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</si>
  <si>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</si>
  <si>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</si>
  <si>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</si>
  <si>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</si>
  <si>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</si>
  <si>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</si>
  <si>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</si>
  <si>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</si>
  <si>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</si>
  <si>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</si>
  <si>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</si>
  <si>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</si>
  <si>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</si>
  <si>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</si>
  <si>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</si>
  <si>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</si>
  <si>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</si>
  <si>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</si>
  <si>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</si>
  <si>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</si>
  <si>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</si>
  <si>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</si>
  <si>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</si>
  <si>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</si>
  <si>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</si>
  <si>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</si>
  <si>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</si>
  <si>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</si>
  <si>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</si>
  <si>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</si>
  <si>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</si>
  <si>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</si>
  <si>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</si>
  <si>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</si>
  <si>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</si>
  <si>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</si>
  <si>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</si>
  <si>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</si>
  <si>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</si>
  <si>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</si>
  <si>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RG-188/AU</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</si>
  <si>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</si>
  <si>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</si>
  <si>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</si>
  <si>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</si>
  <si>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</si>
  <si>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</si>
  <si>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</si>
  <si>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</si>
  <si>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</si>
  <si>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</si>
  <si>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</si>
  <si>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</si>
  <si>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</si>
  <si>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</si>
  <si>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</si>
  <si>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</si>
  <si>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</si>
  <si>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</si>
  <si>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</si>
  <si>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</si>
  <si>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</si>
  <si>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</si>
  <si>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</si>
  <si>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</si>
  <si>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</si>
  <si>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</si>
  <si>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</si>
  <si>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</si>
  <si>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</si>
  <si>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</si>
  <si>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</si>
  <si>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</si>
  <si>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</si>
  <si>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</si>
  <si>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</si>
  <si>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</si>
  <si>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</si>
  <si>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</si>
  <si>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</si>
  <si>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</si>
  <si>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</si>
  <si>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</si>
  <si>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</si>
  <si>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</si>
  <si>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</si>
  <si>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</si>
  <si>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</si>
  <si>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</si>
  <si>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</si>
  <si>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</si>
  <si>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</si>
  <si>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</si>
  <si>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</si>
  <si>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</si>
  <si>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</si>
  <si>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</si>
  <si>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</si>
  <si>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</si>
  <si>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</si>
  <si>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</si>
  <si>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</si>
  <si>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</si>
  <si>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</si>
  <si>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</si>
  <si>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</si>
  <si>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</si>
  <si>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</si>
  <si>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</si>
  <si>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</si>
  <si>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</si>
  <si>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</si>
  <si>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</si>
  <si>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</si>
  <si>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</si>
  <si>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</si>
  <si>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</si>
  <si>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</si>
  <si>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</si>
  <si>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</si>
  <si>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</si>
  <si>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</si>
  <si>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</si>
  <si>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</si>
  <si>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</si>
  <si>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</si>
  <si>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</si>
  <si>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</si>
  <si>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</si>
  <si>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</si>
  <si>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</si>
  <si>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</si>
  <si>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</si>
  <si>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</si>
  <si>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</si>
  <si>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</si>
  <si>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</si>
  <si>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</si>
  <si>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</si>
  <si>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</si>
  <si>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</si>
  <si>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</si>
  <si>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</si>
  <si>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</si>
  <si>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</si>
  <si>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</si>
  <si>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</si>
  <si>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</si>
  <si>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</si>
  <si>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</si>
  <si>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</si>
  <si>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</si>
  <si>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</si>
  <si>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</si>
  <si>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</si>
  <si>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</si>
  <si>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</si>
  <si>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</si>
  <si>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</si>
  <si>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</si>
  <si>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</si>
  <si>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</si>
  <si>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</si>
  <si>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</si>
  <si>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</si>
  <si>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</si>
  <si>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</si>
  <si>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Linear</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</si>
  <si>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</si>
  <si>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</si>
  <si>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</si>
  <si>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</si>
  <si>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</si>
  <si>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</si>
  <si>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</si>
  <si>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</si>
  <si>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</si>
  <si>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</si>
  <si>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</si>
  <si>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</si>
  <si>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</si>
  <si>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</si>
  <si>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</si>
  <si>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</si>
  <si>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</si>
  <si>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</si>
  <si>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</si>
  <si>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Whip</t>
  </si>
  <si>
    <t xml:space="preserve">Fairview UHF Whip Antenna</t>
  </si>
  <si>
    <t xml:space="preserve">     Spacecraft:</t>
  </si>
  <si>
    <t xml:space="preserve">Operator Selects Option 1 to 7 Here</t>
  </si>
  <si>
    <t xml:space="preserve">Circular Turnstyle</t>
  </si>
  <si>
    <t xml:space="preserve">RHCP</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</si>
  <si>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</si>
  <si>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</si>
  <si>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</si>
  <si>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</si>
  <si>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</si>
  <si>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</si>
  <si>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</si>
  <si>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</si>
  <si>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</si>
  <si>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</si>
  <si>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</si>
  <si>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</si>
  <si>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</si>
  <si>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</si>
  <si>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</si>
  <si>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</si>
  <si>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</si>
  <si>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</si>
  <si>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</si>
  <si>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</si>
  <si>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</si>
  <si>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</si>
  <si>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</si>
  <si>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</si>
  <si>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</si>
  <si>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</si>
  <si>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</si>
  <si>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</si>
  <si>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</si>
  <si>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</si>
  <si>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</si>
  <si>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</si>
  <si>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</si>
  <si>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</si>
  <si>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</si>
  <si>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</si>
  <si>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</si>
  <si>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</si>
  <si>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</si>
  <si>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</si>
  <si>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</si>
  <si>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</si>
  <si>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</si>
  <si>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</si>
  <si>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</si>
  <si>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</si>
  <si>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</si>
  <si>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</si>
  <si>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</si>
  <si>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</si>
  <si>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</si>
  <si>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</si>
  <si>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</si>
  <si>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t xml:space="preserve">User Defined </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</si>
  <si>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</si>
  <si>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</si>
  <si>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</si>
  <si>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</si>
  <si>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</si>
  <si>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</si>
  <si>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</si>
  <si>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</si>
  <si>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</si>
  <si>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</si>
  <si>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</si>
  <si>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</si>
  <si>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</si>
  <si>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</si>
  <si>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</si>
  <si>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</si>
  <si>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</si>
  <si>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</si>
  <si>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</si>
  <si>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</si>
  <si>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</si>
  <si>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</si>
  <si>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</si>
  <si>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</si>
  <si>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</si>
  <si>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</si>
  <si>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</si>
  <si>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</si>
  <si>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</si>
  <si>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</si>
  <si>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</si>
  <si>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</si>
  <si>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</si>
  <si>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</si>
  <si>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</si>
  <si>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</si>
  <si>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</si>
  <si>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</si>
  <si>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</si>
  <si>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</si>
  <si>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</si>
  <si>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</si>
  <si>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</si>
  <si>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</si>
  <si>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</si>
  <si>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</si>
  <si>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</si>
  <si>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</si>
  <si>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</si>
  <si>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</si>
  <si>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</si>
  <si>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</si>
  <si>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</si>
  <si>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</si>
  <si>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</si>
  <si>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</si>
  <si>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</si>
  <si>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</si>
  <si>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</si>
  <si>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</si>
  <si>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</si>
  <si>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</si>
  <si>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</si>
  <si>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</si>
  <si>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</si>
  <si>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</si>
  <si>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</si>
  <si>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</si>
  <si>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</si>
  <si>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</si>
  <si>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</si>
  <si>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</si>
  <si>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</si>
  <si>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</si>
  <si>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</si>
  <si>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</si>
  <si>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</si>
  <si>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</si>
  <si>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</si>
  <si>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</si>
  <si>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</si>
  <si>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</si>
  <si>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</si>
  <si>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</si>
  <si>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</si>
  <si>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</si>
  <si>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</si>
  <si>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</si>
  <si>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</si>
  <si>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</si>
  <si>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</si>
  <si>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</si>
  <si>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</si>
  <si>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</si>
  <si>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</si>
  <si>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</si>
  <si>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</si>
  <si>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</si>
  <si>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</si>
  <si>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</si>
  <si>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</si>
  <si>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</si>
  <si>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</si>
  <si>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</si>
  <si>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</si>
  <si>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</si>
  <si>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</si>
  <si>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</si>
  <si>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</si>
  <si>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</si>
  <si>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</si>
  <si>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</si>
  <si>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</si>
  <si>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</si>
  <si>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</si>
  <si>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</si>
  <si>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</si>
  <si>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</si>
  <si>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</si>
  <si>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</si>
  <si>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</si>
  <si>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</si>
  <si>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</si>
  <si>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</si>
  <si>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</si>
  <si>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</si>
  <si>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</si>
  <si>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</si>
  <si>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</si>
  <si>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</si>
  <si>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</si>
  <si>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</si>
  <si>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</si>
  <si>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</si>
  <si>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</si>
  <si>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</si>
  <si>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</si>
  <si>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</si>
  <si>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</si>
  <si>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</si>
  <si>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</si>
  <si>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</si>
  <si>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</si>
  <si>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</si>
  <si>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</si>
  <si>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</si>
  <si>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</si>
  <si>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</si>
  <si>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</si>
  <si>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</si>
  <si>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</si>
  <si>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</si>
  <si>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</si>
  <si>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</si>
  <si>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</si>
  <si>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</si>
  <si>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</si>
  <si>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</si>
  <si>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</si>
  <si>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</si>
  <si>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</si>
  <si>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</si>
  <si>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</si>
  <si>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</si>
  <si>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</si>
  <si>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</si>
  <si>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</si>
  <si>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</si>
  <si>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</si>
  <si>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Spread Spectrum (SF 12, 500 kHz, CR 4:5)</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</si>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</sst>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1">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b val="true"/>
      <sz val="8"/>
      <color rgb="FF000000"/>
      <name val="Arial"/>
      <family val="0"/>
    </font>
    <font>
      <sz val="10"/>
      <name val="Arial"/>
      <family val="0"/>
      <charset val="1"/>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4">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6"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7"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8" xfId="0" applyFont="true" applyBorder="true" applyAlignment="true" applyProtection="true">
      <alignment horizontal="right" vertical="bottom" textRotation="0" wrapText="false" indent="0" shrinkToFit="false"/>
      <protection locked="true" hidden="false"/>
    </xf>
    <xf numFmtId="167" fontId="8" fillId="6" borderId="38" xfId="0" applyFont="true" applyBorder="true" applyAlignment="true" applyProtection="true">
      <alignment horizontal="center" vertical="bottom" textRotation="0" wrapText="false" indent="0" shrinkToFit="false"/>
      <protection locked="true" hidden="false"/>
    </xf>
    <xf numFmtId="164" fontId="8" fillId="20" borderId="38" xfId="0" applyFont="true" applyBorder="true" applyAlignment="true" applyProtection="true">
      <alignment horizontal="general" vertical="bottom" textRotation="0" wrapText="false" indent="0" shrinkToFit="false"/>
      <protection locked="true" hidden="false"/>
    </xf>
    <xf numFmtId="167" fontId="8" fillId="6" borderId="38" xfId="0" applyFont="true" applyBorder="true" applyAlignment="true" applyProtection="true">
      <alignment horizontal="general" vertical="bottom" textRotation="0" wrapText="false" indent="0" shrinkToFit="false"/>
      <protection locked="true" hidden="false"/>
    </xf>
    <xf numFmtId="177" fontId="8" fillId="6" borderId="38"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4" fontId="8" fillId="11" borderId="40"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1" xfId="0" applyFont="true" applyBorder="true" applyAlignment="true" applyProtection="true">
      <alignment horizontal="general" vertical="bottom" textRotation="0" wrapText="false" indent="0" shrinkToFit="false"/>
      <protection locked="true" hidden="false"/>
    </xf>
    <xf numFmtId="164" fontId="8" fillId="20" borderId="40"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1"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2"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3"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58" fillId="20" borderId="44" xfId="0" applyFont="true" applyBorder="true" applyAlignment="true" applyProtection="tru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59"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5"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6" xfId="0" applyFont="true" applyBorder="true" applyAlignment="true" applyProtection="true">
      <alignment horizontal="center" vertical="bottom" textRotation="0" wrapText="false" indent="0" shrinkToFit="false"/>
      <protection locked="true" hidden="false"/>
    </xf>
    <xf numFmtId="164" fontId="8" fillId="20" borderId="47" xfId="0" applyFont="true" applyBorder="true" applyAlignment="true" applyProtection="true">
      <alignment horizontal="general" vertical="bottom" textRotation="0" wrapText="false" indent="0" shrinkToFit="false"/>
      <protection locked="true" hidden="false"/>
    </xf>
    <xf numFmtId="164" fontId="8" fillId="20" borderId="47" xfId="0" applyFont="true" applyBorder="true" applyAlignment="true" applyProtection="true">
      <alignment horizontal="right" vertical="bottom" textRotation="0" wrapText="false" indent="0" shrinkToFit="false"/>
      <protection locked="true" hidden="false"/>
    </xf>
    <xf numFmtId="167" fontId="8" fillId="20" borderId="48" xfId="0" applyFont="true" applyBorder="true" applyAlignment="true" applyProtection="true">
      <alignment horizontal="center" vertical="bottom" textRotation="0" wrapText="false" indent="0" shrinkToFit="false"/>
      <protection locked="true" hidden="false"/>
    </xf>
    <xf numFmtId="167" fontId="8" fillId="20" borderId="38"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49"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49"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1"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2"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60"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1"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6"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7"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70"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1" fillId="12" borderId="7" xfId="0" applyFont="true" applyBorder="true" applyAlignment="true" applyProtection="true">
      <alignment horizontal="center" vertical="bottom" textRotation="0" wrapText="false" indent="0" shrinkToFit="false"/>
      <protection locked="true" hidden="false"/>
    </xf>
    <xf numFmtId="167" fontId="19" fillId="6" borderId="52" xfId="0" applyFont="true" applyBorder="true" applyAlignment="true" applyProtection="true">
      <alignment horizontal="center" vertical="bottom" textRotation="0" wrapText="false" indent="0" shrinkToFit="false"/>
      <protection locked="true" hidden="false"/>
    </xf>
    <xf numFmtId="164" fontId="59" fillId="2" borderId="7" xfId="0" applyFont="true" applyBorder="true" applyAlignment="true" applyProtection="true">
      <alignment horizontal="center" vertical="bottom" textRotation="0" wrapText="false" indent="0" shrinkToFit="false"/>
      <protection locked="true" hidden="false"/>
    </xf>
    <xf numFmtId="164" fontId="59" fillId="5" borderId="7" xfId="0" applyFont="true" applyBorder="true" applyAlignment="true" applyProtection="true">
      <alignment horizontal="center" vertical="bottom" textRotation="0" wrapText="false" indent="0" shrinkToFit="false"/>
      <protection locked="true" hidden="false"/>
    </xf>
    <xf numFmtId="187" fontId="59" fillId="5" borderId="7" xfId="0" applyFont="true" applyBorder="true" applyAlignment="true" applyProtection="true">
      <alignment horizontal="center" vertical="bottom" textRotation="0" wrapText="false" indent="0" shrinkToFit="false"/>
      <protection locked="true" hidden="false"/>
    </xf>
    <xf numFmtId="167" fontId="59"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2" fillId="5" borderId="7" xfId="0" applyFont="true" applyBorder="true" applyAlignment="true" applyProtection="true">
      <alignment horizontal="center" vertical="bottom" textRotation="0" wrapText="false" indent="0" shrinkToFit="false"/>
      <protection locked="true" hidden="false"/>
    </xf>
    <xf numFmtId="167" fontId="72"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59" fillId="5" borderId="7" xfId="0" applyFont="true" applyBorder="true" applyAlignment="true" applyProtection="true">
      <alignment horizontal="center" vertical="bottom" textRotation="0" wrapText="false" indent="0" shrinkToFit="false"/>
      <protection locked="true" hidden="false"/>
    </xf>
    <xf numFmtId="187" fontId="72" fillId="5" borderId="7" xfId="0" applyFont="true" applyBorder="true" applyAlignment="true" applyProtection="true">
      <alignment horizontal="center" vertical="bottom" textRotation="0" wrapText="false" indent="0" shrinkToFit="false"/>
      <protection locked="true" hidden="false"/>
    </xf>
    <xf numFmtId="164" fontId="74"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6"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87"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59"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7"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8"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2" fillId="2" borderId="19" xfId="0" applyFont="true" applyBorder="true" applyAlignment="true" applyProtection="true">
      <alignment horizontal="general" vertical="bottom" textRotation="0" wrapText="false" indent="0" shrinkToFit="false"/>
      <protection locked="true" hidden="false"/>
    </xf>
    <xf numFmtId="164" fontId="82" fillId="2" borderId="20" xfId="0" applyFont="true" applyBorder="true" applyAlignment="true" applyProtection="true">
      <alignment horizontal="general" vertical="bottom" textRotation="0" wrapText="false" indent="0" shrinkToFit="false"/>
      <protection locked="true" hidden="false"/>
    </xf>
    <xf numFmtId="164" fontId="83" fillId="2" borderId="20" xfId="0" applyFont="true" applyBorder="true" applyAlignment="true" applyProtection="true">
      <alignment horizontal="general" vertical="bottom" textRotation="0" wrapText="false" indent="0" shrinkToFit="false"/>
      <protection locked="true" hidden="false"/>
    </xf>
    <xf numFmtId="164" fontId="82"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6"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1"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70"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4" fillId="22" borderId="0" xfId="0" applyFont="true" applyBorder="true" applyAlignment="true" applyProtection="true">
      <alignment horizontal="general" vertical="bottom" textRotation="0" wrapText="false" indent="0" shrinkToFit="false"/>
      <protection locked="true" hidden="false"/>
    </xf>
    <xf numFmtId="164" fontId="85"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6"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6" fillId="19" borderId="0" xfId="0" applyFont="true" applyBorder="true" applyAlignment="true" applyProtection="true">
      <alignment horizontal="general" vertical="bottom" textRotation="0" wrapText="false" indent="0" shrinkToFit="false"/>
      <protection locked="true" hidden="false"/>
    </xf>
    <xf numFmtId="164" fontId="87" fillId="22" borderId="0" xfId="0" applyFont="true" applyBorder="true" applyAlignment="true" applyProtection="true">
      <alignment horizontal="general" vertical="bottom" textRotation="0" wrapText="false" indent="0" shrinkToFit="false"/>
      <protection locked="true" hidden="false"/>
    </xf>
    <xf numFmtId="176" fontId="87"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4" fillId="5" borderId="0" xfId="0" applyFont="true" applyBorder="true" applyAlignment="true" applyProtection="true">
      <alignment horizontal="general" vertical="bottom" textRotation="0" wrapText="false" indent="0" shrinkToFit="false"/>
      <protection locked="true" hidden="false"/>
    </xf>
    <xf numFmtId="164" fontId="90"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7"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3"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49"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40261958"/>
        <c:axId val="42992453"/>
      </c:scatterChart>
      <c:valAx>
        <c:axId val="40261958"/>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42992453"/>
        <c:crosses val="autoZero"/>
        <c:crossBetween val="midCat"/>
      </c:valAx>
      <c:valAx>
        <c:axId val="42992453"/>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40261958"/>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69321143"/>
        <c:axId val="97837838"/>
      </c:radarChart>
      <c:catAx>
        <c:axId val="69321143"/>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97837838"/>
        <c:crosses val="autoZero"/>
        <c:auto val="1"/>
        <c:lblAlgn val="ctr"/>
        <c:lblOffset val="100"/>
        <c:noMultiLvlLbl val="0"/>
      </c:catAx>
      <c:valAx>
        <c:axId val="97837838"/>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9321143"/>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76820162"/>
        <c:axId val="2649953"/>
      </c:radarChart>
      <c:catAx>
        <c:axId val="76820162"/>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2649953"/>
        <c:crosses val="autoZero"/>
        <c:auto val="1"/>
        <c:lblAlgn val="ctr"/>
        <c:lblOffset val="100"/>
        <c:noMultiLvlLbl val="0"/>
      </c:catAx>
      <c:valAx>
        <c:axId val="2649953"/>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76820162"/>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15973778"/>
        <c:axId val="20432415"/>
      </c:radarChart>
      <c:catAx>
        <c:axId val="15973778"/>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20432415"/>
        <c:crosses val="autoZero"/>
        <c:auto val="1"/>
        <c:lblAlgn val="ctr"/>
        <c:lblOffset val="100"/>
        <c:noMultiLvlLbl val="0"/>
      </c:catAx>
      <c:valAx>
        <c:axId val="20432415"/>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15973778"/>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16365923"/>
        <c:axId val="83909159"/>
      </c:scatterChart>
      <c:valAx>
        <c:axId val="16365923"/>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83909159"/>
        <c:crosses val="autoZero"/>
        <c:crossBetween val="midCat"/>
      </c:valAx>
      <c:valAx>
        <c:axId val="83909159"/>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16365923"/>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59400</xdr:colOff>
      <xdr:row>4</xdr:row>
      <xdr:rowOff>69120</xdr:rowOff>
    </xdr:to>
    <xdr:grpSp>
      <xdr:nvGrpSpPr>
        <xdr:cNvPr id="0" name="Shape 2"/>
        <xdr:cNvGrpSpPr/>
      </xdr:nvGrpSpPr>
      <xdr:grpSpPr>
        <a:xfrm>
          <a:off x="9406080" y="1114200"/>
          <a:ext cx="259560" cy="2520"/>
          <a:chOff x="9406080" y="1114200"/>
          <a:chExt cx="259560" cy="2520"/>
        </a:xfrm>
      </xdr:grpSpPr>
      <xdr:cxnSp>
        <xdr:nvCxnSpPr>
          <xdr:cNvPr id="1" name="Shape 3"/>
          <xdr:cNvCxnSpPr/>
        </xdr:nvCxnSpPr>
        <xdr:spPr>
          <a:xfrm>
            <a:off x="9406080" y="1114200"/>
            <a:ext cx="259920" cy="288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69120</xdr:colOff>
      <xdr:row>5</xdr:row>
      <xdr:rowOff>97200</xdr:rowOff>
    </xdr:to>
    <xdr:grpSp>
      <xdr:nvGrpSpPr>
        <xdr:cNvPr id="2" name="Shape 2"/>
        <xdr:cNvGrpSpPr/>
      </xdr:nvGrpSpPr>
      <xdr:grpSpPr>
        <a:xfrm>
          <a:off x="9672840" y="1142640"/>
          <a:ext cx="2520" cy="154800"/>
          <a:chOff x="9672840" y="1142640"/>
          <a:chExt cx="2520" cy="154800"/>
        </a:xfrm>
      </xdr:grpSpPr>
      <xdr:cxnSp>
        <xdr:nvCxnSpPr>
          <xdr:cNvPr id="3" name="Shape 4"/>
          <xdr:cNvCxnSpPr/>
        </xdr:nvCxnSpPr>
        <xdr:spPr>
          <a:xfrm>
            <a:off x="9672840" y="1142640"/>
            <a:ext cx="2880" cy="15516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107280</xdr:colOff>
      <xdr:row>8</xdr:row>
      <xdr:rowOff>135720</xdr:rowOff>
    </xdr:to>
    <xdr:grpSp>
      <xdr:nvGrpSpPr>
        <xdr:cNvPr id="4" name="Shape 2"/>
        <xdr:cNvGrpSpPr/>
      </xdr:nvGrpSpPr>
      <xdr:grpSpPr>
        <a:xfrm>
          <a:off x="9711000" y="1618920"/>
          <a:ext cx="2520" cy="269280"/>
          <a:chOff x="9711000" y="1618920"/>
          <a:chExt cx="2520" cy="269280"/>
        </a:xfrm>
      </xdr:grpSpPr>
      <xdr:cxnSp>
        <xdr:nvCxnSpPr>
          <xdr:cNvPr id="5" name="Shape 5"/>
          <xdr:cNvCxnSpPr/>
        </xdr:nvCxnSpPr>
        <xdr:spPr>
          <a:xfrm>
            <a:off x="9711000" y="1618920"/>
            <a:ext cx="2880" cy="26964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107280</xdr:colOff>
      <xdr:row>18</xdr:row>
      <xdr:rowOff>69120</xdr:rowOff>
    </xdr:to>
    <xdr:grpSp>
      <xdr:nvGrpSpPr>
        <xdr:cNvPr id="6" name="Shape 2"/>
        <xdr:cNvGrpSpPr/>
      </xdr:nvGrpSpPr>
      <xdr:grpSpPr>
        <a:xfrm>
          <a:off x="9711000" y="2171520"/>
          <a:ext cx="2520" cy="1536120"/>
          <a:chOff x="9711000" y="2171520"/>
          <a:chExt cx="2520" cy="1536120"/>
        </a:xfrm>
      </xdr:grpSpPr>
      <xdr:cxnSp>
        <xdr:nvCxnSpPr>
          <xdr:cNvPr id="7" name="Shape 6"/>
          <xdr:cNvCxnSpPr/>
        </xdr:nvCxnSpPr>
        <xdr:spPr>
          <a:xfrm>
            <a:off x="9711000" y="2171520"/>
            <a:ext cx="2880" cy="153648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116640</xdr:colOff>
      <xdr:row>21</xdr:row>
      <xdr:rowOff>163800</xdr:rowOff>
    </xdr:to>
    <xdr:grpSp>
      <xdr:nvGrpSpPr>
        <xdr:cNvPr id="8" name="Shape 2"/>
        <xdr:cNvGrpSpPr/>
      </xdr:nvGrpSpPr>
      <xdr:grpSpPr>
        <a:xfrm>
          <a:off x="9720360" y="4086000"/>
          <a:ext cx="2520" cy="307080"/>
          <a:chOff x="9720360" y="4086000"/>
          <a:chExt cx="2520" cy="307080"/>
        </a:xfrm>
      </xdr:grpSpPr>
      <xdr:cxnSp>
        <xdr:nvCxnSpPr>
          <xdr:cNvPr id="9" name="Shape 7"/>
          <xdr:cNvCxnSpPr/>
        </xdr:nvCxnSpPr>
        <xdr:spPr>
          <a:xfrm>
            <a:off x="9720360" y="4086000"/>
            <a:ext cx="2880" cy="30744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424080</xdr:colOff>
      <xdr:row>19</xdr:row>
      <xdr:rowOff>97560</xdr:rowOff>
    </xdr:to>
    <xdr:grpSp>
      <xdr:nvGrpSpPr>
        <xdr:cNvPr id="10" name="Shape 2"/>
        <xdr:cNvGrpSpPr/>
      </xdr:nvGrpSpPr>
      <xdr:grpSpPr>
        <a:xfrm>
          <a:off x="8465760" y="3933720"/>
          <a:ext cx="974160" cy="2520"/>
          <a:chOff x="8465760" y="3933720"/>
          <a:chExt cx="974160" cy="2520"/>
        </a:xfrm>
      </xdr:grpSpPr>
      <xdr:cxnSp>
        <xdr:nvCxnSpPr>
          <xdr:cNvPr id="11" name="Shape 8"/>
          <xdr:cNvCxnSpPr/>
        </xdr:nvCxnSpPr>
        <xdr:spPr>
          <a:xfrm>
            <a:off x="8465760" y="3933720"/>
            <a:ext cx="974520" cy="288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18000</xdr:colOff>
      <xdr:row>24</xdr:row>
      <xdr:rowOff>140400</xdr:rowOff>
    </xdr:to>
    <xdr:sp>
      <xdr:nvSpPr>
        <xdr:cNvPr id="12" name="Shape 9"/>
        <xdr:cNvSpPr/>
      </xdr:nvSpPr>
      <xdr:spPr>
        <a:xfrm>
          <a:off x="9263520" y="4267440"/>
          <a:ext cx="2044800" cy="65448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411120</xdr:colOff>
      <xdr:row>36</xdr:row>
      <xdr:rowOff>149040</xdr:rowOff>
    </xdr:to>
    <xdr:graphicFrame>
      <xdr:nvGraphicFramePr>
        <xdr:cNvPr id="13" name="Chart 1"/>
        <xdr:cNvGraphicFramePr/>
      </xdr:nvGraphicFramePr>
      <xdr:xfrm>
        <a:off x="4256280" y="2381040"/>
        <a:ext cx="9302400" cy="3578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168480</xdr:colOff>
      <xdr:row>34</xdr:row>
      <xdr:rowOff>35280</xdr:rowOff>
    </xdr:to>
    <xdr:sp>
      <xdr:nvSpPr>
        <xdr:cNvPr id="14" name="Shape 10"/>
        <xdr:cNvSpPr/>
      </xdr:nvSpPr>
      <xdr:spPr>
        <a:xfrm>
          <a:off x="85680" y="5334120"/>
          <a:ext cx="82800" cy="18756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225720</xdr:colOff>
      <xdr:row>30</xdr:row>
      <xdr:rowOff>92160</xdr:rowOff>
    </xdr:to>
    <xdr:sp>
      <xdr:nvSpPr>
        <xdr:cNvPr id="15" name="Shape 11"/>
        <xdr:cNvSpPr/>
      </xdr:nvSpPr>
      <xdr:spPr>
        <a:xfrm>
          <a:off x="142920" y="4790880"/>
          <a:ext cx="82800" cy="17820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469080</xdr:colOff>
      <xdr:row>27</xdr:row>
      <xdr:rowOff>97200</xdr:rowOff>
    </xdr:to>
    <xdr:grpSp>
      <xdr:nvGrpSpPr>
        <xdr:cNvPr id="16" name="Shape 2"/>
        <xdr:cNvGrpSpPr/>
      </xdr:nvGrpSpPr>
      <xdr:grpSpPr>
        <a:xfrm>
          <a:off x="8804160" y="2943000"/>
          <a:ext cx="2520" cy="1573920"/>
          <a:chOff x="8804160" y="2943000"/>
          <a:chExt cx="2520" cy="1573920"/>
        </a:xfrm>
      </xdr:grpSpPr>
      <xdr:cxnSp>
        <xdr:nvCxnSpPr>
          <xdr:cNvPr id="17" name="Shape 12"/>
          <xdr:cNvCxnSpPr/>
        </xdr:nvCxnSpPr>
        <xdr:spPr>
          <a:xfrm>
            <a:off x="8804160" y="2943000"/>
            <a:ext cx="2880" cy="157428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469080</xdr:colOff>
      <xdr:row>35</xdr:row>
      <xdr:rowOff>97560</xdr:rowOff>
    </xdr:to>
    <xdr:grpSp>
      <xdr:nvGrpSpPr>
        <xdr:cNvPr id="18" name="Shape 2"/>
        <xdr:cNvGrpSpPr/>
      </xdr:nvGrpSpPr>
      <xdr:grpSpPr>
        <a:xfrm>
          <a:off x="8804160" y="2590920"/>
          <a:ext cx="2520" cy="3155040"/>
          <a:chOff x="8804160" y="2590920"/>
          <a:chExt cx="2520" cy="3155040"/>
        </a:xfrm>
      </xdr:grpSpPr>
      <xdr:cxnSp>
        <xdr:nvCxnSpPr>
          <xdr:cNvPr id="19" name="Shape 13"/>
          <xdr:cNvCxnSpPr/>
        </xdr:nvCxnSpPr>
        <xdr:spPr>
          <a:xfrm>
            <a:off x="8804160" y="2590920"/>
            <a:ext cx="2880" cy="315540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226440</xdr:colOff>
      <xdr:row>32</xdr:row>
      <xdr:rowOff>21600</xdr:rowOff>
    </xdr:to>
    <xdr:grpSp>
      <xdr:nvGrpSpPr>
        <xdr:cNvPr id="20" name="Shape 2"/>
        <xdr:cNvGrpSpPr/>
      </xdr:nvGrpSpPr>
      <xdr:grpSpPr>
        <a:xfrm>
          <a:off x="4456440" y="2809800"/>
          <a:ext cx="4107600" cy="2393280"/>
          <a:chOff x="4456440" y="2809800"/>
          <a:chExt cx="4107600" cy="2393280"/>
        </a:xfrm>
      </xdr:grpSpPr>
      <xdr:cxnSp>
        <xdr:nvCxnSpPr>
          <xdr:cNvPr id="21" name="Shape 14"/>
          <xdr:cNvCxnSpPr/>
        </xdr:nvCxnSpPr>
        <xdr:spPr>
          <a:xfrm flipV="1">
            <a:off x="4456440" y="2809800"/>
            <a:ext cx="4107960" cy="239364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740880</xdr:colOff>
      <xdr:row>32</xdr:row>
      <xdr:rowOff>11880</xdr:rowOff>
    </xdr:to>
    <xdr:grpSp>
      <xdr:nvGrpSpPr>
        <xdr:cNvPr id="22" name="Shape 2"/>
        <xdr:cNvGrpSpPr/>
      </xdr:nvGrpSpPr>
      <xdr:grpSpPr>
        <a:xfrm>
          <a:off x="4456440" y="4314600"/>
          <a:ext cx="2602800" cy="878760"/>
          <a:chOff x="4456440" y="4314600"/>
          <a:chExt cx="2602800" cy="878760"/>
        </a:xfrm>
      </xdr:grpSpPr>
      <xdr:cxnSp>
        <xdr:nvCxnSpPr>
          <xdr:cNvPr id="23" name="Shape 15"/>
          <xdr:cNvCxnSpPr/>
        </xdr:nvCxnSpPr>
        <xdr:spPr>
          <a:xfrm flipV="1">
            <a:off x="4456440" y="4314600"/>
            <a:ext cx="2603160" cy="87912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452520</xdr:colOff>
      <xdr:row>16</xdr:row>
      <xdr:rowOff>30960</xdr:rowOff>
    </xdr:to>
    <xdr:grpSp>
      <xdr:nvGrpSpPr>
        <xdr:cNvPr id="24" name="Shape 2"/>
        <xdr:cNvGrpSpPr/>
      </xdr:nvGrpSpPr>
      <xdr:grpSpPr>
        <a:xfrm>
          <a:off x="8054280" y="2771640"/>
          <a:ext cx="735840" cy="2520"/>
          <a:chOff x="8054280" y="2771640"/>
          <a:chExt cx="735840" cy="2520"/>
        </a:xfrm>
      </xdr:grpSpPr>
      <xdr:cxnSp>
        <xdr:nvCxnSpPr>
          <xdr:cNvPr id="25" name="Shape 16"/>
          <xdr:cNvCxnSpPr/>
        </xdr:nvCxnSpPr>
        <xdr:spPr>
          <a:xfrm flipH="1">
            <a:off x="8054280" y="2771640"/>
            <a:ext cx="736200" cy="288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478440</xdr:colOff>
      <xdr:row>36</xdr:row>
      <xdr:rowOff>59400</xdr:rowOff>
    </xdr:to>
    <xdr:grpSp>
      <xdr:nvGrpSpPr>
        <xdr:cNvPr id="26" name="Shape 2"/>
        <xdr:cNvGrpSpPr/>
      </xdr:nvGrpSpPr>
      <xdr:grpSpPr>
        <a:xfrm>
          <a:off x="4456440" y="5229000"/>
          <a:ext cx="268920" cy="640800"/>
          <a:chOff x="4456440" y="5229000"/>
          <a:chExt cx="268920" cy="640800"/>
        </a:xfrm>
      </xdr:grpSpPr>
      <xdr:cxnSp>
        <xdr:nvCxnSpPr>
          <xdr:cNvPr id="27" name="Shape 17"/>
          <xdr:cNvCxnSpPr/>
        </xdr:nvCxnSpPr>
        <xdr:spPr>
          <a:xfrm>
            <a:off x="4456440" y="5229000"/>
            <a:ext cx="269280" cy="641160"/>
          </a:xfrm>
          <a:prstGeom prst="straightConnector1">
            <a:avLst/>
          </a:prstGeom>
          <a:ln w="19050">
            <a:solidFill>
              <a:srgbClr val="000000"/>
            </a:solidFill>
            <a:miter/>
            <a:tailEnd len="med" type="triangle" w="med"/>
          </a:ln>
        </xdr:spPr>
      </xdr:cxnSp>
    </xdr:grpSp>
    <xdr:clientData/>
  </xdr:twoCellAnchor>
  <xdr:twoCellAnchor editAs="oneCell">
    <xdr:from>
      <xdr:col>3</xdr:col>
      <xdr:colOff>199440</xdr:colOff>
      <xdr:row>31</xdr:row>
      <xdr:rowOff>66600</xdr:rowOff>
    </xdr:from>
    <xdr:to>
      <xdr:col>3</xdr:col>
      <xdr:colOff>482400</xdr:colOff>
      <xdr:row>33</xdr:row>
      <xdr:rowOff>44640</xdr:rowOff>
    </xdr:to>
    <xdr:sp>
      <xdr:nvSpPr>
        <xdr:cNvPr id="28" name="Shape 18"/>
        <xdr:cNvSpPr/>
      </xdr:nvSpPr>
      <xdr:spPr>
        <a:xfrm rot="20520000">
          <a:off x="4446360" y="5095800"/>
          <a:ext cx="282960" cy="28296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254160</xdr:colOff>
      <xdr:row>32</xdr:row>
      <xdr:rowOff>45000</xdr:rowOff>
    </xdr:to>
    <xdr:sp>
      <xdr:nvSpPr>
        <xdr:cNvPr id="29" name="Shape 19"/>
        <xdr:cNvSpPr/>
      </xdr:nvSpPr>
      <xdr:spPr>
        <a:xfrm>
          <a:off x="4418280" y="5153040"/>
          <a:ext cx="82800" cy="7344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530640</xdr:colOff>
      <xdr:row>16</xdr:row>
      <xdr:rowOff>82800</xdr:rowOff>
    </xdr:to>
    <xdr:sp>
      <xdr:nvSpPr>
        <xdr:cNvPr id="30" name="Shape 20"/>
        <xdr:cNvSpPr/>
      </xdr:nvSpPr>
      <xdr:spPr>
        <a:xfrm>
          <a:off x="8785440" y="2743200"/>
          <a:ext cx="82800" cy="8280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23400</xdr:colOff>
      <xdr:row>35</xdr:row>
      <xdr:rowOff>73440</xdr:rowOff>
    </xdr:to>
    <xdr:sp>
      <xdr:nvSpPr>
        <xdr:cNvPr id="31" name="Shape 21"/>
        <xdr:cNvSpPr/>
      </xdr:nvSpPr>
      <xdr:spPr>
        <a:xfrm>
          <a:off x="6149520" y="5543640"/>
          <a:ext cx="9590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328680</xdr:colOff>
      <xdr:row>35</xdr:row>
      <xdr:rowOff>145080</xdr:rowOff>
    </xdr:to>
    <xdr:grpSp>
      <xdr:nvGrpSpPr>
        <xdr:cNvPr id="32" name="Shape 2"/>
        <xdr:cNvGrpSpPr/>
      </xdr:nvGrpSpPr>
      <xdr:grpSpPr>
        <a:xfrm>
          <a:off x="4770720" y="5648400"/>
          <a:ext cx="1250280" cy="145080"/>
          <a:chOff x="4770720" y="5648400"/>
          <a:chExt cx="1250280" cy="145080"/>
        </a:xfrm>
      </xdr:grpSpPr>
      <xdr:cxnSp>
        <xdr:nvCxnSpPr>
          <xdr:cNvPr id="33" name="Shape 22"/>
          <xdr:cNvCxnSpPr/>
        </xdr:nvCxnSpPr>
        <xdr:spPr>
          <a:xfrm flipH="1">
            <a:off x="4770720" y="5648400"/>
            <a:ext cx="1250640" cy="14544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235800</xdr:colOff>
      <xdr:row>35</xdr:row>
      <xdr:rowOff>59400</xdr:rowOff>
    </xdr:to>
    <xdr:grpSp>
      <xdr:nvGrpSpPr>
        <xdr:cNvPr id="34" name="Shape 2"/>
        <xdr:cNvGrpSpPr/>
      </xdr:nvGrpSpPr>
      <xdr:grpSpPr>
        <a:xfrm>
          <a:off x="7389720" y="5648400"/>
          <a:ext cx="1183680" cy="59400"/>
          <a:chOff x="7389720" y="5648400"/>
          <a:chExt cx="1183680" cy="59400"/>
        </a:xfrm>
      </xdr:grpSpPr>
      <xdr:cxnSp>
        <xdr:nvCxnSpPr>
          <xdr:cNvPr id="35" name="Shape 23"/>
          <xdr:cNvCxnSpPr/>
        </xdr:nvCxnSpPr>
        <xdr:spPr>
          <a:xfrm>
            <a:off x="7389720" y="5648400"/>
            <a:ext cx="1184040" cy="5976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578160</xdr:colOff>
      <xdr:row>16</xdr:row>
      <xdr:rowOff>92520</xdr:rowOff>
    </xdr:to>
    <xdr:sp>
      <xdr:nvSpPr>
        <xdr:cNvPr id="36" name="Shape 24"/>
        <xdr:cNvSpPr/>
      </xdr:nvSpPr>
      <xdr:spPr>
        <a:xfrm>
          <a:off x="9043560" y="2657520"/>
          <a:ext cx="5590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497520</xdr:colOff>
      <xdr:row>151</xdr:row>
      <xdr:rowOff>50040</xdr:rowOff>
    </xdr:to>
    <xdr:grpSp>
      <xdr:nvGrpSpPr>
        <xdr:cNvPr id="37" name="Shape 2"/>
        <xdr:cNvGrpSpPr/>
      </xdr:nvGrpSpPr>
      <xdr:grpSpPr>
        <a:xfrm>
          <a:off x="7389720" y="23535720"/>
          <a:ext cx="192960" cy="460080"/>
          <a:chOff x="7389720" y="23535720"/>
          <a:chExt cx="192960" cy="460080"/>
        </a:xfrm>
      </xdr:grpSpPr>
      <xdr:cxnSp>
        <xdr:nvCxnSpPr>
          <xdr:cNvPr id="38" name="Shape 25"/>
          <xdr:cNvCxnSpPr/>
        </xdr:nvCxnSpPr>
        <xdr:spPr>
          <a:xfrm flipV="1">
            <a:off x="7389720" y="23535720"/>
            <a:ext cx="193320" cy="46044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618480</xdr:colOff>
      <xdr:row>16</xdr:row>
      <xdr:rowOff>25920</xdr:rowOff>
    </xdr:to>
    <xdr:sp>
      <xdr:nvSpPr>
        <xdr:cNvPr id="39" name="Shape 26"/>
        <xdr:cNvSpPr/>
      </xdr:nvSpPr>
      <xdr:spPr>
        <a:xfrm>
          <a:off x="7637760" y="2590920"/>
          <a:ext cx="6922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9720</xdr:colOff>
      <xdr:row>31</xdr:row>
      <xdr:rowOff>6480</xdr:rowOff>
    </xdr:to>
    <xdr:sp>
      <xdr:nvSpPr>
        <xdr:cNvPr id="40" name="Shape 27"/>
        <xdr:cNvSpPr/>
      </xdr:nvSpPr>
      <xdr:spPr>
        <a:xfrm>
          <a:off x="8823240" y="4848120"/>
          <a:ext cx="96876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657360</xdr:colOff>
      <xdr:row>22</xdr:row>
      <xdr:rowOff>54360</xdr:rowOff>
    </xdr:to>
    <xdr:sp>
      <xdr:nvSpPr>
        <xdr:cNvPr id="41" name="Shape 28"/>
        <xdr:cNvSpPr/>
      </xdr:nvSpPr>
      <xdr:spPr>
        <a:xfrm>
          <a:off x="8861400" y="3533760"/>
          <a:ext cx="15782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418320</xdr:colOff>
      <xdr:row>25</xdr:row>
      <xdr:rowOff>92520</xdr:rowOff>
    </xdr:to>
    <xdr:sp>
      <xdr:nvSpPr>
        <xdr:cNvPr id="42" name="Shape 29"/>
        <xdr:cNvSpPr/>
      </xdr:nvSpPr>
      <xdr:spPr>
        <a:xfrm>
          <a:off x="7151760" y="4029120"/>
          <a:ext cx="9781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363960</xdr:colOff>
      <xdr:row>24</xdr:row>
      <xdr:rowOff>75960</xdr:rowOff>
    </xdr:from>
    <xdr:to>
      <xdr:col>6</xdr:col>
      <xdr:colOff>561240</xdr:colOff>
      <xdr:row>27</xdr:row>
      <xdr:rowOff>6480</xdr:rowOff>
    </xdr:to>
    <xdr:sp>
      <xdr:nvSpPr>
        <xdr:cNvPr id="43" name="Shape 30"/>
        <xdr:cNvSpPr/>
      </xdr:nvSpPr>
      <xdr:spPr>
        <a:xfrm rot="4560000">
          <a:off x="6586920" y="4133160"/>
          <a:ext cx="387720" cy="19728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442440</xdr:colOff>
      <xdr:row>32</xdr:row>
      <xdr:rowOff>149760</xdr:rowOff>
    </xdr:to>
    <xdr:sp>
      <xdr:nvSpPr>
        <xdr:cNvPr id="44" name="Shape 31"/>
        <xdr:cNvSpPr/>
      </xdr:nvSpPr>
      <xdr:spPr>
        <a:xfrm>
          <a:off x="4675680" y="4962600"/>
          <a:ext cx="806760" cy="36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504720</xdr:colOff>
      <xdr:row>23</xdr:row>
      <xdr:rowOff>6840</xdr:rowOff>
    </xdr:to>
    <xdr:sp>
      <xdr:nvSpPr>
        <xdr:cNvPr id="45" name="Shape 32"/>
        <xdr:cNvSpPr/>
      </xdr:nvSpPr>
      <xdr:spPr>
        <a:xfrm>
          <a:off x="5978160" y="3629160"/>
          <a:ext cx="8449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492480</xdr:colOff>
      <xdr:row>27</xdr:row>
      <xdr:rowOff>25560</xdr:rowOff>
    </xdr:to>
    <xdr:sp>
      <xdr:nvSpPr>
        <xdr:cNvPr id="46" name="Shape 33"/>
        <xdr:cNvSpPr/>
      </xdr:nvSpPr>
      <xdr:spPr>
        <a:xfrm>
          <a:off x="9043560" y="4267080"/>
          <a:ext cx="4734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349200</xdr:colOff>
      <xdr:row>33</xdr:row>
      <xdr:rowOff>130320</xdr:rowOff>
    </xdr:to>
    <xdr:sp>
      <xdr:nvSpPr>
        <xdr:cNvPr id="47" name="Shape 34"/>
        <xdr:cNvSpPr/>
      </xdr:nvSpPr>
      <xdr:spPr>
        <a:xfrm>
          <a:off x="10191960" y="5286240"/>
          <a:ext cx="21690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259200</xdr:colOff>
      <xdr:row>50</xdr:row>
      <xdr:rowOff>130320</xdr:rowOff>
    </xdr:to>
    <xdr:sp>
      <xdr:nvSpPr>
        <xdr:cNvPr id="48" name="Shape 35"/>
        <xdr:cNvSpPr/>
      </xdr:nvSpPr>
      <xdr:spPr>
        <a:xfrm>
          <a:off x="5306760" y="7581960"/>
          <a:ext cx="644760" cy="58752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103320</xdr:colOff>
      <xdr:row>57</xdr:row>
      <xdr:rowOff>111600</xdr:rowOff>
    </xdr:to>
    <xdr:sp>
      <xdr:nvSpPr>
        <xdr:cNvPr id="49" name="Shape 36"/>
        <xdr:cNvSpPr/>
      </xdr:nvSpPr>
      <xdr:spPr>
        <a:xfrm>
          <a:off x="5030640" y="6515280"/>
          <a:ext cx="4854960" cy="270216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39240</xdr:colOff>
      <xdr:row>48</xdr:row>
      <xdr:rowOff>136080</xdr:rowOff>
    </xdr:to>
    <xdr:grpSp>
      <xdr:nvGrpSpPr>
        <xdr:cNvPr id="50" name="Shape 2"/>
        <xdr:cNvGrpSpPr/>
      </xdr:nvGrpSpPr>
      <xdr:grpSpPr>
        <a:xfrm>
          <a:off x="4837320" y="7867800"/>
          <a:ext cx="4984200" cy="2520"/>
          <a:chOff x="4837320" y="7867800"/>
          <a:chExt cx="4984200" cy="2520"/>
        </a:xfrm>
      </xdr:grpSpPr>
      <xdr:cxnSp>
        <xdr:nvCxnSpPr>
          <xdr:cNvPr id="51" name="Shape 37"/>
          <xdr:cNvCxnSpPr/>
        </xdr:nvCxnSpPr>
        <xdr:spPr>
          <a:xfrm>
            <a:off x="4837320" y="7867800"/>
            <a:ext cx="4984560" cy="288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339840</xdr:colOff>
      <xdr:row>43</xdr:row>
      <xdr:rowOff>6480</xdr:rowOff>
    </xdr:to>
    <xdr:sp>
      <xdr:nvSpPr>
        <xdr:cNvPr id="52" name="Shape 38"/>
        <xdr:cNvSpPr/>
      </xdr:nvSpPr>
      <xdr:spPr>
        <a:xfrm>
          <a:off x="9176760" y="6819840"/>
          <a:ext cx="187560" cy="15912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153720</xdr:colOff>
      <xdr:row>42</xdr:row>
      <xdr:rowOff>69120</xdr:rowOff>
    </xdr:to>
    <xdr:grpSp>
      <xdr:nvGrpSpPr>
        <xdr:cNvPr id="53" name="Shape 2"/>
        <xdr:cNvGrpSpPr/>
      </xdr:nvGrpSpPr>
      <xdr:grpSpPr>
        <a:xfrm>
          <a:off x="8537400" y="6886440"/>
          <a:ext cx="640800" cy="2520"/>
          <a:chOff x="8537400" y="6886440"/>
          <a:chExt cx="640800" cy="2520"/>
        </a:xfrm>
      </xdr:grpSpPr>
      <xdr:cxnSp>
        <xdr:nvCxnSpPr>
          <xdr:cNvPr id="54" name="Shape 39"/>
          <xdr:cNvCxnSpPr/>
        </xdr:nvCxnSpPr>
        <xdr:spPr>
          <a:xfrm flipH="1">
            <a:off x="8537400" y="6886440"/>
            <a:ext cx="641160" cy="2880"/>
          </a:xfrm>
          <a:prstGeom prst="straightConnector1">
            <a:avLst/>
          </a:prstGeom>
          <a:ln w="9525">
            <a:solidFill>
              <a:srgbClr val="000000"/>
            </a:solidFill>
            <a:miter/>
            <a:tailEnd len="med" type="triangle" w="med"/>
          </a:ln>
        </xdr:spPr>
      </xdr:cxnSp>
    </xdr:grpSp>
    <xdr:clientData/>
  </xdr:twoCellAnchor>
  <xdr:twoCellAnchor editAs="oneCell">
    <xdr:from>
      <xdr:col>4</xdr:col>
      <xdr:colOff>580320</xdr:colOff>
      <xdr:row>42</xdr:row>
      <xdr:rowOff>75960</xdr:rowOff>
    </xdr:from>
    <xdr:to>
      <xdr:col>10</xdr:col>
      <xdr:colOff>37440</xdr:colOff>
      <xdr:row>49</xdr:row>
      <xdr:rowOff>2160</xdr:rowOff>
    </xdr:to>
    <xdr:grpSp>
      <xdr:nvGrpSpPr>
        <xdr:cNvPr id="55" name="Shape 2"/>
        <xdr:cNvGrpSpPr/>
      </xdr:nvGrpSpPr>
      <xdr:grpSpPr>
        <a:xfrm>
          <a:off x="5620320" y="6895800"/>
          <a:ext cx="3441600" cy="993240"/>
          <a:chOff x="5620320" y="6895800"/>
          <a:chExt cx="3441600" cy="993240"/>
        </a:xfrm>
      </xdr:grpSpPr>
      <xdr:cxnSp>
        <xdr:nvCxnSpPr>
          <xdr:cNvPr id="56" name="Shape 40"/>
          <xdr:cNvCxnSpPr/>
        </xdr:nvCxnSpPr>
        <xdr:spPr>
          <a:xfrm flipH="1">
            <a:off x="5620320" y="6895800"/>
            <a:ext cx="3441960" cy="99360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564480</xdr:colOff>
      <xdr:row>49</xdr:row>
      <xdr:rowOff>78480</xdr:rowOff>
    </xdr:to>
    <xdr:grpSp>
      <xdr:nvGrpSpPr>
        <xdr:cNvPr id="57" name="Shape 2"/>
        <xdr:cNvGrpSpPr/>
      </xdr:nvGrpSpPr>
      <xdr:grpSpPr>
        <a:xfrm>
          <a:off x="5601960" y="7819920"/>
          <a:ext cx="2520" cy="145440"/>
          <a:chOff x="5601960" y="7819920"/>
          <a:chExt cx="2520" cy="145440"/>
        </a:xfrm>
      </xdr:grpSpPr>
      <xdr:cxnSp>
        <xdr:nvCxnSpPr>
          <xdr:cNvPr id="58" name="Shape 41"/>
          <xdr:cNvCxnSpPr/>
        </xdr:nvCxnSpPr>
        <xdr:spPr>
          <a:xfrm>
            <a:off x="5601960" y="7819920"/>
            <a:ext cx="2880" cy="14580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612000</xdr:colOff>
      <xdr:row>42</xdr:row>
      <xdr:rowOff>69120</xdr:rowOff>
    </xdr:to>
    <xdr:grpSp>
      <xdr:nvGrpSpPr>
        <xdr:cNvPr id="59" name="Shape 2"/>
        <xdr:cNvGrpSpPr/>
      </xdr:nvGrpSpPr>
      <xdr:grpSpPr>
        <a:xfrm>
          <a:off x="5806440" y="6886440"/>
          <a:ext cx="2517120" cy="2520"/>
          <a:chOff x="5806440" y="6886440"/>
          <a:chExt cx="2517120" cy="2520"/>
        </a:xfrm>
      </xdr:grpSpPr>
      <xdr:cxnSp>
        <xdr:nvCxnSpPr>
          <xdr:cNvPr id="60" name="Shape 42"/>
          <xdr:cNvCxnSpPr/>
        </xdr:nvCxnSpPr>
        <xdr:spPr>
          <a:xfrm flipH="1">
            <a:off x="5806440" y="6886440"/>
            <a:ext cx="2517480" cy="2880"/>
          </a:xfrm>
          <a:prstGeom prst="straightConnector1">
            <a:avLst/>
          </a:prstGeom>
          <a:ln w="9525">
            <a:solidFill>
              <a:srgbClr val="000000"/>
            </a:solidFill>
            <a:miter/>
          </a:ln>
        </xdr:spPr>
      </xdr:cxnSp>
    </xdr:grpSp>
    <xdr:clientData/>
  </xdr:twoCellAnchor>
  <xdr:twoCellAnchor editAs="oneCell">
    <xdr:from>
      <xdr:col>5</xdr:col>
      <xdr:colOff>75600</xdr:colOff>
      <xdr:row>42</xdr:row>
      <xdr:rowOff>75960</xdr:rowOff>
    </xdr:from>
    <xdr:to>
      <xdr:col>10</xdr:col>
      <xdr:colOff>51480</xdr:colOff>
      <xdr:row>50</xdr:row>
      <xdr:rowOff>126000</xdr:rowOff>
    </xdr:to>
    <xdr:grpSp>
      <xdr:nvGrpSpPr>
        <xdr:cNvPr id="61" name="Shape 2"/>
        <xdr:cNvGrpSpPr/>
      </xdr:nvGrpSpPr>
      <xdr:grpSpPr>
        <a:xfrm>
          <a:off x="5767920" y="6895800"/>
          <a:ext cx="3308040" cy="1269360"/>
          <a:chOff x="5767920" y="6895800"/>
          <a:chExt cx="3308040" cy="1269360"/>
        </a:xfrm>
      </xdr:grpSpPr>
      <xdr:cxnSp>
        <xdr:nvCxnSpPr>
          <xdr:cNvPr id="62" name="Shape 43"/>
          <xdr:cNvCxnSpPr/>
        </xdr:nvCxnSpPr>
        <xdr:spPr>
          <a:xfrm flipH="1">
            <a:off x="5767920" y="6895800"/>
            <a:ext cx="3308400" cy="126972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64080</xdr:colOff>
      <xdr:row>81</xdr:row>
      <xdr:rowOff>73080</xdr:rowOff>
    </xdr:to>
    <xdr:sp>
      <xdr:nvSpPr>
        <xdr:cNvPr id="63" name="Shape 44"/>
        <xdr:cNvSpPr/>
      </xdr:nvSpPr>
      <xdr:spPr>
        <a:xfrm>
          <a:off x="4418280" y="12648960"/>
          <a:ext cx="273096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9000</xdr:colOff>
      <xdr:row>81</xdr:row>
      <xdr:rowOff>101520</xdr:rowOff>
    </xdr:to>
    <xdr:sp>
      <xdr:nvSpPr>
        <xdr:cNvPr id="64" name="Shape 45"/>
        <xdr:cNvSpPr/>
      </xdr:nvSpPr>
      <xdr:spPr>
        <a:xfrm>
          <a:off x="4399200" y="12629880"/>
          <a:ext cx="3321360" cy="37800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113400</xdr:colOff>
      <xdr:row>80</xdr:row>
      <xdr:rowOff>59400</xdr:rowOff>
    </xdr:to>
    <xdr:grpSp>
      <xdr:nvGrpSpPr>
        <xdr:cNvPr id="65" name="Shape 2"/>
        <xdr:cNvGrpSpPr/>
      </xdr:nvGrpSpPr>
      <xdr:grpSpPr>
        <a:xfrm>
          <a:off x="3748320" y="12810960"/>
          <a:ext cx="612000" cy="2520"/>
          <a:chOff x="3748320" y="12810960"/>
          <a:chExt cx="612000" cy="2520"/>
        </a:xfrm>
      </xdr:grpSpPr>
      <xdr:cxnSp>
        <xdr:nvCxnSpPr>
          <xdr:cNvPr id="66" name="Shape 46"/>
          <xdr:cNvCxnSpPr/>
        </xdr:nvCxnSpPr>
        <xdr:spPr>
          <a:xfrm flipH="1">
            <a:off x="3748320" y="12810960"/>
            <a:ext cx="612360" cy="288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392760</xdr:colOff>
      <xdr:row>80</xdr:row>
      <xdr:rowOff>59400</xdr:rowOff>
    </xdr:to>
    <xdr:grpSp>
      <xdr:nvGrpSpPr>
        <xdr:cNvPr id="67" name="Shape 2"/>
        <xdr:cNvGrpSpPr/>
      </xdr:nvGrpSpPr>
      <xdr:grpSpPr>
        <a:xfrm>
          <a:off x="3738600" y="12429720"/>
          <a:ext cx="2520" cy="383760"/>
          <a:chOff x="3738600" y="12429720"/>
          <a:chExt cx="2520" cy="383760"/>
        </a:xfrm>
      </xdr:grpSpPr>
      <xdr:cxnSp>
        <xdr:nvCxnSpPr>
          <xdr:cNvPr id="68" name="Shape 47"/>
          <xdr:cNvCxnSpPr/>
        </xdr:nvCxnSpPr>
        <xdr:spPr>
          <a:xfrm flipV="1">
            <a:off x="3738600" y="12429720"/>
            <a:ext cx="2880" cy="38412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1959120</xdr:colOff>
      <xdr:row>60</xdr:row>
      <xdr:rowOff>6840</xdr:rowOff>
    </xdr:to>
    <xdr:sp>
      <xdr:nvSpPr>
        <xdr:cNvPr id="69" name="Shape 48"/>
        <xdr:cNvSpPr/>
      </xdr:nvSpPr>
      <xdr:spPr>
        <a:xfrm>
          <a:off x="85680" y="9077400"/>
          <a:ext cx="1873440" cy="492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386640</xdr:colOff>
      <xdr:row>60</xdr:row>
      <xdr:rowOff>16200</xdr:rowOff>
    </xdr:to>
    <xdr:sp>
      <xdr:nvSpPr>
        <xdr:cNvPr id="70" name="Shape 49"/>
        <xdr:cNvSpPr/>
      </xdr:nvSpPr>
      <xdr:spPr>
        <a:xfrm>
          <a:off x="47520" y="9039240"/>
          <a:ext cx="2330640" cy="54000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307080</xdr:colOff>
      <xdr:row>62</xdr:row>
      <xdr:rowOff>2160</xdr:rowOff>
    </xdr:to>
    <xdr:grpSp>
      <xdr:nvGrpSpPr>
        <xdr:cNvPr id="71" name="Shape 2"/>
        <xdr:cNvGrpSpPr/>
      </xdr:nvGrpSpPr>
      <xdr:grpSpPr>
        <a:xfrm>
          <a:off x="2296080" y="9581760"/>
          <a:ext cx="2520" cy="307440"/>
          <a:chOff x="2296080" y="9581760"/>
          <a:chExt cx="2520" cy="307440"/>
        </a:xfrm>
      </xdr:grpSpPr>
      <xdr:cxnSp>
        <xdr:nvCxnSpPr>
          <xdr:cNvPr id="72" name="Shape 50"/>
          <xdr:cNvCxnSpPr/>
        </xdr:nvCxnSpPr>
        <xdr:spPr>
          <a:xfrm>
            <a:off x="2296080" y="9581760"/>
            <a:ext cx="2880" cy="30780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1835640</xdr:colOff>
      <xdr:row>55</xdr:row>
      <xdr:rowOff>92160</xdr:rowOff>
    </xdr:to>
    <xdr:sp>
      <xdr:nvSpPr>
        <xdr:cNvPr id="73" name="Shape 51"/>
        <xdr:cNvSpPr/>
      </xdr:nvSpPr>
      <xdr:spPr>
        <a:xfrm>
          <a:off x="142920" y="8562960"/>
          <a:ext cx="169272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329760</xdr:colOff>
      <xdr:row>55</xdr:row>
      <xdr:rowOff>130320</xdr:rowOff>
    </xdr:to>
    <xdr:sp>
      <xdr:nvSpPr>
        <xdr:cNvPr id="74" name="Shape 52"/>
        <xdr:cNvSpPr/>
      </xdr:nvSpPr>
      <xdr:spPr>
        <a:xfrm>
          <a:off x="95400" y="8534520"/>
          <a:ext cx="2225880" cy="39708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535680</xdr:colOff>
      <xdr:row>77</xdr:row>
      <xdr:rowOff>59400</xdr:rowOff>
    </xdr:to>
    <xdr:grpSp>
      <xdr:nvGrpSpPr>
        <xdr:cNvPr id="75" name="Shape 2"/>
        <xdr:cNvGrpSpPr/>
      </xdr:nvGrpSpPr>
      <xdr:grpSpPr>
        <a:xfrm>
          <a:off x="7380360" y="12353760"/>
          <a:ext cx="240480" cy="2520"/>
          <a:chOff x="7380360" y="12353760"/>
          <a:chExt cx="240480" cy="2520"/>
        </a:xfrm>
      </xdr:grpSpPr>
      <xdr:cxnSp>
        <xdr:nvCxnSpPr>
          <xdr:cNvPr id="76" name="Shape 53"/>
          <xdr:cNvCxnSpPr/>
        </xdr:nvCxnSpPr>
        <xdr:spPr>
          <a:xfrm flipH="1">
            <a:off x="7380360" y="12353760"/>
            <a:ext cx="240840" cy="288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587880</xdr:colOff>
      <xdr:row>44</xdr:row>
      <xdr:rowOff>35280</xdr:rowOff>
    </xdr:to>
    <xdr:sp>
      <xdr:nvSpPr>
        <xdr:cNvPr id="77" name="Shape 54"/>
        <xdr:cNvSpPr/>
      </xdr:nvSpPr>
      <xdr:spPr>
        <a:xfrm>
          <a:off x="8206920" y="6934320"/>
          <a:ext cx="92520" cy="22572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98640</xdr:colOff>
      <xdr:row>47</xdr:row>
      <xdr:rowOff>68040</xdr:rowOff>
    </xdr:from>
    <xdr:to>
      <xdr:col>6</xdr:col>
      <xdr:colOff>191160</xdr:colOff>
      <xdr:row>48</xdr:row>
      <xdr:rowOff>132120</xdr:rowOff>
    </xdr:to>
    <xdr:sp>
      <xdr:nvSpPr>
        <xdr:cNvPr id="78" name="Shape 55"/>
        <xdr:cNvSpPr/>
      </xdr:nvSpPr>
      <xdr:spPr>
        <a:xfrm rot="10560000">
          <a:off x="6416640" y="7649640"/>
          <a:ext cx="92520" cy="21636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387720</xdr:colOff>
      <xdr:row>46</xdr:row>
      <xdr:rowOff>111240</xdr:rowOff>
    </xdr:to>
    <xdr:sp>
      <xdr:nvSpPr>
        <xdr:cNvPr id="79" name="Shape 56"/>
        <xdr:cNvSpPr/>
      </xdr:nvSpPr>
      <xdr:spPr>
        <a:xfrm>
          <a:off x="7390080" y="7400880"/>
          <a:ext cx="82800" cy="14004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111600</xdr:colOff>
      <xdr:row>43</xdr:row>
      <xdr:rowOff>111240</xdr:rowOff>
    </xdr:to>
    <xdr:sp>
      <xdr:nvSpPr>
        <xdr:cNvPr id="80" name="Shape 57"/>
        <xdr:cNvSpPr/>
      </xdr:nvSpPr>
      <xdr:spPr>
        <a:xfrm>
          <a:off x="8356680" y="6905520"/>
          <a:ext cx="925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5</xdr:col>
      <xdr:colOff>626040</xdr:colOff>
      <xdr:row>49</xdr:row>
      <xdr:rowOff>6480</xdr:rowOff>
    </xdr:to>
    <xdr:sp>
      <xdr:nvSpPr>
        <xdr:cNvPr id="81" name="Shape 58"/>
        <xdr:cNvSpPr/>
      </xdr:nvSpPr>
      <xdr:spPr>
        <a:xfrm>
          <a:off x="6225840" y="7705800"/>
          <a:ext cx="925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484560</xdr:colOff>
      <xdr:row>42</xdr:row>
      <xdr:rowOff>75960</xdr:rowOff>
    </xdr:from>
    <xdr:to>
      <xdr:col>10</xdr:col>
      <xdr:colOff>27720</xdr:colOff>
      <xdr:row>47</xdr:row>
      <xdr:rowOff>11880</xdr:rowOff>
    </xdr:to>
    <xdr:grpSp>
      <xdr:nvGrpSpPr>
        <xdr:cNvPr id="82" name="Shape 2"/>
        <xdr:cNvGrpSpPr/>
      </xdr:nvGrpSpPr>
      <xdr:grpSpPr>
        <a:xfrm>
          <a:off x="5524560" y="6895800"/>
          <a:ext cx="3527640" cy="698040"/>
          <a:chOff x="5524560" y="6895800"/>
          <a:chExt cx="3527640" cy="698040"/>
        </a:xfrm>
      </xdr:grpSpPr>
      <xdr:cxnSp>
        <xdr:nvCxnSpPr>
          <xdr:cNvPr id="83" name="Shape 59"/>
          <xdr:cNvCxnSpPr/>
        </xdr:nvCxnSpPr>
        <xdr:spPr>
          <a:xfrm flipH="1">
            <a:off x="5524560" y="6895800"/>
            <a:ext cx="3528000" cy="698400"/>
          </a:xfrm>
          <a:prstGeom prst="straightConnector1">
            <a:avLst/>
          </a:prstGeom>
          <a:ln w="9525">
            <a:solidFill>
              <a:srgbClr val="ff0000"/>
            </a:solidFill>
            <a:miter/>
          </a:ln>
        </xdr:spPr>
      </xdr:cxnSp>
    </xdr:grpSp>
    <xdr:clientData/>
  </xdr:twoCellAnchor>
  <xdr:twoCellAnchor editAs="oneCell">
    <xdr:from>
      <xdr:col>6</xdr:col>
      <xdr:colOff>466200</xdr:colOff>
      <xdr:row>45</xdr:row>
      <xdr:rowOff>47880</xdr:rowOff>
    </xdr:from>
    <xdr:to>
      <xdr:col>7</xdr:col>
      <xdr:colOff>39600</xdr:colOff>
      <xdr:row>48</xdr:row>
      <xdr:rowOff>73440</xdr:rowOff>
    </xdr:to>
    <xdr:sp>
      <xdr:nvSpPr>
        <xdr:cNvPr id="84" name="Shape 60"/>
        <xdr:cNvSpPr/>
      </xdr:nvSpPr>
      <xdr:spPr>
        <a:xfrm rot="20580000">
          <a:off x="6784200" y="7324560"/>
          <a:ext cx="340200" cy="48276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606600</xdr:colOff>
      <xdr:row>46</xdr:row>
      <xdr:rowOff>92160</xdr:rowOff>
    </xdr:to>
    <xdr:sp>
      <xdr:nvSpPr>
        <xdr:cNvPr id="85" name="Shape 61"/>
        <xdr:cNvSpPr/>
      </xdr:nvSpPr>
      <xdr:spPr>
        <a:xfrm>
          <a:off x="6861240" y="7343640"/>
          <a:ext cx="637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549720</xdr:colOff>
      <xdr:row>46</xdr:row>
      <xdr:rowOff>92160</xdr:rowOff>
    </xdr:to>
    <xdr:sp>
      <xdr:nvSpPr>
        <xdr:cNvPr id="86" name="Shape 62"/>
        <xdr:cNvSpPr/>
      </xdr:nvSpPr>
      <xdr:spPr>
        <a:xfrm>
          <a:off x="7475760" y="7343640"/>
          <a:ext cx="1591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432720</xdr:colOff>
      <xdr:row>57</xdr:row>
      <xdr:rowOff>6840</xdr:rowOff>
    </xdr:to>
    <xdr:sp>
      <xdr:nvSpPr>
        <xdr:cNvPr id="87" name="Shape 63"/>
        <xdr:cNvSpPr/>
      </xdr:nvSpPr>
      <xdr:spPr>
        <a:xfrm>
          <a:off x="4294440" y="8925120"/>
          <a:ext cx="117828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183240</xdr:colOff>
      <xdr:row>58</xdr:row>
      <xdr:rowOff>54000</xdr:rowOff>
    </xdr:to>
    <xdr:sp>
      <xdr:nvSpPr>
        <xdr:cNvPr id="88" name="Shape 64"/>
        <xdr:cNvSpPr/>
      </xdr:nvSpPr>
      <xdr:spPr>
        <a:xfrm>
          <a:off x="4266000" y="9134280"/>
          <a:ext cx="22356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418680</xdr:colOff>
      <xdr:row>59</xdr:row>
      <xdr:rowOff>92520</xdr:rowOff>
    </xdr:to>
    <xdr:sp>
      <xdr:nvSpPr>
        <xdr:cNvPr id="89" name="Shape 65"/>
        <xdr:cNvSpPr/>
      </xdr:nvSpPr>
      <xdr:spPr>
        <a:xfrm>
          <a:off x="4266000" y="9325080"/>
          <a:ext cx="18450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304200</xdr:colOff>
      <xdr:row>60</xdr:row>
      <xdr:rowOff>92520</xdr:rowOff>
    </xdr:to>
    <xdr:sp>
      <xdr:nvSpPr>
        <xdr:cNvPr id="90" name="Shape 66"/>
        <xdr:cNvSpPr/>
      </xdr:nvSpPr>
      <xdr:spPr>
        <a:xfrm>
          <a:off x="4266000" y="9477360"/>
          <a:ext cx="17305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525600</xdr:colOff>
      <xdr:row>42</xdr:row>
      <xdr:rowOff>111600</xdr:rowOff>
    </xdr:to>
    <xdr:sp>
      <xdr:nvSpPr>
        <xdr:cNvPr id="91" name="Shape 67"/>
        <xdr:cNvSpPr/>
      </xdr:nvSpPr>
      <xdr:spPr>
        <a:xfrm>
          <a:off x="6613560" y="6753240"/>
          <a:ext cx="9972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330480</xdr:colOff>
      <xdr:row>55</xdr:row>
      <xdr:rowOff>54000</xdr:rowOff>
    </xdr:to>
    <xdr:sp>
      <xdr:nvSpPr>
        <xdr:cNvPr id="92" name="Shape 68"/>
        <xdr:cNvSpPr/>
      </xdr:nvSpPr>
      <xdr:spPr>
        <a:xfrm>
          <a:off x="4313520" y="8677080"/>
          <a:ext cx="2638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778320</xdr:colOff>
      <xdr:row>49</xdr:row>
      <xdr:rowOff>44640</xdr:rowOff>
    </xdr:to>
    <xdr:sp>
      <xdr:nvSpPr>
        <xdr:cNvPr id="93" name="Shape 69"/>
        <xdr:cNvSpPr/>
      </xdr:nvSpPr>
      <xdr:spPr>
        <a:xfrm>
          <a:off x="4951800" y="7819920"/>
          <a:ext cx="73440" cy="111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378000</xdr:colOff>
      <xdr:row>49</xdr:row>
      <xdr:rowOff>34920</xdr:rowOff>
    </xdr:to>
    <xdr:sp>
      <xdr:nvSpPr>
        <xdr:cNvPr id="94" name="Shape 70"/>
        <xdr:cNvSpPr/>
      </xdr:nvSpPr>
      <xdr:spPr>
        <a:xfrm>
          <a:off x="10077480" y="7819920"/>
          <a:ext cx="82800" cy="1018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645120</xdr:colOff>
      <xdr:row>55</xdr:row>
      <xdr:rowOff>15840</xdr:rowOff>
    </xdr:to>
    <xdr:sp>
      <xdr:nvSpPr>
        <xdr:cNvPr id="95" name="Shape 71"/>
        <xdr:cNvSpPr/>
      </xdr:nvSpPr>
      <xdr:spPr>
        <a:xfrm>
          <a:off x="5592600" y="8715240"/>
          <a:ext cx="92520" cy="1018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168480</xdr:colOff>
      <xdr:row>52</xdr:row>
      <xdr:rowOff>25560</xdr:rowOff>
    </xdr:to>
    <xdr:sp>
      <xdr:nvSpPr>
        <xdr:cNvPr id="96" name="Shape 70"/>
        <xdr:cNvSpPr/>
      </xdr:nvSpPr>
      <xdr:spPr>
        <a:xfrm>
          <a:off x="5125680" y="8267760"/>
          <a:ext cx="82800" cy="1018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349560</xdr:colOff>
      <xdr:row>57</xdr:row>
      <xdr:rowOff>149400</xdr:rowOff>
    </xdr:to>
    <xdr:sp>
      <xdr:nvSpPr>
        <xdr:cNvPr id="97" name="Shape 72"/>
        <xdr:cNvSpPr/>
      </xdr:nvSpPr>
      <xdr:spPr>
        <a:xfrm>
          <a:off x="7361280" y="9153360"/>
          <a:ext cx="73440" cy="1018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20520</xdr:colOff>
      <xdr:row>53</xdr:row>
      <xdr:rowOff>92520</xdr:rowOff>
    </xdr:to>
    <xdr:sp>
      <xdr:nvSpPr>
        <xdr:cNvPr id="98" name="Shape 73"/>
        <xdr:cNvSpPr/>
      </xdr:nvSpPr>
      <xdr:spPr>
        <a:xfrm>
          <a:off x="9710280" y="8496360"/>
          <a:ext cx="92520" cy="925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244800</xdr:colOff>
      <xdr:row>57</xdr:row>
      <xdr:rowOff>54360</xdr:rowOff>
    </xdr:to>
    <xdr:sp>
      <xdr:nvSpPr>
        <xdr:cNvPr id="99" name="Shape 70"/>
        <xdr:cNvSpPr/>
      </xdr:nvSpPr>
      <xdr:spPr>
        <a:xfrm>
          <a:off x="8499600" y="9058320"/>
          <a:ext cx="82800" cy="1018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69840</xdr:colOff>
      <xdr:row>49</xdr:row>
      <xdr:rowOff>63360</xdr:rowOff>
    </xdr:to>
    <xdr:sp>
      <xdr:nvSpPr>
        <xdr:cNvPr id="100" name="Shape 74"/>
        <xdr:cNvSpPr/>
      </xdr:nvSpPr>
      <xdr:spPr>
        <a:xfrm>
          <a:off x="10258560" y="7800840"/>
          <a:ext cx="368640" cy="1494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501840</xdr:colOff>
      <xdr:row>54</xdr:row>
      <xdr:rowOff>54360</xdr:rowOff>
    </xdr:to>
    <xdr:sp>
      <xdr:nvSpPr>
        <xdr:cNvPr id="101" name="Shape 75"/>
        <xdr:cNvSpPr/>
      </xdr:nvSpPr>
      <xdr:spPr>
        <a:xfrm>
          <a:off x="9925200" y="8543880"/>
          <a:ext cx="35892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15120</xdr:colOff>
      <xdr:row>58</xdr:row>
      <xdr:rowOff>34920</xdr:rowOff>
    </xdr:to>
    <xdr:sp>
      <xdr:nvSpPr>
        <xdr:cNvPr id="102" name="Shape 76"/>
        <xdr:cNvSpPr/>
      </xdr:nvSpPr>
      <xdr:spPr>
        <a:xfrm>
          <a:off x="8670960" y="9134280"/>
          <a:ext cx="36864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85320</xdr:colOff>
      <xdr:row>57</xdr:row>
      <xdr:rowOff>73440</xdr:rowOff>
    </xdr:to>
    <xdr:sp>
      <xdr:nvSpPr>
        <xdr:cNvPr id="103" name="Shape 77"/>
        <xdr:cNvSpPr/>
      </xdr:nvSpPr>
      <xdr:spPr>
        <a:xfrm>
          <a:off x="7428240" y="9020160"/>
          <a:ext cx="36864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387720</xdr:colOff>
      <xdr:row>55</xdr:row>
      <xdr:rowOff>34920</xdr:rowOff>
    </xdr:to>
    <xdr:sp>
      <xdr:nvSpPr>
        <xdr:cNvPr id="104" name="Shape 78"/>
        <xdr:cNvSpPr/>
      </xdr:nvSpPr>
      <xdr:spPr>
        <a:xfrm>
          <a:off x="5778000" y="8677080"/>
          <a:ext cx="30204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749520</xdr:colOff>
      <xdr:row>52</xdr:row>
      <xdr:rowOff>92160</xdr:rowOff>
    </xdr:to>
    <xdr:sp>
      <xdr:nvSpPr>
        <xdr:cNvPr id="105" name="Shape 79"/>
        <xdr:cNvSpPr/>
      </xdr:nvSpPr>
      <xdr:spPr>
        <a:xfrm>
          <a:off x="4608720" y="8258040"/>
          <a:ext cx="3877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483120</xdr:colOff>
      <xdr:row>49</xdr:row>
      <xdr:rowOff>63360</xdr:rowOff>
    </xdr:to>
    <xdr:sp>
      <xdr:nvSpPr>
        <xdr:cNvPr id="106" name="Shape 80"/>
        <xdr:cNvSpPr/>
      </xdr:nvSpPr>
      <xdr:spPr>
        <a:xfrm>
          <a:off x="4428000" y="7800840"/>
          <a:ext cx="302040" cy="1494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78480</xdr:colOff>
      <xdr:row>79</xdr:row>
      <xdr:rowOff>21600</xdr:rowOff>
    </xdr:to>
    <xdr:grpSp>
      <xdr:nvGrpSpPr>
        <xdr:cNvPr id="107" name="Shape 2"/>
        <xdr:cNvGrpSpPr/>
      </xdr:nvGrpSpPr>
      <xdr:grpSpPr>
        <a:xfrm>
          <a:off x="6394320" y="12430080"/>
          <a:ext cx="2520" cy="192960"/>
          <a:chOff x="6394320" y="12430080"/>
          <a:chExt cx="2520" cy="192960"/>
        </a:xfrm>
      </xdr:grpSpPr>
      <xdr:cxnSp>
        <xdr:nvCxnSpPr>
          <xdr:cNvPr id="108" name="Shape 81"/>
          <xdr:cNvCxnSpPr/>
        </xdr:nvCxnSpPr>
        <xdr:spPr>
          <a:xfrm flipV="1">
            <a:off x="6394320" y="12430080"/>
            <a:ext cx="2880" cy="19332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1797480</xdr:colOff>
      <xdr:row>65</xdr:row>
      <xdr:rowOff>6840</xdr:rowOff>
    </xdr:to>
    <xdr:sp>
      <xdr:nvSpPr>
        <xdr:cNvPr id="109" name="Shape 82"/>
        <xdr:cNvSpPr/>
      </xdr:nvSpPr>
      <xdr:spPr>
        <a:xfrm>
          <a:off x="1409760" y="10172880"/>
          <a:ext cx="3877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1768680</xdr:colOff>
      <xdr:row>77</xdr:row>
      <xdr:rowOff>25560</xdr:rowOff>
    </xdr:to>
    <xdr:sp>
      <xdr:nvSpPr>
        <xdr:cNvPr id="110" name="Shape 83"/>
        <xdr:cNvSpPr/>
      </xdr:nvSpPr>
      <xdr:spPr>
        <a:xfrm>
          <a:off x="1380960" y="12144240"/>
          <a:ext cx="3877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1640520</xdr:colOff>
      <xdr:row>75</xdr:row>
      <xdr:rowOff>106920</xdr:rowOff>
    </xdr:to>
    <xdr:grpSp>
      <xdr:nvGrpSpPr>
        <xdr:cNvPr id="111" name="Shape 2"/>
        <xdr:cNvGrpSpPr/>
      </xdr:nvGrpSpPr>
      <xdr:grpSpPr>
        <a:xfrm>
          <a:off x="1638000" y="10382040"/>
          <a:ext cx="2520" cy="1716840"/>
          <a:chOff x="1638000" y="10382040"/>
          <a:chExt cx="2520" cy="1716840"/>
        </a:xfrm>
      </xdr:grpSpPr>
      <xdr:cxnSp>
        <xdr:nvCxnSpPr>
          <xdr:cNvPr id="112" name="Shape 84"/>
          <xdr:cNvCxnSpPr/>
        </xdr:nvCxnSpPr>
        <xdr:spPr>
          <a:xfrm>
            <a:off x="1638000" y="10382040"/>
            <a:ext cx="2880" cy="171720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1640520</xdr:colOff>
      <xdr:row>70</xdr:row>
      <xdr:rowOff>11520</xdr:rowOff>
    </xdr:to>
    <xdr:grpSp>
      <xdr:nvGrpSpPr>
        <xdr:cNvPr id="113" name="Shape 2"/>
        <xdr:cNvGrpSpPr/>
      </xdr:nvGrpSpPr>
      <xdr:grpSpPr>
        <a:xfrm>
          <a:off x="1638000" y="10372320"/>
          <a:ext cx="2520" cy="831240"/>
          <a:chOff x="1638000" y="10372320"/>
          <a:chExt cx="2520" cy="831240"/>
        </a:xfrm>
      </xdr:grpSpPr>
      <xdr:cxnSp>
        <xdr:nvCxnSpPr>
          <xdr:cNvPr id="114" name="Shape 85"/>
          <xdr:cNvCxnSpPr/>
        </xdr:nvCxnSpPr>
        <xdr:spPr>
          <a:xfrm>
            <a:off x="1638000" y="10372320"/>
            <a:ext cx="2880" cy="83160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302040</xdr:colOff>
      <xdr:row>95</xdr:row>
      <xdr:rowOff>50040</xdr:rowOff>
    </xdr:to>
    <xdr:grpSp>
      <xdr:nvGrpSpPr>
        <xdr:cNvPr id="115" name="Shape 2"/>
        <xdr:cNvGrpSpPr/>
      </xdr:nvGrpSpPr>
      <xdr:grpSpPr>
        <a:xfrm>
          <a:off x="2962800" y="15268320"/>
          <a:ext cx="3031560" cy="2520"/>
          <a:chOff x="2962800" y="15268320"/>
          <a:chExt cx="3031560" cy="2520"/>
        </a:xfrm>
      </xdr:grpSpPr>
      <xdr:cxnSp>
        <xdr:nvCxnSpPr>
          <xdr:cNvPr id="116" name="Shape 86"/>
          <xdr:cNvCxnSpPr/>
        </xdr:nvCxnSpPr>
        <xdr:spPr>
          <a:xfrm>
            <a:off x="2962800" y="15268320"/>
            <a:ext cx="3031920" cy="288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400680</xdr:colOff>
      <xdr:row>95</xdr:row>
      <xdr:rowOff>69120</xdr:rowOff>
    </xdr:to>
    <xdr:grpSp>
      <xdr:nvGrpSpPr>
        <xdr:cNvPr id="117" name="Shape 2"/>
        <xdr:cNvGrpSpPr/>
      </xdr:nvGrpSpPr>
      <xdr:grpSpPr>
        <a:xfrm>
          <a:off x="7265880" y="15287400"/>
          <a:ext cx="2917080" cy="2520"/>
          <a:chOff x="7265880" y="15287400"/>
          <a:chExt cx="2917080" cy="2520"/>
        </a:xfrm>
      </xdr:grpSpPr>
      <xdr:cxnSp>
        <xdr:nvCxnSpPr>
          <xdr:cNvPr id="118" name="Shape 87"/>
          <xdr:cNvCxnSpPr/>
        </xdr:nvCxnSpPr>
        <xdr:spPr>
          <a:xfrm>
            <a:off x="7265880" y="15287400"/>
            <a:ext cx="2917440" cy="288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783360</xdr:colOff>
      <xdr:row>103</xdr:row>
      <xdr:rowOff>69120</xdr:rowOff>
    </xdr:to>
    <xdr:grpSp>
      <xdr:nvGrpSpPr>
        <xdr:cNvPr id="119" name="Shape 2"/>
        <xdr:cNvGrpSpPr/>
      </xdr:nvGrpSpPr>
      <xdr:grpSpPr>
        <a:xfrm>
          <a:off x="3595680" y="16583040"/>
          <a:ext cx="536040" cy="2520"/>
          <a:chOff x="3595680" y="16583040"/>
          <a:chExt cx="536040" cy="2520"/>
        </a:xfrm>
      </xdr:grpSpPr>
      <xdr:cxnSp>
        <xdr:nvCxnSpPr>
          <xdr:cNvPr id="120" name="Shape 88"/>
          <xdr:cNvCxnSpPr/>
        </xdr:nvCxnSpPr>
        <xdr:spPr>
          <a:xfrm flipH="1">
            <a:off x="3595680" y="16583040"/>
            <a:ext cx="536400" cy="288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82080</xdr:colOff>
      <xdr:row>150</xdr:row>
      <xdr:rowOff>34920</xdr:rowOff>
    </xdr:to>
    <xdr:sp>
      <xdr:nvSpPr>
        <xdr:cNvPr id="121" name="Shape 89"/>
        <xdr:cNvSpPr/>
      </xdr:nvSpPr>
      <xdr:spPr>
        <a:xfrm>
          <a:off x="2601000" y="21535920"/>
          <a:ext cx="2521080" cy="229248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616320</xdr:colOff>
      <xdr:row>143</xdr:row>
      <xdr:rowOff>15840</xdr:rowOff>
    </xdr:to>
    <xdr:sp>
      <xdr:nvSpPr>
        <xdr:cNvPr id="122" name="Shape 90"/>
        <xdr:cNvSpPr/>
      </xdr:nvSpPr>
      <xdr:spPr>
        <a:xfrm>
          <a:off x="3891240" y="22640760"/>
          <a:ext cx="73440" cy="1018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721080</xdr:colOff>
      <xdr:row>138</xdr:row>
      <xdr:rowOff>16200</xdr:rowOff>
    </xdr:to>
    <xdr:sp>
      <xdr:nvSpPr>
        <xdr:cNvPr id="123" name="Shape 91"/>
        <xdr:cNvSpPr/>
      </xdr:nvSpPr>
      <xdr:spPr>
        <a:xfrm>
          <a:off x="4885200" y="21898080"/>
          <a:ext cx="82800" cy="8280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304200</xdr:colOff>
      <xdr:row>153</xdr:row>
      <xdr:rowOff>6840</xdr:rowOff>
    </xdr:to>
    <xdr:sp>
      <xdr:nvSpPr>
        <xdr:cNvPr id="124" name="Shape 92"/>
        <xdr:cNvSpPr/>
      </xdr:nvSpPr>
      <xdr:spPr>
        <a:xfrm>
          <a:off x="2591640" y="21126600"/>
          <a:ext cx="4797720" cy="313092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482760</xdr:colOff>
      <xdr:row>150</xdr:row>
      <xdr:rowOff>149400</xdr:rowOff>
    </xdr:to>
    <xdr:sp>
      <xdr:nvSpPr>
        <xdr:cNvPr id="125" name="Shape 93"/>
        <xdr:cNvSpPr/>
      </xdr:nvSpPr>
      <xdr:spPr>
        <a:xfrm>
          <a:off x="6718320" y="23860080"/>
          <a:ext cx="82800" cy="8280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646920</xdr:colOff>
      <xdr:row>142</xdr:row>
      <xdr:rowOff>117000</xdr:rowOff>
    </xdr:to>
    <xdr:grpSp>
      <xdr:nvGrpSpPr>
        <xdr:cNvPr id="126" name="Shape 2"/>
        <xdr:cNvGrpSpPr/>
      </xdr:nvGrpSpPr>
      <xdr:grpSpPr>
        <a:xfrm>
          <a:off x="3929040" y="21926520"/>
          <a:ext cx="964800" cy="764640"/>
          <a:chOff x="3929040" y="21926520"/>
          <a:chExt cx="964800" cy="764640"/>
        </a:xfrm>
      </xdr:grpSpPr>
      <xdr:cxnSp>
        <xdr:nvCxnSpPr>
          <xdr:cNvPr id="127" name="Shape 94"/>
          <xdr:cNvCxnSpPr/>
        </xdr:nvCxnSpPr>
        <xdr:spPr>
          <a:xfrm flipV="1">
            <a:off x="3929040" y="21926520"/>
            <a:ext cx="965160" cy="76500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340560</xdr:colOff>
      <xdr:row>150</xdr:row>
      <xdr:rowOff>97560</xdr:rowOff>
    </xdr:to>
    <xdr:grpSp>
      <xdr:nvGrpSpPr>
        <xdr:cNvPr id="128" name="Shape 2"/>
        <xdr:cNvGrpSpPr/>
      </xdr:nvGrpSpPr>
      <xdr:grpSpPr>
        <a:xfrm>
          <a:off x="4932720" y="21935880"/>
          <a:ext cx="1726200" cy="1955160"/>
          <a:chOff x="4932720" y="21935880"/>
          <a:chExt cx="1726200" cy="1955160"/>
        </a:xfrm>
      </xdr:grpSpPr>
      <xdr:cxnSp>
        <xdr:nvCxnSpPr>
          <xdr:cNvPr id="129" name="Shape 95"/>
          <xdr:cNvCxnSpPr/>
        </xdr:nvCxnSpPr>
        <xdr:spPr>
          <a:xfrm>
            <a:off x="4932720" y="21935880"/>
            <a:ext cx="1726560" cy="195552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349560</xdr:colOff>
      <xdr:row>151</xdr:row>
      <xdr:rowOff>82800</xdr:rowOff>
    </xdr:to>
    <xdr:sp>
      <xdr:nvSpPr>
        <xdr:cNvPr id="130" name="Shape 96"/>
        <xdr:cNvSpPr/>
      </xdr:nvSpPr>
      <xdr:spPr>
        <a:xfrm>
          <a:off x="7351920" y="23945760"/>
          <a:ext cx="82800" cy="8280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87120</xdr:colOff>
      <xdr:row>131</xdr:row>
      <xdr:rowOff>115560</xdr:rowOff>
    </xdr:from>
    <xdr:to>
      <xdr:col>7</xdr:col>
      <xdr:colOff>588960</xdr:colOff>
      <xdr:row>142</xdr:row>
      <xdr:rowOff>93960</xdr:rowOff>
    </xdr:to>
    <xdr:sp>
      <xdr:nvSpPr>
        <xdr:cNvPr id="131" name="Shape 97"/>
        <xdr:cNvSpPr/>
      </xdr:nvSpPr>
      <xdr:spPr>
        <a:xfrm rot="21420000">
          <a:off x="7172280" y="21013560"/>
          <a:ext cx="501840" cy="1654560"/>
        </a:xfrm>
        <a:custGeom>
          <a:avLst/>
          <a:gdLst>
            <a:gd name="textAreaLeft" fmla="*/ 0 w 501840"/>
            <a:gd name="textAreaRight" fmla="*/ 504720 w 501840"/>
            <a:gd name="textAreaTop" fmla="*/ 0 h 1654560"/>
            <a:gd name="textAreaBottom" fmla="*/ 1657440 h 165456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153720</xdr:colOff>
      <xdr:row>142</xdr:row>
      <xdr:rowOff>69480</xdr:rowOff>
    </xdr:from>
    <xdr:to>
      <xdr:col>7</xdr:col>
      <xdr:colOff>588960</xdr:colOff>
      <xdr:row>153</xdr:row>
      <xdr:rowOff>28440</xdr:rowOff>
    </xdr:to>
    <xdr:sp>
      <xdr:nvSpPr>
        <xdr:cNvPr id="132" name="Shape 98"/>
        <xdr:cNvSpPr/>
      </xdr:nvSpPr>
      <xdr:spPr>
        <a:xfrm flipH="1" rot="10800000">
          <a:off x="7238520" y="22643640"/>
          <a:ext cx="435240" cy="1635480"/>
        </a:xfrm>
        <a:custGeom>
          <a:avLst/>
          <a:gdLst>
            <a:gd name="textAreaLeft" fmla="*/ 1440 w 435240"/>
            <a:gd name="textAreaRight" fmla="*/ 439560 w 435240"/>
            <a:gd name="textAreaTop" fmla="*/ 0 h 1635480"/>
            <a:gd name="textAreaBottom" fmla="*/ 1638360 h 163548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609120</xdr:colOff>
      <xdr:row>151</xdr:row>
      <xdr:rowOff>130680</xdr:rowOff>
    </xdr:to>
    <xdr:sp>
      <xdr:nvSpPr>
        <xdr:cNvPr id="133" name="Shape 99"/>
        <xdr:cNvSpPr/>
      </xdr:nvSpPr>
      <xdr:spPr>
        <a:xfrm>
          <a:off x="7494840" y="23898240"/>
          <a:ext cx="8258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49680</xdr:colOff>
      <xdr:row>151</xdr:row>
      <xdr:rowOff>25920</xdr:rowOff>
    </xdr:to>
    <xdr:sp>
      <xdr:nvSpPr>
        <xdr:cNvPr id="134" name="Shape 100"/>
        <xdr:cNvSpPr/>
      </xdr:nvSpPr>
      <xdr:spPr>
        <a:xfrm>
          <a:off x="4970880" y="23793480"/>
          <a:ext cx="13971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635400</xdr:colOff>
      <xdr:row>144</xdr:row>
      <xdr:rowOff>73440</xdr:rowOff>
    </xdr:to>
    <xdr:sp>
      <xdr:nvSpPr>
        <xdr:cNvPr id="135" name="Shape 101"/>
        <xdr:cNvSpPr/>
      </xdr:nvSpPr>
      <xdr:spPr>
        <a:xfrm>
          <a:off x="3767400" y="22774320"/>
          <a:ext cx="2163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478080</xdr:colOff>
      <xdr:row>138</xdr:row>
      <xdr:rowOff>25920</xdr:rowOff>
    </xdr:to>
    <xdr:sp>
      <xdr:nvSpPr>
        <xdr:cNvPr id="136" name="Shape 102"/>
        <xdr:cNvSpPr/>
      </xdr:nvSpPr>
      <xdr:spPr>
        <a:xfrm>
          <a:off x="5049360" y="21812400"/>
          <a:ext cx="11210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609120</xdr:colOff>
      <xdr:row>153</xdr:row>
      <xdr:rowOff>6480</xdr:rowOff>
    </xdr:to>
    <xdr:sp>
      <xdr:nvSpPr>
        <xdr:cNvPr id="137" name="Shape 103"/>
        <xdr:cNvSpPr/>
      </xdr:nvSpPr>
      <xdr:spPr>
        <a:xfrm>
          <a:off x="7494840" y="24069600"/>
          <a:ext cx="82584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218880</xdr:colOff>
      <xdr:row>143</xdr:row>
      <xdr:rowOff>130320</xdr:rowOff>
    </xdr:to>
    <xdr:sp>
      <xdr:nvSpPr>
        <xdr:cNvPr id="138" name="Shape 104"/>
        <xdr:cNvSpPr/>
      </xdr:nvSpPr>
      <xdr:spPr>
        <a:xfrm>
          <a:off x="5778000" y="22688640"/>
          <a:ext cx="75924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22680</xdr:colOff>
      <xdr:row>140</xdr:row>
      <xdr:rowOff>111240</xdr:rowOff>
    </xdr:to>
    <xdr:sp>
      <xdr:nvSpPr>
        <xdr:cNvPr id="139" name="Shape 105"/>
        <xdr:cNvSpPr/>
      </xdr:nvSpPr>
      <xdr:spPr>
        <a:xfrm>
          <a:off x="3843720" y="22202640"/>
          <a:ext cx="4258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529560</xdr:colOff>
      <xdr:row>157</xdr:row>
      <xdr:rowOff>16200</xdr:rowOff>
    </xdr:to>
    <xdr:sp>
      <xdr:nvSpPr>
        <xdr:cNvPr id="140" name="Shape 106"/>
        <xdr:cNvSpPr/>
      </xdr:nvSpPr>
      <xdr:spPr>
        <a:xfrm>
          <a:off x="4062600" y="24707880"/>
          <a:ext cx="215928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616320</xdr:colOff>
      <xdr:row>142</xdr:row>
      <xdr:rowOff>130320</xdr:rowOff>
    </xdr:to>
    <xdr:sp>
      <xdr:nvSpPr>
        <xdr:cNvPr id="141" name="Shape 107"/>
        <xdr:cNvSpPr/>
      </xdr:nvSpPr>
      <xdr:spPr>
        <a:xfrm>
          <a:off x="7618680" y="22640760"/>
          <a:ext cx="82800" cy="6372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514080</xdr:colOff>
      <xdr:row>143</xdr:row>
      <xdr:rowOff>54000</xdr:rowOff>
    </xdr:to>
    <xdr:sp>
      <xdr:nvSpPr>
        <xdr:cNvPr id="142" name="Shape 108"/>
        <xdr:cNvSpPr/>
      </xdr:nvSpPr>
      <xdr:spPr>
        <a:xfrm>
          <a:off x="7749720" y="22602600"/>
          <a:ext cx="1101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389880</xdr:colOff>
      <xdr:row>135</xdr:row>
      <xdr:rowOff>114120</xdr:rowOff>
    </xdr:from>
    <xdr:to>
      <xdr:col>3</xdr:col>
      <xdr:colOff>678600</xdr:colOff>
      <xdr:row>137</xdr:row>
      <xdr:rowOff>126000</xdr:rowOff>
    </xdr:to>
    <xdr:grpSp>
      <xdr:nvGrpSpPr>
        <xdr:cNvPr id="143" name="Shape 2"/>
        <xdr:cNvGrpSpPr/>
      </xdr:nvGrpSpPr>
      <xdr:grpSpPr>
        <a:xfrm>
          <a:off x="4636800" y="21621600"/>
          <a:ext cx="288720" cy="316800"/>
          <a:chOff x="4636800" y="21621600"/>
          <a:chExt cx="288720" cy="316800"/>
        </a:xfrm>
      </xdr:grpSpPr>
      <xdr:cxnSp>
        <xdr:nvCxnSpPr>
          <xdr:cNvPr id="144" name="Shape 109"/>
          <xdr:cNvCxnSpPr/>
        </xdr:nvCxnSpPr>
        <xdr:spPr>
          <a:xfrm flipH="1" flipV="1">
            <a:off x="4636800" y="21621600"/>
            <a:ext cx="289080" cy="31716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178560</xdr:colOff>
      <xdr:row>150</xdr:row>
      <xdr:rowOff>97560</xdr:rowOff>
    </xdr:to>
    <xdr:grpSp>
      <xdr:nvGrpSpPr>
        <xdr:cNvPr id="145" name="Shape 2"/>
        <xdr:cNvGrpSpPr/>
      </xdr:nvGrpSpPr>
      <xdr:grpSpPr>
        <a:xfrm>
          <a:off x="6756480" y="23554800"/>
          <a:ext cx="507240" cy="336240"/>
          <a:chOff x="6756480" y="23554800"/>
          <a:chExt cx="507240" cy="336240"/>
        </a:xfrm>
      </xdr:grpSpPr>
      <xdr:cxnSp>
        <xdr:nvCxnSpPr>
          <xdr:cNvPr id="146" name="Shape 110"/>
          <xdr:cNvCxnSpPr/>
        </xdr:nvCxnSpPr>
        <xdr:spPr>
          <a:xfrm flipV="1">
            <a:off x="6756480" y="23554800"/>
            <a:ext cx="507600" cy="33660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63720</xdr:colOff>
      <xdr:row>12</xdr:row>
      <xdr:rowOff>59400</xdr:rowOff>
    </xdr:to>
    <xdr:grpSp>
      <xdr:nvGrpSpPr>
        <xdr:cNvPr id="147" name="Shape 2"/>
        <xdr:cNvGrpSpPr/>
      </xdr:nvGrpSpPr>
      <xdr:grpSpPr>
        <a:xfrm>
          <a:off x="1495080" y="2228760"/>
          <a:ext cx="393120" cy="2520"/>
          <a:chOff x="1495080" y="2228760"/>
          <a:chExt cx="393120" cy="2520"/>
        </a:xfrm>
      </xdr:grpSpPr>
      <xdr:cxnSp>
        <xdr:nvCxnSpPr>
          <xdr:cNvPr id="148" name="Shape 111"/>
          <xdr:cNvCxnSpPr/>
        </xdr:nvCxnSpPr>
        <xdr:spPr>
          <a:xfrm>
            <a:off x="1495080" y="2228760"/>
            <a:ext cx="393480" cy="288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82800</xdr:colOff>
      <xdr:row>18</xdr:row>
      <xdr:rowOff>59400</xdr:rowOff>
    </xdr:to>
    <xdr:grpSp>
      <xdr:nvGrpSpPr>
        <xdr:cNvPr id="149" name="Shape 2"/>
        <xdr:cNvGrpSpPr/>
      </xdr:nvGrpSpPr>
      <xdr:grpSpPr>
        <a:xfrm>
          <a:off x="1476360" y="3161880"/>
          <a:ext cx="430920" cy="2520"/>
          <a:chOff x="1476360" y="3161880"/>
          <a:chExt cx="430920" cy="2520"/>
        </a:xfrm>
      </xdr:grpSpPr>
      <xdr:cxnSp>
        <xdr:nvCxnSpPr>
          <xdr:cNvPr id="150" name="Shape 112"/>
          <xdr:cNvCxnSpPr/>
        </xdr:nvCxnSpPr>
        <xdr:spPr>
          <a:xfrm>
            <a:off x="1476360" y="3161880"/>
            <a:ext cx="431280" cy="288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535680</xdr:colOff>
      <xdr:row>9</xdr:row>
      <xdr:rowOff>2520</xdr:rowOff>
    </xdr:to>
    <xdr:grpSp>
      <xdr:nvGrpSpPr>
        <xdr:cNvPr id="151" name="Shape 2"/>
        <xdr:cNvGrpSpPr/>
      </xdr:nvGrpSpPr>
      <xdr:grpSpPr>
        <a:xfrm>
          <a:off x="9516600" y="123480"/>
          <a:ext cx="2520" cy="1584000"/>
          <a:chOff x="9516600" y="123480"/>
          <a:chExt cx="2520" cy="1584000"/>
        </a:xfrm>
      </xdr:grpSpPr>
      <xdr:cxnSp>
        <xdr:nvCxnSpPr>
          <xdr:cNvPr id="152" name="Shape 113"/>
          <xdr:cNvCxnSpPr/>
        </xdr:nvCxnSpPr>
        <xdr:spPr>
          <a:xfrm>
            <a:off x="9516600" y="123480"/>
            <a:ext cx="2880" cy="158436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345960</xdr:colOff>
      <xdr:row>0</xdr:row>
      <xdr:rowOff>97560</xdr:rowOff>
    </xdr:to>
    <xdr:grpSp>
      <xdr:nvGrpSpPr>
        <xdr:cNvPr id="153" name="Shape 2"/>
        <xdr:cNvGrpSpPr/>
      </xdr:nvGrpSpPr>
      <xdr:grpSpPr>
        <a:xfrm>
          <a:off x="5116680" y="95040"/>
          <a:ext cx="4212720" cy="2520"/>
          <a:chOff x="5116680" y="95040"/>
          <a:chExt cx="4212720" cy="2520"/>
        </a:xfrm>
      </xdr:grpSpPr>
      <xdr:cxnSp>
        <xdr:nvCxnSpPr>
          <xdr:cNvPr id="154" name="Shape 114"/>
          <xdr:cNvCxnSpPr/>
        </xdr:nvCxnSpPr>
        <xdr:spPr>
          <a:xfrm>
            <a:off x="5116680" y="95040"/>
            <a:ext cx="4213080" cy="288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545400</xdr:colOff>
      <xdr:row>14</xdr:row>
      <xdr:rowOff>107280</xdr:rowOff>
    </xdr:to>
    <xdr:grpSp>
      <xdr:nvGrpSpPr>
        <xdr:cNvPr id="155" name="Shape 2"/>
        <xdr:cNvGrpSpPr/>
      </xdr:nvGrpSpPr>
      <xdr:grpSpPr>
        <a:xfrm>
          <a:off x="9526320" y="2228760"/>
          <a:ext cx="2520" cy="354960"/>
          <a:chOff x="9526320" y="2228760"/>
          <a:chExt cx="2520" cy="354960"/>
        </a:xfrm>
      </xdr:grpSpPr>
      <xdr:cxnSp>
        <xdr:nvCxnSpPr>
          <xdr:cNvPr id="156" name="Shape 115"/>
          <xdr:cNvCxnSpPr/>
        </xdr:nvCxnSpPr>
        <xdr:spPr>
          <a:xfrm>
            <a:off x="9526320" y="2228760"/>
            <a:ext cx="2880" cy="35532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752040</xdr:colOff>
      <xdr:row>14</xdr:row>
      <xdr:rowOff>6840</xdr:rowOff>
    </xdr:to>
    <xdr:sp>
      <xdr:nvSpPr>
        <xdr:cNvPr id="157" name="Shape 116"/>
        <xdr:cNvSpPr/>
      </xdr:nvSpPr>
      <xdr:spPr>
        <a:xfrm>
          <a:off x="1804680" y="1676520"/>
          <a:ext cx="825840" cy="6163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1564560</xdr:colOff>
      <xdr:row>11</xdr:row>
      <xdr:rowOff>135720</xdr:rowOff>
    </xdr:to>
    <xdr:grpSp>
      <xdr:nvGrpSpPr>
        <xdr:cNvPr id="158" name="Shape 2"/>
        <xdr:cNvGrpSpPr/>
      </xdr:nvGrpSpPr>
      <xdr:grpSpPr>
        <a:xfrm>
          <a:off x="2659320" y="1962000"/>
          <a:ext cx="783720" cy="2520"/>
          <a:chOff x="2659320" y="1962000"/>
          <a:chExt cx="783720" cy="2520"/>
        </a:xfrm>
      </xdr:grpSpPr>
      <xdr:cxnSp>
        <xdr:nvCxnSpPr>
          <xdr:cNvPr id="159" name="Shape 117"/>
          <xdr:cNvCxnSpPr/>
        </xdr:nvCxnSpPr>
        <xdr:spPr>
          <a:xfrm>
            <a:off x="2659320" y="1962000"/>
            <a:ext cx="784080" cy="288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597240</xdr:colOff>
      <xdr:row>13</xdr:row>
      <xdr:rowOff>54360</xdr:rowOff>
    </xdr:to>
    <xdr:sp>
      <xdr:nvSpPr>
        <xdr:cNvPr id="160" name="Shape 118"/>
        <xdr:cNvSpPr/>
      </xdr:nvSpPr>
      <xdr:spPr>
        <a:xfrm>
          <a:off x="3516840" y="1762200"/>
          <a:ext cx="606600" cy="4258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10800</xdr:colOff>
      <xdr:row>13</xdr:row>
      <xdr:rowOff>82800</xdr:rowOff>
    </xdr:to>
    <xdr:sp>
      <xdr:nvSpPr>
        <xdr:cNvPr id="161" name="Shape 119"/>
        <xdr:cNvSpPr/>
      </xdr:nvSpPr>
      <xdr:spPr>
        <a:xfrm>
          <a:off x="4795200" y="1743120"/>
          <a:ext cx="654480" cy="4734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602280</xdr:colOff>
      <xdr:row>11</xdr:row>
      <xdr:rowOff>135720</xdr:rowOff>
    </xdr:to>
    <xdr:grpSp>
      <xdr:nvGrpSpPr>
        <xdr:cNvPr id="162" name="Shape 2"/>
        <xdr:cNvGrpSpPr/>
      </xdr:nvGrpSpPr>
      <xdr:grpSpPr>
        <a:xfrm>
          <a:off x="4161600" y="1962000"/>
          <a:ext cx="592920" cy="2520"/>
          <a:chOff x="4161600" y="1962000"/>
          <a:chExt cx="592920" cy="2520"/>
        </a:xfrm>
      </xdr:grpSpPr>
      <xdr:cxnSp>
        <xdr:nvCxnSpPr>
          <xdr:cNvPr id="163" name="Shape 120"/>
          <xdr:cNvCxnSpPr/>
        </xdr:nvCxnSpPr>
        <xdr:spPr>
          <a:xfrm>
            <a:off x="4161600" y="1962000"/>
            <a:ext cx="593280" cy="2880"/>
          </a:xfrm>
          <a:prstGeom prst="straightConnector1">
            <a:avLst/>
          </a:prstGeom>
          <a:ln w="19050">
            <a:solidFill>
              <a:srgbClr val="000000"/>
            </a:solidFill>
            <a:miter/>
          </a:ln>
        </xdr:spPr>
      </xdr:cxnSp>
    </xdr:grpSp>
    <xdr:clientData/>
  </xdr:twoCellAnchor>
  <xdr:twoCellAnchor editAs="oneCell">
    <xdr:from>
      <xdr:col>7</xdr:col>
      <xdr:colOff>564840</xdr:colOff>
      <xdr:row>8</xdr:row>
      <xdr:rowOff>12600</xdr:rowOff>
    </xdr:from>
    <xdr:to>
      <xdr:col>8</xdr:col>
      <xdr:colOff>497880</xdr:colOff>
      <xdr:row>10</xdr:row>
      <xdr:rowOff>123840</xdr:rowOff>
    </xdr:to>
    <xdr:sp>
      <xdr:nvSpPr>
        <xdr:cNvPr id="164" name="Shape 121"/>
        <xdr:cNvSpPr/>
      </xdr:nvSpPr>
      <xdr:spPr>
        <a:xfrm rot="10800000">
          <a:off x="6003720" y="1384200"/>
          <a:ext cx="559080" cy="41616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231120</xdr:colOff>
      <xdr:row>12</xdr:row>
      <xdr:rowOff>2520</xdr:rowOff>
    </xdr:to>
    <xdr:grpSp>
      <xdr:nvGrpSpPr>
        <xdr:cNvPr id="165" name="Shape 2"/>
        <xdr:cNvGrpSpPr/>
      </xdr:nvGrpSpPr>
      <xdr:grpSpPr>
        <a:xfrm>
          <a:off x="6293520" y="1380960"/>
          <a:ext cx="2520" cy="602640"/>
          <a:chOff x="6293520" y="1380960"/>
          <a:chExt cx="2520" cy="602640"/>
        </a:xfrm>
      </xdr:grpSpPr>
      <xdr:cxnSp>
        <xdr:nvCxnSpPr>
          <xdr:cNvPr id="166" name="Shape 122"/>
          <xdr:cNvCxnSpPr/>
        </xdr:nvCxnSpPr>
        <xdr:spPr>
          <a:xfrm>
            <a:off x="6293520" y="1380960"/>
            <a:ext cx="2880" cy="60300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204840</xdr:colOff>
      <xdr:row>11</xdr:row>
      <xdr:rowOff>135720</xdr:rowOff>
    </xdr:to>
    <xdr:grpSp>
      <xdr:nvGrpSpPr>
        <xdr:cNvPr id="167" name="Shape 2"/>
        <xdr:cNvGrpSpPr/>
      </xdr:nvGrpSpPr>
      <xdr:grpSpPr>
        <a:xfrm>
          <a:off x="5467320" y="1962000"/>
          <a:ext cx="802440" cy="2520"/>
          <a:chOff x="5467320" y="1962000"/>
          <a:chExt cx="802440" cy="2520"/>
        </a:xfrm>
      </xdr:grpSpPr>
      <xdr:cxnSp>
        <xdr:nvCxnSpPr>
          <xdr:cNvPr id="168" name="Shape 123"/>
          <xdr:cNvCxnSpPr/>
        </xdr:nvCxnSpPr>
        <xdr:spPr>
          <a:xfrm>
            <a:off x="5467320" y="1962000"/>
            <a:ext cx="802800" cy="288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554760</xdr:colOff>
      <xdr:row>46</xdr:row>
      <xdr:rowOff>78480</xdr:rowOff>
    </xdr:to>
    <xdr:grpSp>
      <xdr:nvGrpSpPr>
        <xdr:cNvPr id="169" name="Shape 2"/>
        <xdr:cNvGrpSpPr/>
      </xdr:nvGrpSpPr>
      <xdr:grpSpPr>
        <a:xfrm>
          <a:off x="6617160" y="7029360"/>
          <a:ext cx="2520" cy="250200"/>
          <a:chOff x="6617160" y="7029360"/>
          <a:chExt cx="2520" cy="250200"/>
        </a:xfrm>
      </xdr:grpSpPr>
      <xdr:cxnSp>
        <xdr:nvCxnSpPr>
          <xdr:cNvPr id="170" name="Shape 124"/>
          <xdr:cNvCxnSpPr/>
        </xdr:nvCxnSpPr>
        <xdr:spPr>
          <a:xfrm>
            <a:off x="6617160" y="7029360"/>
            <a:ext cx="2880" cy="25056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816120</xdr:colOff>
      <xdr:row>49</xdr:row>
      <xdr:rowOff>140040</xdr:rowOff>
    </xdr:to>
    <xdr:sp>
      <xdr:nvSpPr>
        <xdr:cNvPr id="171" name="Shape 125"/>
        <xdr:cNvSpPr/>
      </xdr:nvSpPr>
      <xdr:spPr>
        <a:xfrm>
          <a:off x="1887840" y="7191720"/>
          <a:ext cx="806760" cy="6066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1583640</xdr:colOff>
      <xdr:row>47</xdr:row>
      <xdr:rowOff>116640</xdr:rowOff>
    </xdr:to>
    <xdr:grpSp>
      <xdr:nvGrpSpPr>
        <xdr:cNvPr id="172" name="Shape 2"/>
        <xdr:cNvGrpSpPr/>
      </xdr:nvGrpSpPr>
      <xdr:grpSpPr>
        <a:xfrm>
          <a:off x="2678400" y="7467480"/>
          <a:ext cx="783720" cy="2520"/>
          <a:chOff x="2678400" y="7467480"/>
          <a:chExt cx="783720" cy="2520"/>
        </a:xfrm>
      </xdr:grpSpPr>
      <xdr:cxnSp>
        <xdr:nvCxnSpPr>
          <xdr:cNvPr id="173" name="Shape 117"/>
          <xdr:cNvCxnSpPr/>
        </xdr:nvCxnSpPr>
        <xdr:spPr>
          <a:xfrm>
            <a:off x="2678400" y="7467480"/>
            <a:ext cx="784080" cy="288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4</xdr:col>
      <xdr:colOff>625680</xdr:colOff>
      <xdr:row>49</xdr:row>
      <xdr:rowOff>63720</xdr:rowOff>
    </xdr:to>
    <xdr:sp>
      <xdr:nvSpPr>
        <xdr:cNvPr id="174" name="Shape 126"/>
        <xdr:cNvSpPr/>
      </xdr:nvSpPr>
      <xdr:spPr>
        <a:xfrm>
          <a:off x="3535560" y="7267680"/>
          <a:ext cx="616320" cy="4543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625680</xdr:colOff>
      <xdr:row>49</xdr:row>
      <xdr:rowOff>120960</xdr:rowOff>
    </xdr:to>
    <xdr:sp>
      <xdr:nvSpPr>
        <xdr:cNvPr id="175" name="Shape 127"/>
        <xdr:cNvSpPr/>
      </xdr:nvSpPr>
      <xdr:spPr>
        <a:xfrm>
          <a:off x="4813920" y="7286760"/>
          <a:ext cx="616320" cy="4924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631080</xdr:colOff>
      <xdr:row>47</xdr:row>
      <xdr:rowOff>116640</xdr:rowOff>
    </xdr:to>
    <xdr:grpSp>
      <xdr:nvGrpSpPr>
        <xdr:cNvPr id="176" name="Shape 2"/>
        <xdr:cNvGrpSpPr/>
      </xdr:nvGrpSpPr>
      <xdr:grpSpPr>
        <a:xfrm>
          <a:off x="4180680" y="7467480"/>
          <a:ext cx="602640" cy="2520"/>
          <a:chOff x="4180680" y="7467480"/>
          <a:chExt cx="602640" cy="2520"/>
        </a:xfrm>
      </xdr:grpSpPr>
      <xdr:cxnSp>
        <xdr:nvCxnSpPr>
          <xdr:cNvPr id="177" name="Shape 128"/>
          <xdr:cNvCxnSpPr/>
        </xdr:nvCxnSpPr>
        <xdr:spPr>
          <a:xfrm>
            <a:off x="4180680" y="7467480"/>
            <a:ext cx="603000" cy="2880"/>
          </a:xfrm>
          <a:prstGeom prst="straightConnector1">
            <a:avLst/>
          </a:prstGeom>
          <a:ln w="19050">
            <a:solidFill>
              <a:srgbClr val="000000"/>
            </a:solidFill>
            <a:miter/>
          </a:ln>
        </xdr:spPr>
      </xdr:cxnSp>
    </xdr:grpSp>
    <xdr:clientData/>
  </xdr:twoCellAnchor>
  <xdr:twoCellAnchor editAs="oneCell">
    <xdr:from>
      <xdr:col>8</xdr:col>
      <xdr:colOff>2880</xdr:colOff>
      <xdr:row>44</xdr:row>
      <xdr:rowOff>2880</xdr:rowOff>
    </xdr:from>
    <xdr:to>
      <xdr:col>8</xdr:col>
      <xdr:colOff>552600</xdr:colOff>
      <xdr:row>46</xdr:row>
      <xdr:rowOff>114120</xdr:rowOff>
    </xdr:to>
    <xdr:sp>
      <xdr:nvSpPr>
        <xdr:cNvPr id="178" name="Shape 129"/>
        <xdr:cNvSpPr/>
      </xdr:nvSpPr>
      <xdr:spPr>
        <a:xfrm rot="10800000">
          <a:off x="6067800" y="6899040"/>
          <a:ext cx="549720" cy="41616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259560</xdr:colOff>
      <xdr:row>47</xdr:row>
      <xdr:rowOff>135720</xdr:rowOff>
    </xdr:to>
    <xdr:grpSp>
      <xdr:nvGrpSpPr>
        <xdr:cNvPr id="179" name="Shape 2"/>
        <xdr:cNvGrpSpPr/>
      </xdr:nvGrpSpPr>
      <xdr:grpSpPr>
        <a:xfrm>
          <a:off x="6321960" y="6905520"/>
          <a:ext cx="2520" cy="583560"/>
          <a:chOff x="6321960" y="6905520"/>
          <a:chExt cx="2520" cy="583560"/>
        </a:xfrm>
      </xdr:grpSpPr>
      <xdr:cxnSp>
        <xdr:nvCxnSpPr>
          <xdr:cNvPr id="180" name="Shape 130"/>
          <xdr:cNvCxnSpPr/>
        </xdr:nvCxnSpPr>
        <xdr:spPr>
          <a:xfrm>
            <a:off x="6321960" y="6905520"/>
            <a:ext cx="2880" cy="58392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223920</xdr:colOff>
      <xdr:row>47</xdr:row>
      <xdr:rowOff>116640</xdr:rowOff>
    </xdr:to>
    <xdr:grpSp>
      <xdr:nvGrpSpPr>
        <xdr:cNvPr id="181" name="Shape 2"/>
        <xdr:cNvGrpSpPr/>
      </xdr:nvGrpSpPr>
      <xdr:grpSpPr>
        <a:xfrm>
          <a:off x="5457600" y="7467480"/>
          <a:ext cx="831240" cy="2520"/>
          <a:chOff x="5457600" y="7467480"/>
          <a:chExt cx="831240" cy="2520"/>
        </a:xfrm>
      </xdr:grpSpPr>
      <xdr:cxnSp>
        <xdr:nvCxnSpPr>
          <xdr:cNvPr id="182" name="Shape 131"/>
          <xdr:cNvCxnSpPr/>
        </xdr:nvCxnSpPr>
        <xdr:spPr>
          <a:xfrm>
            <a:off x="5457600" y="7467480"/>
            <a:ext cx="831600" cy="288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1321200</xdr:colOff>
      <xdr:row>11</xdr:row>
      <xdr:rowOff>25920</xdr:rowOff>
    </xdr:to>
    <xdr:sp>
      <xdr:nvSpPr>
        <xdr:cNvPr id="183" name="Shape 132"/>
        <xdr:cNvSpPr/>
      </xdr:nvSpPr>
      <xdr:spPr>
        <a:xfrm>
          <a:off x="2850120" y="1676520"/>
          <a:ext cx="3495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507240</xdr:colOff>
      <xdr:row>11</xdr:row>
      <xdr:rowOff>87840</xdr:rowOff>
    </xdr:to>
    <xdr:grpSp>
      <xdr:nvGrpSpPr>
        <xdr:cNvPr id="184" name="Shape 2"/>
        <xdr:cNvGrpSpPr/>
      </xdr:nvGrpSpPr>
      <xdr:grpSpPr>
        <a:xfrm>
          <a:off x="6569640" y="1657080"/>
          <a:ext cx="2520" cy="259560"/>
          <a:chOff x="6569640" y="1657080"/>
          <a:chExt cx="2520" cy="259560"/>
        </a:xfrm>
      </xdr:grpSpPr>
      <xdr:cxnSp>
        <xdr:nvCxnSpPr>
          <xdr:cNvPr id="185" name="Shape 133"/>
          <xdr:cNvCxnSpPr/>
        </xdr:nvCxnSpPr>
        <xdr:spPr>
          <a:xfrm>
            <a:off x="6569640" y="1657080"/>
            <a:ext cx="2880" cy="25992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288720</xdr:colOff>
      <xdr:row>9</xdr:row>
      <xdr:rowOff>2880</xdr:rowOff>
    </xdr:from>
    <xdr:to>
      <xdr:col>3</xdr:col>
      <xdr:colOff>259560</xdr:colOff>
      <xdr:row>12</xdr:row>
      <xdr:rowOff>95400</xdr:rowOff>
    </xdr:to>
    <xdr:sp>
      <xdr:nvSpPr>
        <xdr:cNvPr id="186" name="Shape 134"/>
        <xdr:cNvSpPr/>
      </xdr:nvSpPr>
      <xdr:spPr>
        <a:xfrm rot="10800000">
          <a:off x="1540800" y="1488960"/>
          <a:ext cx="597240" cy="54972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609840</xdr:colOff>
      <xdr:row>15</xdr:row>
      <xdr:rowOff>11880</xdr:rowOff>
    </xdr:to>
    <xdr:grpSp>
      <xdr:nvGrpSpPr>
        <xdr:cNvPr id="187" name="Shape 2"/>
        <xdr:cNvGrpSpPr/>
      </xdr:nvGrpSpPr>
      <xdr:grpSpPr>
        <a:xfrm>
          <a:off x="1859400" y="1486080"/>
          <a:ext cx="2520" cy="926280"/>
          <a:chOff x="1859400" y="1486080"/>
          <a:chExt cx="2520" cy="926280"/>
        </a:xfrm>
      </xdr:grpSpPr>
      <xdr:cxnSp>
        <xdr:nvCxnSpPr>
          <xdr:cNvPr id="188" name="Shape 135"/>
          <xdr:cNvCxnSpPr/>
        </xdr:nvCxnSpPr>
        <xdr:spPr>
          <a:xfrm>
            <a:off x="1859400" y="1486080"/>
            <a:ext cx="2880" cy="92664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592920</xdr:colOff>
      <xdr:row>14</xdr:row>
      <xdr:rowOff>145440</xdr:rowOff>
    </xdr:to>
    <xdr:grpSp>
      <xdr:nvGrpSpPr>
        <xdr:cNvPr id="189" name="Shape 2"/>
        <xdr:cNvGrpSpPr/>
      </xdr:nvGrpSpPr>
      <xdr:grpSpPr>
        <a:xfrm>
          <a:off x="1887840" y="2390760"/>
          <a:ext cx="583560" cy="2520"/>
          <a:chOff x="1887840" y="2390760"/>
          <a:chExt cx="583560" cy="2520"/>
        </a:xfrm>
      </xdr:grpSpPr>
      <xdr:cxnSp>
        <xdr:nvCxnSpPr>
          <xdr:cNvPr id="190" name="Shape 136"/>
          <xdr:cNvCxnSpPr/>
        </xdr:nvCxnSpPr>
        <xdr:spPr>
          <a:xfrm>
            <a:off x="1887840" y="2390760"/>
            <a:ext cx="583920" cy="288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257040</xdr:colOff>
      <xdr:row>17</xdr:row>
      <xdr:rowOff>6840</xdr:rowOff>
    </xdr:to>
    <xdr:sp>
      <xdr:nvSpPr>
        <xdr:cNvPr id="191" name="Shape 137"/>
        <xdr:cNvSpPr/>
      </xdr:nvSpPr>
      <xdr:spPr>
        <a:xfrm>
          <a:off x="2504520" y="2095560"/>
          <a:ext cx="883080" cy="6163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257040</xdr:colOff>
      <xdr:row>17</xdr:row>
      <xdr:rowOff>6840</xdr:rowOff>
    </xdr:to>
    <xdr:sp>
      <xdr:nvSpPr>
        <xdr:cNvPr id="192" name="Shape 137"/>
        <xdr:cNvSpPr/>
      </xdr:nvSpPr>
      <xdr:spPr>
        <a:xfrm>
          <a:off x="3756600" y="2095560"/>
          <a:ext cx="883080" cy="6163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2880</xdr:colOff>
      <xdr:row>12</xdr:row>
      <xdr:rowOff>66600</xdr:rowOff>
    </xdr:from>
    <xdr:to>
      <xdr:col>9</xdr:col>
      <xdr:colOff>176040</xdr:colOff>
      <xdr:row>17</xdr:row>
      <xdr:rowOff>92520</xdr:rowOff>
    </xdr:to>
    <xdr:sp>
      <xdr:nvSpPr>
        <xdr:cNvPr id="193" name="Shape 138"/>
        <xdr:cNvSpPr/>
      </xdr:nvSpPr>
      <xdr:spPr>
        <a:xfrm rot="5400000">
          <a:off x="5202360" y="1819440"/>
          <a:ext cx="787680" cy="116856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592920</xdr:colOff>
      <xdr:row>14</xdr:row>
      <xdr:rowOff>136080</xdr:rowOff>
    </xdr:to>
    <xdr:grpSp>
      <xdr:nvGrpSpPr>
        <xdr:cNvPr id="194" name="Shape 2"/>
        <xdr:cNvGrpSpPr/>
      </xdr:nvGrpSpPr>
      <xdr:grpSpPr>
        <a:xfrm>
          <a:off x="3416040" y="2381400"/>
          <a:ext cx="307440" cy="2520"/>
          <a:chOff x="3416040" y="2381400"/>
          <a:chExt cx="307440" cy="2520"/>
        </a:xfrm>
      </xdr:grpSpPr>
      <xdr:cxnSp>
        <xdr:nvCxnSpPr>
          <xdr:cNvPr id="195" name="Shape 139"/>
          <xdr:cNvCxnSpPr/>
        </xdr:nvCxnSpPr>
        <xdr:spPr>
          <a:xfrm>
            <a:off x="3416040" y="2381400"/>
            <a:ext cx="307800" cy="288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583200</xdr:colOff>
      <xdr:row>14</xdr:row>
      <xdr:rowOff>136080</xdr:rowOff>
    </xdr:to>
    <xdr:grpSp>
      <xdr:nvGrpSpPr>
        <xdr:cNvPr id="196" name="Shape 2"/>
        <xdr:cNvGrpSpPr/>
      </xdr:nvGrpSpPr>
      <xdr:grpSpPr>
        <a:xfrm>
          <a:off x="4668120" y="2381400"/>
          <a:ext cx="297720" cy="2520"/>
          <a:chOff x="4668120" y="2381400"/>
          <a:chExt cx="297720" cy="2520"/>
        </a:xfrm>
      </xdr:grpSpPr>
      <xdr:cxnSp>
        <xdr:nvCxnSpPr>
          <xdr:cNvPr id="197" name="Shape 140"/>
          <xdr:cNvCxnSpPr/>
        </xdr:nvCxnSpPr>
        <xdr:spPr>
          <a:xfrm>
            <a:off x="4668120" y="2381400"/>
            <a:ext cx="298080" cy="288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669240</xdr:colOff>
      <xdr:row>14</xdr:row>
      <xdr:rowOff>136080</xdr:rowOff>
    </xdr:to>
    <xdr:grpSp>
      <xdr:nvGrpSpPr>
        <xdr:cNvPr id="198" name="Shape 2"/>
        <xdr:cNvGrpSpPr/>
      </xdr:nvGrpSpPr>
      <xdr:grpSpPr>
        <a:xfrm>
          <a:off x="6213960" y="2381400"/>
          <a:ext cx="459720" cy="2520"/>
          <a:chOff x="6213960" y="2381400"/>
          <a:chExt cx="459720" cy="2520"/>
        </a:xfrm>
      </xdr:grpSpPr>
      <xdr:cxnSp>
        <xdr:nvCxnSpPr>
          <xdr:cNvPr id="199" name="Shape 141"/>
          <xdr:cNvCxnSpPr/>
        </xdr:nvCxnSpPr>
        <xdr:spPr>
          <a:xfrm>
            <a:off x="6213960" y="2381400"/>
            <a:ext cx="460080" cy="288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359280</xdr:colOff>
      <xdr:row>15</xdr:row>
      <xdr:rowOff>44640</xdr:rowOff>
    </xdr:to>
    <xdr:sp>
      <xdr:nvSpPr>
        <xdr:cNvPr id="200" name="Shape 142"/>
        <xdr:cNvSpPr/>
      </xdr:nvSpPr>
      <xdr:spPr>
        <a:xfrm>
          <a:off x="7867800" y="2362320"/>
          <a:ext cx="73440" cy="8280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292320</xdr:colOff>
      <xdr:row>15</xdr:row>
      <xdr:rowOff>92160</xdr:rowOff>
    </xdr:to>
    <xdr:sp>
      <xdr:nvSpPr>
        <xdr:cNvPr id="201" name="Shape 143"/>
        <xdr:cNvSpPr/>
      </xdr:nvSpPr>
      <xdr:spPr>
        <a:xfrm>
          <a:off x="5056560" y="2314440"/>
          <a:ext cx="2448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37440</xdr:rowOff>
    </xdr:from>
    <xdr:to>
      <xdr:col>21</xdr:col>
      <xdr:colOff>113040</xdr:colOff>
      <xdr:row>54</xdr:row>
      <xdr:rowOff>68760</xdr:rowOff>
    </xdr:to>
    <xdr:grpSp>
      <xdr:nvGrpSpPr>
        <xdr:cNvPr id="202" name="Shape 2"/>
        <xdr:cNvGrpSpPr/>
      </xdr:nvGrpSpPr>
      <xdr:grpSpPr>
        <a:xfrm>
          <a:off x="13655160" y="8076600"/>
          <a:ext cx="335880" cy="336240"/>
          <a:chOff x="13655160" y="8076600"/>
          <a:chExt cx="335880" cy="336240"/>
        </a:xfrm>
      </xdr:grpSpPr>
      <xdr:cxnSp>
        <xdr:nvCxnSpPr>
          <xdr:cNvPr id="203" name="Shape 144"/>
          <xdr:cNvCxnSpPr/>
        </xdr:nvCxnSpPr>
        <xdr:spPr>
          <a:xfrm flipV="1">
            <a:off x="13655160" y="8076600"/>
            <a:ext cx="336240" cy="33660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18720</xdr:colOff>
      <xdr:row>16</xdr:row>
      <xdr:rowOff>6840</xdr:rowOff>
    </xdr:to>
    <xdr:sp>
      <xdr:nvSpPr>
        <xdr:cNvPr id="204" name="Shape 145"/>
        <xdr:cNvSpPr/>
      </xdr:nvSpPr>
      <xdr:spPr>
        <a:xfrm>
          <a:off x="3823200" y="2219400"/>
          <a:ext cx="578160" cy="340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549720</xdr:colOff>
      <xdr:row>16</xdr:row>
      <xdr:rowOff>73080</xdr:rowOff>
    </xdr:to>
    <xdr:sp>
      <xdr:nvSpPr>
        <xdr:cNvPr id="205" name="Shape 146"/>
        <xdr:cNvSpPr/>
      </xdr:nvSpPr>
      <xdr:spPr>
        <a:xfrm>
          <a:off x="2647440" y="2143080"/>
          <a:ext cx="406800" cy="4827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2880</xdr:colOff>
      <xdr:row>13</xdr:row>
      <xdr:rowOff>9360</xdr:rowOff>
    </xdr:from>
    <xdr:to>
      <xdr:col>10</xdr:col>
      <xdr:colOff>561960</xdr:colOff>
      <xdr:row>16</xdr:row>
      <xdr:rowOff>111240</xdr:rowOff>
    </xdr:to>
    <xdr:sp>
      <xdr:nvSpPr>
        <xdr:cNvPr id="206" name="Shape 147"/>
        <xdr:cNvSpPr/>
      </xdr:nvSpPr>
      <xdr:spPr>
        <a:xfrm rot="5400000">
          <a:off x="6712200" y="2104920"/>
          <a:ext cx="559080" cy="55908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6120</xdr:colOff>
      <xdr:row>14</xdr:row>
      <xdr:rowOff>136080</xdr:rowOff>
    </xdr:to>
    <xdr:grpSp>
      <xdr:nvGrpSpPr>
        <xdr:cNvPr id="207" name="Shape 2"/>
        <xdr:cNvGrpSpPr/>
      </xdr:nvGrpSpPr>
      <xdr:grpSpPr>
        <a:xfrm>
          <a:off x="7271280" y="2381400"/>
          <a:ext cx="316800" cy="2520"/>
          <a:chOff x="7271280" y="2381400"/>
          <a:chExt cx="316800" cy="2520"/>
        </a:xfrm>
      </xdr:grpSpPr>
      <xdr:cxnSp>
        <xdr:nvCxnSpPr>
          <xdr:cNvPr id="208" name="Shape 148"/>
          <xdr:cNvCxnSpPr/>
        </xdr:nvCxnSpPr>
        <xdr:spPr>
          <a:xfrm>
            <a:off x="7271280" y="2381400"/>
            <a:ext cx="317160" cy="288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619200</xdr:colOff>
      <xdr:row>12</xdr:row>
      <xdr:rowOff>50040</xdr:rowOff>
    </xdr:to>
    <xdr:grpSp>
      <xdr:nvGrpSpPr>
        <xdr:cNvPr id="209" name="Shape 2"/>
        <xdr:cNvGrpSpPr/>
      </xdr:nvGrpSpPr>
      <xdr:grpSpPr>
        <a:xfrm>
          <a:off x="4999320" y="1486080"/>
          <a:ext cx="2520" cy="507240"/>
          <a:chOff x="4999320" y="1486080"/>
          <a:chExt cx="2520" cy="507240"/>
        </a:xfrm>
      </xdr:grpSpPr>
      <xdr:cxnSp>
        <xdr:nvCxnSpPr>
          <xdr:cNvPr id="210" name="Shape 149"/>
          <xdr:cNvCxnSpPr/>
        </xdr:nvCxnSpPr>
        <xdr:spPr>
          <a:xfrm>
            <a:off x="4999320" y="1486080"/>
            <a:ext cx="2880" cy="50760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554760</xdr:colOff>
      <xdr:row>21</xdr:row>
      <xdr:rowOff>21240</xdr:rowOff>
    </xdr:to>
    <xdr:grpSp>
      <xdr:nvGrpSpPr>
        <xdr:cNvPr id="211" name="Shape 2"/>
        <xdr:cNvGrpSpPr/>
      </xdr:nvGrpSpPr>
      <xdr:grpSpPr>
        <a:xfrm>
          <a:off x="4934880" y="2819160"/>
          <a:ext cx="2520" cy="516960"/>
          <a:chOff x="4934880" y="2819160"/>
          <a:chExt cx="2520" cy="516960"/>
        </a:xfrm>
      </xdr:grpSpPr>
      <xdr:cxnSp>
        <xdr:nvCxnSpPr>
          <xdr:cNvPr id="212" name="Shape 150"/>
          <xdr:cNvCxnSpPr/>
        </xdr:nvCxnSpPr>
        <xdr:spPr>
          <a:xfrm>
            <a:off x="4934880" y="2819160"/>
            <a:ext cx="2880" cy="51732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688320</xdr:colOff>
      <xdr:row>13</xdr:row>
      <xdr:rowOff>21600</xdr:rowOff>
    </xdr:to>
    <xdr:grpSp>
      <xdr:nvGrpSpPr>
        <xdr:cNvPr id="213" name="Shape 2"/>
        <xdr:cNvGrpSpPr/>
      </xdr:nvGrpSpPr>
      <xdr:grpSpPr>
        <a:xfrm>
          <a:off x="6690240" y="1600200"/>
          <a:ext cx="2520" cy="516960"/>
          <a:chOff x="6690240" y="1600200"/>
          <a:chExt cx="2520" cy="516960"/>
        </a:xfrm>
      </xdr:grpSpPr>
      <xdr:cxnSp>
        <xdr:nvCxnSpPr>
          <xdr:cNvPr id="214" name="Shape 150"/>
          <xdr:cNvCxnSpPr/>
        </xdr:nvCxnSpPr>
        <xdr:spPr>
          <a:xfrm>
            <a:off x="6690240" y="1600200"/>
            <a:ext cx="2880" cy="51732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688320</xdr:colOff>
      <xdr:row>20</xdr:row>
      <xdr:rowOff>50040</xdr:rowOff>
    </xdr:to>
    <xdr:grpSp>
      <xdr:nvGrpSpPr>
        <xdr:cNvPr id="215" name="Shape 2"/>
        <xdr:cNvGrpSpPr/>
      </xdr:nvGrpSpPr>
      <xdr:grpSpPr>
        <a:xfrm>
          <a:off x="6690240" y="2685960"/>
          <a:ext cx="2520" cy="526320"/>
          <a:chOff x="6690240" y="2685960"/>
          <a:chExt cx="2520" cy="526320"/>
        </a:xfrm>
      </xdr:grpSpPr>
      <xdr:cxnSp>
        <xdr:nvCxnSpPr>
          <xdr:cNvPr id="216" name="Shape 151"/>
          <xdr:cNvCxnSpPr/>
        </xdr:nvCxnSpPr>
        <xdr:spPr>
          <a:xfrm>
            <a:off x="6690240" y="2685960"/>
            <a:ext cx="2880" cy="52668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368280</xdr:colOff>
      <xdr:row>16</xdr:row>
      <xdr:rowOff>44640</xdr:rowOff>
    </xdr:to>
    <xdr:sp>
      <xdr:nvSpPr>
        <xdr:cNvPr id="217" name="Shape 152"/>
        <xdr:cNvSpPr/>
      </xdr:nvSpPr>
      <xdr:spPr>
        <a:xfrm>
          <a:off x="6718680" y="2247840"/>
          <a:ext cx="358920" cy="34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387720</xdr:colOff>
      <xdr:row>19</xdr:row>
      <xdr:rowOff>16200</xdr:rowOff>
    </xdr:to>
    <xdr:sp>
      <xdr:nvSpPr>
        <xdr:cNvPr id="218" name="Shape 153"/>
        <xdr:cNvSpPr/>
      </xdr:nvSpPr>
      <xdr:spPr>
        <a:xfrm>
          <a:off x="4061520" y="2857680"/>
          <a:ext cx="82800" cy="16848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482760</xdr:colOff>
      <xdr:row>18</xdr:row>
      <xdr:rowOff>25560</xdr:rowOff>
    </xdr:to>
    <xdr:sp>
      <xdr:nvSpPr>
        <xdr:cNvPr id="219" name="Shape 154"/>
        <xdr:cNvSpPr/>
      </xdr:nvSpPr>
      <xdr:spPr>
        <a:xfrm>
          <a:off x="3985200" y="2705040"/>
          <a:ext cx="2541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240480</xdr:colOff>
      <xdr:row>17</xdr:row>
      <xdr:rowOff>59400</xdr:rowOff>
    </xdr:to>
    <xdr:grpSp>
      <xdr:nvGrpSpPr>
        <xdr:cNvPr id="220" name="Shape 2"/>
        <xdr:cNvGrpSpPr/>
      </xdr:nvGrpSpPr>
      <xdr:grpSpPr>
        <a:xfrm>
          <a:off x="3756600" y="2761920"/>
          <a:ext cx="240480" cy="2520"/>
          <a:chOff x="3756600" y="2761920"/>
          <a:chExt cx="240480" cy="2520"/>
        </a:xfrm>
      </xdr:grpSpPr>
      <xdr:cxnSp>
        <xdr:nvCxnSpPr>
          <xdr:cNvPr id="221" name="Shape 155"/>
          <xdr:cNvCxnSpPr/>
        </xdr:nvCxnSpPr>
        <xdr:spPr>
          <a:xfrm flipH="1">
            <a:off x="3756600" y="2761920"/>
            <a:ext cx="240840" cy="288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259560</xdr:colOff>
      <xdr:row>17</xdr:row>
      <xdr:rowOff>59400</xdr:rowOff>
    </xdr:to>
    <xdr:grpSp>
      <xdr:nvGrpSpPr>
        <xdr:cNvPr id="222" name="Shape 2"/>
        <xdr:cNvGrpSpPr/>
      </xdr:nvGrpSpPr>
      <xdr:grpSpPr>
        <a:xfrm>
          <a:off x="4392000" y="2761920"/>
          <a:ext cx="250200" cy="2520"/>
          <a:chOff x="4392000" y="2761920"/>
          <a:chExt cx="250200" cy="2520"/>
        </a:xfrm>
      </xdr:grpSpPr>
      <xdr:cxnSp>
        <xdr:nvCxnSpPr>
          <xdr:cNvPr id="223" name="Shape 156"/>
          <xdr:cNvCxnSpPr/>
        </xdr:nvCxnSpPr>
        <xdr:spPr>
          <a:xfrm>
            <a:off x="4392000" y="2761920"/>
            <a:ext cx="250560" cy="288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195480</xdr:colOff>
      <xdr:row>17</xdr:row>
      <xdr:rowOff>69120</xdr:rowOff>
    </xdr:to>
    <xdr:grpSp>
      <xdr:nvGrpSpPr>
        <xdr:cNvPr id="224" name="Shape 2"/>
        <xdr:cNvGrpSpPr/>
      </xdr:nvGrpSpPr>
      <xdr:grpSpPr>
        <a:xfrm>
          <a:off x="2449440" y="2771640"/>
          <a:ext cx="250560" cy="2520"/>
          <a:chOff x="2449440" y="2771640"/>
          <a:chExt cx="250560" cy="2520"/>
        </a:xfrm>
      </xdr:grpSpPr>
      <xdr:cxnSp>
        <xdr:nvCxnSpPr>
          <xdr:cNvPr id="225" name="Shape 157"/>
          <xdr:cNvCxnSpPr/>
        </xdr:nvCxnSpPr>
        <xdr:spPr>
          <a:xfrm flipH="1">
            <a:off x="2449440" y="2771640"/>
            <a:ext cx="250920" cy="288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268920</xdr:colOff>
      <xdr:row>17</xdr:row>
      <xdr:rowOff>59400</xdr:rowOff>
    </xdr:to>
    <xdr:grpSp>
      <xdr:nvGrpSpPr>
        <xdr:cNvPr id="226" name="Shape 2"/>
        <xdr:cNvGrpSpPr/>
      </xdr:nvGrpSpPr>
      <xdr:grpSpPr>
        <a:xfrm>
          <a:off x="3149280" y="2761920"/>
          <a:ext cx="250200" cy="2520"/>
          <a:chOff x="3149280" y="2761920"/>
          <a:chExt cx="250200" cy="2520"/>
        </a:xfrm>
      </xdr:grpSpPr>
      <xdr:cxnSp>
        <xdr:nvCxnSpPr>
          <xdr:cNvPr id="227" name="Shape 156"/>
          <xdr:cNvCxnSpPr/>
        </xdr:nvCxnSpPr>
        <xdr:spPr>
          <a:xfrm>
            <a:off x="3149280" y="2761920"/>
            <a:ext cx="250560" cy="288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520920</xdr:colOff>
      <xdr:row>18</xdr:row>
      <xdr:rowOff>25560</xdr:rowOff>
    </xdr:to>
    <xdr:sp>
      <xdr:nvSpPr>
        <xdr:cNvPr id="228" name="Shape 158"/>
        <xdr:cNvSpPr/>
      </xdr:nvSpPr>
      <xdr:spPr>
        <a:xfrm>
          <a:off x="2733120" y="2705040"/>
          <a:ext cx="2923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47160</xdr:rowOff>
    </xdr:from>
    <xdr:to>
      <xdr:col>17</xdr:col>
      <xdr:colOff>268920</xdr:colOff>
      <xdr:row>65</xdr:row>
      <xdr:rowOff>40680</xdr:rowOff>
    </xdr:to>
    <xdr:grpSp>
      <xdr:nvGrpSpPr>
        <xdr:cNvPr id="229" name="Shape 2"/>
        <xdr:cNvGrpSpPr/>
      </xdr:nvGrpSpPr>
      <xdr:grpSpPr>
        <a:xfrm>
          <a:off x="11604960" y="9762840"/>
          <a:ext cx="2520" cy="298080"/>
          <a:chOff x="11604960" y="9762840"/>
          <a:chExt cx="2520" cy="298080"/>
        </a:xfrm>
      </xdr:grpSpPr>
      <xdr:cxnSp>
        <xdr:nvCxnSpPr>
          <xdr:cNvPr id="230" name="Shape 159"/>
          <xdr:cNvCxnSpPr/>
        </xdr:nvCxnSpPr>
        <xdr:spPr>
          <a:xfrm flipV="1">
            <a:off x="11604960" y="9762840"/>
            <a:ext cx="2880" cy="29844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268920</xdr:colOff>
      <xdr:row>61</xdr:row>
      <xdr:rowOff>78480</xdr:rowOff>
    </xdr:to>
    <xdr:grpSp>
      <xdr:nvGrpSpPr>
        <xdr:cNvPr id="231" name="Shape 2"/>
        <xdr:cNvGrpSpPr/>
      </xdr:nvGrpSpPr>
      <xdr:grpSpPr>
        <a:xfrm>
          <a:off x="11604960" y="9181800"/>
          <a:ext cx="2520" cy="307440"/>
          <a:chOff x="11604960" y="9181800"/>
          <a:chExt cx="2520" cy="307440"/>
        </a:xfrm>
      </xdr:grpSpPr>
      <xdr:cxnSp>
        <xdr:nvCxnSpPr>
          <xdr:cNvPr id="232" name="Shape 160"/>
          <xdr:cNvCxnSpPr/>
        </xdr:nvCxnSpPr>
        <xdr:spPr>
          <a:xfrm flipV="1">
            <a:off x="11604960" y="9181800"/>
            <a:ext cx="2880" cy="30780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47160</xdr:rowOff>
    </xdr:from>
    <xdr:to>
      <xdr:col>20</xdr:col>
      <xdr:colOff>278640</xdr:colOff>
      <xdr:row>65</xdr:row>
      <xdr:rowOff>40680</xdr:rowOff>
    </xdr:to>
    <xdr:grpSp>
      <xdr:nvGrpSpPr>
        <xdr:cNvPr id="233" name="Shape 2"/>
        <xdr:cNvGrpSpPr/>
      </xdr:nvGrpSpPr>
      <xdr:grpSpPr>
        <a:xfrm>
          <a:off x="13493160" y="9762840"/>
          <a:ext cx="2520" cy="298080"/>
          <a:chOff x="13493160" y="9762840"/>
          <a:chExt cx="2520" cy="298080"/>
        </a:xfrm>
      </xdr:grpSpPr>
      <xdr:cxnSp>
        <xdr:nvCxnSpPr>
          <xdr:cNvPr id="234" name="Shape 159"/>
          <xdr:cNvCxnSpPr/>
        </xdr:nvCxnSpPr>
        <xdr:spPr>
          <a:xfrm flipV="1">
            <a:off x="13493160" y="9762840"/>
            <a:ext cx="2880" cy="29844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278640</xdr:colOff>
      <xdr:row>61</xdr:row>
      <xdr:rowOff>78480</xdr:rowOff>
    </xdr:to>
    <xdr:grpSp>
      <xdr:nvGrpSpPr>
        <xdr:cNvPr id="235" name="Shape 2"/>
        <xdr:cNvGrpSpPr/>
      </xdr:nvGrpSpPr>
      <xdr:grpSpPr>
        <a:xfrm>
          <a:off x="13493160" y="9181800"/>
          <a:ext cx="2520" cy="307440"/>
          <a:chOff x="13493160" y="9181800"/>
          <a:chExt cx="2520" cy="307440"/>
        </a:xfrm>
      </xdr:grpSpPr>
      <xdr:cxnSp>
        <xdr:nvCxnSpPr>
          <xdr:cNvPr id="236" name="Shape 160"/>
          <xdr:cNvCxnSpPr/>
        </xdr:nvCxnSpPr>
        <xdr:spPr>
          <a:xfrm flipV="1">
            <a:off x="13493160" y="9181800"/>
            <a:ext cx="2880" cy="30780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540000</xdr:colOff>
      <xdr:row>68</xdr:row>
      <xdr:rowOff>130680</xdr:rowOff>
    </xdr:to>
    <xdr:sp>
      <xdr:nvSpPr>
        <xdr:cNvPr id="237" name="Shape 161"/>
        <xdr:cNvSpPr/>
      </xdr:nvSpPr>
      <xdr:spPr>
        <a:xfrm>
          <a:off x="8957880" y="7886880"/>
          <a:ext cx="416160" cy="27212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288720</xdr:colOff>
      <xdr:row>80</xdr:row>
      <xdr:rowOff>2880</xdr:rowOff>
    </xdr:from>
    <xdr:to>
      <xdr:col>3</xdr:col>
      <xdr:colOff>259560</xdr:colOff>
      <xdr:row>83</xdr:row>
      <xdr:rowOff>95400</xdr:rowOff>
    </xdr:to>
    <xdr:sp>
      <xdr:nvSpPr>
        <xdr:cNvPr id="238" name="Shape 134"/>
        <xdr:cNvSpPr/>
      </xdr:nvSpPr>
      <xdr:spPr>
        <a:xfrm rot="10800000">
          <a:off x="1540800" y="12347280"/>
          <a:ext cx="597240" cy="54972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609840</xdr:colOff>
      <xdr:row>86</xdr:row>
      <xdr:rowOff>11880</xdr:rowOff>
    </xdr:to>
    <xdr:grpSp>
      <xdr:nvGrpSpPr>
        <xdr:cNvPr id="239" name="Shape 2"/>
        <xdr:cNvGrpSpPr/>
      </xdr:nvGrpSpPr>
      <xdr:grpSpPr>
        <a:xfrm>
          <a:off x="1859400" y="12344400"/>
          <a:ext cx="2520" cy="926280"/>
          <a:chOff x="1859400" y="12344400"/>
          <a:chExt cx="2520" cy="926280"/>
        </a:xfrm>
      </xdr:grpSpPr>
      <xdr:cxnSp>
        <xdr:nvCxnSpPr>
          <xdr:cNvPr id="240" name="Shape 135"/>
          <xdr:cNvCxnSpPr/>
        </xdr:nvCxnSpPr>
        <xdr:spPr>
          <a:xfrm>
            <a:off x="1859400" y="12344400"/>
            <a:ext cx="2880" cy="92664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592920</xdr:colOff>
      <xdr:row>85</xdr:row>
      <xdr:rowOff>145080</xdr:rowOff>
    </xdr:to>
    <xdr:grpSp>
      <xdr:nvGrpSpPr>
        <xdr:cNvPr id="241" name="Shape 2"/>
        <xdr:cNvGrpSpPr/>
      </xdr:nvGrpSpPr>
      <xdr:grpSpPr>
        <a:xfrm>
          <a:off x="1887840" y="13249080"/>
          <a:ext cx="583560" cy="2520"/>
          <a:chOff x="1887840" y="13249080"/>
          <a:chExt cx="583560" cy="2520"/>
        </a:xfrm>
      </xdr:grpSpPr>
      <xdr:cxnSp>
        <xdr:nvCxnSpPr>
          <xdr:cNvPr id="242" name="Shape 136"/>
          <xdr:cNvCxnSpPr/>
        </xdr:nvCxnSpPr>
        <xdr:spPr>
          <a:xfrm>
            <a:off x="1887840" y="13249080"/>
            <a:ext cx="583920" cy="288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257040</xdr:colOff>
      <xdr:row>88</xdr:row>
      <xdr:rowOff>6480</xdr:rowOff>
    </xdr:to>
    <xdr:sp>
      <xdr:nvSpPr>
        <xdr:cNvPr id="243" name="Shape 137"/>
        <xdr:cNvSpPr/>
      </xdr:nvSpPr>
      <xdr:spPr>
        <a:xfrm>
          <a:off x="2504520" y="12953880"/>
          <a:ext cx="883080" cy="6163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257040</xdr:colOff>
      <xdr:row>88</xdr:row>
      <xdr:rowOff>6480</xdr:rowOff>
    </xdr:to>
    <xdr:sp>
      <xdr:nvSpPr>
        <xdr:cNvPr id="244" name="Shape 137"/>
        <xdr:cNvSpPr/>
      </xdr:nvSpPr>
      <xdr:spPr>
        <a:xfrm>
          <a:off x="3756600" y="12953880"/>
          <a:ext cx="883080" cy="6163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2880</xdr:colOff>
      <xdr:row>84</xdr:row>
      <xdr:rowOff>0</xdr:rowOff>
    </xdr:from>
    <xdr:to>
      <xdr:col>8</xdr:col>
      <xdr:colOff>581040</xdr:colOff>
      <xdr:row>87</xdr:row>
      <xdr:rowOff>130320</xdr:rowOff>
    </xdr:to>
    <xdr:sp>
      <xdr:nvSpPr>
        <xdr:cNvPr id="245" name="Shape 162"/>
        <xdr:cNvSpPr/>
      </xdr:nvSpPr>
      <xdr:spPr>
        <a:xfrm rot="5400000">
          <a:off x="5007240" y="12958560"/>
          <a:ext cx="587520" cy="57816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592920</xdr:colOff>
      <xdr:row>85</xdr:row>
      <xdr:rowOff>135720</xdr:rowOff>
    </xdr:to>
    <xdr:grpSp>
      <xdr:nvGrpSpPr>
        <xdr:cNvPr id="246" name="Shape 2"/>
        <xdr:cNvGrpSpPr/>
      </xdr:nvGrpSpPr>
      <xdr:grpSpPr>
        <a:xfrm>
          <a:off x="3416040" y="13239720"/>
          <a:ext cx="307440" cy="2520"/>
          <a:chOff x="3416040" y="13239720"/>
          <a:chExt cx="307440" cy="2520"/>
        </a:xfrm>
      </xdr:grpSpPr>
      <xdr:cxnSp>
        <xdr:nvCxnSpPr>
          <xdr:cNvPr id="247" name="Shape 139"/>
          <xdr:cNvCxnSpPr/>
        </xdr:nvCxnSpPr>
        <xdr:spPr>
          <a:xfrm>
            <a:off x="3416040" y="13239720"/>
            <a:ext cx="307800" cy="288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583200</xdr:colOff>
      <xdr:row>85</xdr:row>
      <xdr:rowOff>135720</xdr:rowOff>
    </xdr:to>
    <xdr:grpSp>
      <xdr:nvGrpSpPr>
        <xdr:cNvPr id="248" name="Shape 2"/>
        <xdr:cNvGrpSpPr/>
      </xdr:nvGrpSpPr>
      <xdr:grpSpPr>
        <a:xfrm>
          <a:off x="4668120" y="13239720"/>
          <a:ext cx="297720" cy="2520"/>
          <a:chOff x="4668120" y="13239720"/>
          <a:chExt cx="297720" cy="2520"/>
        </a:xfrm>
      </xdr:grpSpPr>
      <xdr:cxnSp>
        <xdr:nvCxnSpPr>
          <xdr:cNvPr id="249" name="Shape 140"/>
          <xdr:cNvCxnSpPr/>
        </xdr:nvCxnSpPr>
        <xdr:spPr>
          <a:xfrm>
            <a:off x="4668120" y="13239720"/>
            <a:ext cx="298080" cy="288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616680</xdr:colOff>
      <xdr:row>85</xdr:row>
      <xdr:rowOff>135720</xdr:rowOff>
    </xdr:to>
    <xdr:grpSp>
      <xdr:nvGrpSpPr>
        <xdr:cNvPr id="250" name="Shape 2"/>
        <xdr:cNvGrpSpPr/>
      </xdr:nvGrpSpPr>
      <xdr:grpSpPr>
        <a:xfrm>
          <a:off x="5580360" y="13239720"/>
          <a:ext cx="1040760" cy="2520"/>
          <a:chOff x="5580360" y="13239720"/>
          <a:chExt cx="1040760" cy="2520"/>
        </a:xfrm>
      </xdr:grpSpPr>
      <xdr:cxnSp>
        <xdr:nvCxnSpPr>
          <xdr:cNvPr id="251" name="Shape 163"/>
          <xdr:cNvCxnSpPr/>
        </xdr:nvCxnSpPr>
        <xdr:spPr>
          <a:xfrm>
            <a:off x="5580360" y="13239720"/>
            <a:ext cx="1041120" cy="288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368640</xdr:colOff>
      <xdr:row>86</xdr:row>
      <xdr:rowOff>35280</xdr:rowOff>
    </xdr:to>
    <xdr:sp>
      <xdr:nvSpPr>
        <xdr:cNvPr id="252" name="Shape 93"/>
        <xdr:cNvSpPr/>
      </xdr:nvSpPr>
      <xdr:spPr>
        <a:xfrm>
          <a:off x="8493840" y="13211280"/>
          <a:ext cx="82800" cy="8280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292320</xdr:colOff>
      <xdr:row>86</xdr:row>
      <xdr:rowOff>92520</xdr:rowOff>
    </xdr:to>
    <xdr:sp>
      <xdr:nvSpPr>
        <xdr:cNvPr id="253" name="Shape 164"/>
        <xdr:cNvSpPr/>
      </xdr:nvSpPr>
      <xdr:spPr>
        <a:xfrm>
          <a:off x="5056560" y="13173120"/>
          <a:ext cx="2448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18720</xdr:colOff>
      <xdr:row>87</xdr:row>
      <xdr:rowOff>6840</xdr:rowOff>
    </xdr:to>
    <xdr:sp>
      <xdr:nvSpPr>
        <xdr:cNvPr id="254" name="Shape 165"/>
        <xdr:cNvSpPr/>
      </xdr:nvSpPr>
      <xdr:spPr>
        <a:xfrm>
          <a:off x="3823200" y="13077720"/>
          <a:ext cx="578160" cy="340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549720</xdr:colOff>
      <xdr:row>87</xdr:row>
      <xdr:rowOff>73080</xdr:rowOff>
    </xdr:to>
    <xdr:sp>
      <xdr:nvSpPr>
        <xdr:cNvPr id="255" name="Shape 166"/>
        <xdr:cNvSpPr/>
      </xdr:nvSpPr>
      <xdr:spPr>
        <a:xfrm>
          <a:off x="2647440" y="13001400"/>
          <a:ext cx="406800" cy="4827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243000</xdr:colOff>
      <xdr:row>85</xdr:row>
      <xdr:rowOff>135720</xdr:rowOff>
    </xdr:to>
    <xdr:grpSp>
      <xdr:nvGrpSpPr>
        <xdr:cNvPr id="256" name="Shape 2"/>
        <xdr:cNvGrpSpPr/>
      </xdr:nvGrpSpPr>
      <xdr:grpSpPr>
        <a:xfrm>
          <a:off x="7743600" y="13239720"/>
          <a:ext cx="707400" cy="2520"/>
          <a:chOff x="7743600" y="13239720"/>
          <a:chExt cx="707400" cy="2520"/>
        </a:xfrm>
      </xdr:grpSpPr>
      <xdr:cxnSp>
        <xdr:nvCxnSpPr>
          <xdr:cNvPr id="257" name="Shape 167"/>
          <xdr:cNvCxnSpPr/>
        </xdr:nvCxnSpPr>
        <xdr:spPr>
          <a:xfrm>
            <a:off x="7743600" y="13239720"/>
            <a:ext cx="707760" cy="288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619200</xdr:colOff>
      <xdr:row>83</xdr:row>
      <xdr:rowOff>50040</xdr:rowOff>
    </xdr:to>
    <xdr:grpSp>
      <xdr:nvGrpSpPr>
        <xdr:cNvPr id="258" name="Shape 2"/>
        <xdr:cNvGrpSpPr/>
      </xdr:nvGrpSpPr>
      <xdr:grpSpPr>
        <a:xfrm>
          <a:off x="4999320" y="12344400"/>
          <a:ext cx="2520" cy="507240"/>
          <a:chOff x="4999320" y="12344400"/>
          <a:chExt cx="2520" cy="507240"/>
        </a:xfrm>
      </xdr:grpSpPr>
      <xdr:cxnSp>
        <xdr:nvCxnSpPr>
          <xdr:cNvPr id="259" name="Shape 149"/>
          <xdr:cNvCxnSpPr/>
        </xdr:nvCxnSpPr>
        <xdr:spPr>
          <a:xfrm>
            <a:off x="4999320" y="12344400"/>
            <a:ext cx="2880" cy="50760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554760</xdr:colOff>
      <xdr:row>92</xdr:row>
      <xdr:rowOff>21600</xdr:rowOff>
    </xdr:to>
    <xdr:grpSp>
      <xdr:nvGrpSpPr>
        <xdr:cNvPr id="260" name="Shape 2"/>
        <xdr:cNvGrpSpPr/>
      </xdr:nvGrpSpPr>
      <xdr:grpSpPr>
        <a:xfrm>
          <a:off x="4934880" y="13677840"/>
          <a:ext cx="2520" cy="516960"/>
          <a:chOff x="4934880" y="13677840"/>
          <a:chExt cx="2520" cy="516960"/>
        </a:xfrm>
      </xdr:grpSpPr>
      <xdr:cxnSp>
        <xdr:nvCxnSpPr>
          <xdr:cNvPr id="261" name="Shape 150"/>
          <xdr:cNvCxnSpPr/>
        </xdr:nvCxnSpPr>
        <xdr:spPr>
          <a:xfrm>
            <a:off x="4934880" y="13677840"/>
            <a:ext cx="2880" cy="51732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688320</xdr:colOff>
      <xdr:row>84</xdr:row>
      <xdr:rowOff>21600</xdr:rowOff>
    </xdr:to>
    <xdr:grpSp>
      <xdr:nvGrpSpPr>
        <xdr:cNvPr id="262" name="Shape 2"/>
        <xdr:cNvGrpSpPr/>
      </xdr:nvGrpSpPr>
      <xdr:grpSpPr>
        <a:xfrm>
          <a:off x="6690240" y="12458520"/>
          <a:ext cx="2520" cy="516960"/>
          <a:chOff x="6690240" y="12458520"/>
          <a:chExt cx="2520" cy="516960"/>
        </a:xfrm>
      </xdr:grpSpPr>
      <xdr:cxnSp>
        <xdr:nvCxnSpPr>
          <xdr:cNvPr id="263" name="Shape 150"/>
          <xdr:cNvCxnSpPr/>
        </xdr:nvCxnSpPr>
        <xdr:spPr>
          <a:xfrm>
            <a:off x="6690240" y="12458520"/>
            <a:ext cx="2880" cy="51732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688320</xdr:colOff>
      <xdr:row>91</xdr:row>
      <xdr:rowOff>49680</xdr:rowOff>
    </xdr:to>
    <xdr:grpSp>
      <xdr:nvGrpSpPr>
        <xdr:cNvPr id="264" name="Shape 2"/>
        <xdr:cNvGrpSpPr/>
      </xdr:nvGrpSpPr>
      <xdr:grpSpPr>
        <a:xfrm>
          <a:off x="6690240" y="13544280"/>
          <a:ext cx="2520" cy="526320"/>
          <a:chOff x="6690240" y="13544280"/>
          <a:chExt cx="2520" cy="526320"/>
        </a:xfrm>
      </xdr:grpSpPr>
      <xdr:cxnSp>
        <xdr:nvCxnSpPr>
          <xdr:cNvPr id="265" name="Shape 151"/>
          <xdr:cNvCxnSpPr/>
        </xdr:nvCxnSpPr>
        <xdr:spPr>
          <a:xfrm>
            <a:off x="6690240" y="13544280"/>
            <a:ext cx="2880" cy="52668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368280</xdr:colOff>
      <xdr:row>87</xdr:row>
      <xdr:rowOff>45000</xdr:rowOff>
    </xdr:to>
    <xdr:sp>
      <xdr:nvSpPr>
        <xdr:cNvPr id="266" name="Shape 168"/>
        <xdr:cNvSpPr/>
      </xdr:nvSpPr>
      <xdr:spPr>
        <a:xfrm>
          <a:off x="6718680" y="13106520"/>
          <a:ext cx="358920" cy="34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387720</xdr:colOff>
      <xdr:row>90</xdr:row>
      <xdr:rowOff>16200</xdr:rowOff>
    </xdr:to>
    <xdr:sp>
      <xdr:nvSpPr>
        <xdr:cNvPr id="267" name="Shape 153"/>
        <xdr:cNvSpPr/>
      </xdr:nvSpPr>
      <xdr:spPr>
        <a:xfrm>
          <a:off x="4061520" y="13716000"/>
          <a:ext cx="82800" cy="16848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482760</xdr:colOff>
      <xdr:row>89</xdr:row>
      <xdr:rowOff>25920</xdr:rowOff>
    </xdr:to>
    <xdr:sp>
      <xdr:nvSpPr>
        <xdr:cNvPr id="268" name="Shape 169"/>
        <xdr:cNvSpPr/>
      </xdr:nvSpPr>
      <xdr:spPr>
        <a:xfrm>
          <a:off x="3985200" y="13563720"/>
          <a:ext cx="2541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240480</xdr:colOff>
      <xdr:row>88</xdr:row>
      <xdr:rowOff>59400</xdr:rowOff>
    </xdr:to>
    <xdr:grpSp>
      <xdr:nvGrpSpPr>
        <xdr:cNvPr id="269" name="Shape 2"/>
        <xdr:cNvGrpSpPr/>
      </xdr:nvGrpSpPr>
      <xdr:grpSpPr>
        <a:xfrm>
          <a:off x="3756600" y="13620600"/>
          <a:ext cx="240480" cy="2520"/>
          <a:chOff x="3756600" y="13620600"/>
          <a:chExt cx="240480" cy="2520"/>
        </a:xfrm>
      </xdr:grpSpPr>
      <xdr:cxnSp>
        <xdr:nvCxnSpPr>
          <xdr:cNvPr id="270" name="Shape 155"/>
          <xdr:cNvCxnSpPr/>
        </xdr:nvCxnSpPr>
        <xdr:spPr>
          <a:xfrm flipH="1">
            <a:off x="3756600" y="13620600"/>
            <a:ext cx="240840" cy="288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259560</xdr:colOff>
      <xdr:row>88</xdr:row>
      <xdr:rowOff>59400</xdr:rowOff>
    </xdr:to>
    <xdr:grpSp>
      <xdr:nvGrpSpPr>
        <xdr:cNvPr id="271" name="Shape 2"/>
        <xdr:cNvGrpSpPr/>
      </xdr:nvGrpSpPr>
      <xdr:grpSpPr>
        <a:xfrm>
          <a:off x="4392000" y="13620600"/>
          <a:ext cx="250200" cy="2520"/>
          <a:chOff x="4392000" y="13620600"/>
          <a:chExt cx="250200" cy="2520"/>
        </a:xfrm>
      </xdr:grpSpPr>
      <xdr:cxnSp>
        <xdr:nvCxnSpPr>
          <xdr:cNvPr id="272" name="Shape 156"/>
          <xdr:cNvCxnSpPr/>
        </xdr:nvCxnSpPr>
        <xdr:spPr>
          <a:xfrm>
            <a:off x="4392000" y="13620600"/>
            <a:ext cx="250560" cy="288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195480</xdr:colOff>
      <xdr:row>88</xdr:row>
      <xdr:rowOff>69120</xdr:rowOff>
    </xdr:to>
    <xdr:grpSp>
      <xdr:nvGrpSpPr>
        <xdr:cNvPr id="273" name="Shape 2"/>
        <xdr:cNvGrpSpPr/>
      </xdr:nvGrpSpPr>
      <xdr:grpSpPr>
        <a:xfrm>
          <a:off x="2449440" y="13630320"/>
          <a:ext cx="250560" cy="2520"/>
          <a:chOff x="2449440" y="13630320"/>
          <a:chExt cx="250560" cy="2520"/>
        </a:xfrm>
      </xdr:grpSpPr>
      <xdr:cxnSp>
        <xdr:nvCxnSpPr>
          <xdr:cNvPr id="274" name="Shape 157"/>
          <xdr:cNvCxnSpPr/>
        </xdr:nvCxnSpPr>
        <xdr:spPr>
          <a:xfrm flipH="1">
            <a:off x="2449440" y="13630320"/>
            <a:ext cx="250920" cy="288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268920</xdr:colOff>
      <xdr:row>88</xdr:row>
      <xdr:rowOff>59400</xdr:rowOff>
    </xdr:to>
    <xdr:grpSp>
      <xdr:nvGrpSpPr>
        <xdr:cNvPr id="275" name="Shape 2"/>
        <xdr:cNvGrpSpPr/>
      </xdr:nvGrpSpPr>
      <xdr:grpSpPr>
        <a:xfrm>
          <a:off x="3149280" y="13620600"/>
          <a:ext cx="250200" cy="2520"/>
          <a:chOff x="3149280" y="13620600"/>
          <a:chExt cx="250200" cy="2520"/>
        </a:xfrm>
      </xdr:grpSpPr>
      <xdr:cxnSp>
        <xdr:nvCxnSpPr>
          <xdr:cNvPr id="276" name="Shape 156"/>
          <xdr:cNvCxnSpPr/>
        </xdr:nvCxnSpPr>
        <xdr:spPr>
          <a:xfrm>
            <a:off x="3149280" y="13620600"/>
            <a:ext cx="250560" cy="288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520920</xdr:colOff>
      <xdr:row>89</xdr:row>
      <xdr:rowOff>25920</xdr:rowOff>
    </xdr:to>
    <xdr:sp>
      <xdr:nvSpPr>
        <xdr:cNvPr id="277" name="Shape 170"/>
        <xdr:cNvSpPr/>
      </xdr:nvSpPr>
      <xdr:spPr>
        <a:xfrm>
          <a:off x="2733120" y="13563720"/>
          <a:ext cx="2923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549360</xdr:colOff>
      <xdr:row>142</xdr:row>
      <xdr:rowOff>6480</xdr:rowOff>
    </xdr:to>
    <xdr:sp>
      <xdr:nvSpPr>
        <xdr:cNvPr id="278" name="Shape 171"/>
        <xdr:cNvSpPr/>
      </xdr:nvSpPr>
      <xdr:spPr>
        <a:xfrm>
          <a:off x="8843400" y="18288000"/>
          <a:ext cx="540000" cy="35118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151920</xdr:colOff>
      <xdr:row>127</xdr:row>
      <xdr:rowOff>75960</xdr:rowOff>
    </xdr:from>
    <xdr:to>
      <xdr:col>12</xdr:col>
      <xdr:colOff>199080</xdr:colOff>
      <xdr:row>127</xdr:row>
      <xdr:rowOff>78480</xdr:rowOff>
    </xdr:to>
    <xdr:grpSp>
      <xdr:nvGrpSpPr>
        <xdr:cNvPr id="279" name="Shape 2"/>
        <xdr:cNvGrpSpPr/>
      </xdr:nvGrpSpPr>
      <xdr:grpSpPr>
        <a:xfrm>
          <a:off x="6861240" y="19583280"/>
          <a:ext cx="1545840" cy="2520"/>
          <a:chOff x="6861240" y="19583280"/>
          <a:chExt cx="1545840" cy="2520"/>
        </a:xfrm>
      </xdr:grpSpPr>
      <xdr:cxnSp>
        <xdr:nvCxnSpPr>
          <xdr:cNvPr id="280" name="Shape 172"/>
          <xdr:cNvCxnSpPr/>
        </xdr:nvCxnSpPr>
        <xdr:spPr>
          <a:xfrm flipH="1">
            <a:off x="6861240" y="19583280"/>
            <a:ext cx="1546200" cy="288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332640</xdr:colOff>
      <xdr:row>60</xdr:row>
      <xdr:rowOff>78480</xdr:rowOff>
    </xdr:to>
    <xdr:grpSp>
      <xdr:nvGrpSpPr>
        <xdr:cNvPr id="281" name="Shape 2"/>
        <xdr:cNvGrpSpPr/>
      </xdr:nvGrpSpPr>
      <xdr:grpSpPr>
        <a:xfrm>
          <a:off x="6937920" y="9334440"/>
          <a:ext cx="1602720" cy="2520"/>
          <a:chOff x="6937920" y="9334440"/>
          <a:chExt cx="1602720" cy="2520"/>
        </a:xfrm>
      </xdr:grpSpPr>
      <xdr:cxnSp>
        <xdr:nvCxnSpPr>
          <xdr:cNvPr id="282" name="Shape 173"/>
          <xdr:cNvCxnSpPr/>
        </xdr:nvCxnSpPr>
        <xdr:spPr>
          <a:xfrm flipH="1">
            <a:off x="6937920" y="9334440"/>
            <a:ext cx="1603080" cy="288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2520</xdr:colOff>
      <xdr:row>64</xdr:row>
      <xdr:rowOff>88200</xdr:rowOff>
    </xdr:to>
    <xdr:grpSp>
      <xdr:nvGrpSpPr>
        <xdr:cNvPr id="283" name="Shape 2"/>
        <xdr:cNvGrpSpPr/>
      </xdr:nvGrpSpPr>
      <xdr:grpSpPr>
        <a:xfrm>
          <a:off x="8208000" y="9353520"/>
          <a:ext cx="2520" cy="602640"/>
          <a:chOff x="8208000" y="9353520"/>
          <a:chExt cx="2520" cy="602640"/>
        </a:xfrm>
      </xdr:grpSpPr>
      <xdr:cxnSp>
        <xdr:nvCxnSpPr>
          <xdr:cNvPr id="284" name="Shape 174"/>
          <xdr:cNvCxnSpPr/>
        </xdr:nvCxnSpPr>
        <xdr:spPr>
          <a:xfrm>
            <a:off x="8208000" y="9353520"/>
            <a:ext cx="2880" cy="60300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339480</xdr:colOff>
      <xdr:row>64</xdr:row>
      <xdr:rowOff>69120</xdr:rowOff>
    </xdr:to>
    <xdr:grpSp>
      <xdr:nvGrpSpPr>
        <xdr:cNvPr id="285" name="Shape 2"/>
        <xdr:cNvGrpSpPr/>
      </xdr:nvGrpSpPr>
      <xdr:grpSpPr>
        <a:xfrm>
          <a:off x="6975720" y="9934560"/>
          <a:ext cx="945720" cy="2520"/>
          <a:chOff x="6975720" y="9934560"/>
          <a:chExt cx="945720" cy="2520"/>
        </a:xfrm>
      </xdr:grpSpPr>
      <xdr:cxnSp>
        <xdr:nvCxnSpPr>
          <xdr:cNvPr id="286" name="Shape 175"/>
          <xdr:cNvCxnSpPr/>
        </xdr:nvCxnSpPr>
        <xdr:spPr>
          <a:xfrm flipH="1">
            <a:off x="6975720" y="9934560"/>
            <a:ext cx="946080" cy="288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783360</xdr:colOff>
      <xdr:row>119</xdr:row>
      <xdr:rowOff>59400</xdr:rowOff>
    </xdr:to>
    <xdr:grpSp>
      <xdr:nvGrpSpPr>
        <xdr:cNvPr id="287" name="Shape 2"/>
        <xdr:cNvGrpSpPr/>
      </xdr:nvGrpSpPr>
      <xdr:grpSpPr>
        <a:xfrm>
          <a:off x="6928200" y="18344880"/>
          <a:ext cx="564480" cy="2520"/>
          <a:chOff x="6928200" y="18344880"/>
          <a:chExt cx="564480" cy="2520"/>
        </a:xfrm>
      </xdr:grpSpPr>
      <xdr:cxnSp>
        <xdr:nvCxnSpPr>
          <xdr:cNvPr id="288" name="Shape 176"/>
          <xdr:cNvCxnSpPr/>
        </xdr:nvCxnSpPr>
        <xdr:spPr>
          <a:xfrm flipH="1">
            <a:off x="6928200" y="18344880"/>
            <a:ext cx="564840" cy="288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164160</xdr:colOff>
      <xdr:row>121</xdr:row>
      <xdr:rowOff>78480</xdr:rowOff>
    </xdr:to>
    <xdr:grpSp>
      <xdr:nvGrpSpPr>
        <xdr:cNvPr id="289" name="Shape 2"/>
        <xdr:cNvGrpSpPr/>
      </xdr:nvGrpSpPr>
      <xdr:grpSpPr>
        <a:xfrm>
          <a:off x="7743600" y="18363960"/>
          <a:ext cx="2520" cy="307440"/>
          <a:chOff x="7743600" y="18363960"/>
          <a:chExt cx="2520" cy="307440"/>
        </a:xfrm>
      </xdr:grpSpPr>
      <xdr:cxnSp>
        <xdr:nvCxnSpPr>
          <xdr:cNvPr id="290" name="Shape 177"/>
          <xdr:cNvCxnSpPr/>
        </xdr:nvCxnSpPr>
        <xdr:spPr>
          <a:xfrm>
            <a:off x="7743600" y="18363960"/>
            <a:ext cx="2880" cy="30780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192960</xdr:colOff>
      <xdr:row>121</xdr:row>
      <xdr:rowOff>59400</xdr:rowOff>
    </xdr:to>
    <xdr:grpSp>
      <xdr:nvGrpSpPr>
        <xdr:cNvPr id="291" name="Shape 2"/>
        <xdr:cNvGrpSpPr/>
      </xdr:nvGrpSpPr>
      <xdr:grpSpPr>
        <a:xfrm>
          <a:off x="7591320" y="18649800"/>
          <a:ext cx="183600" cy="2520"/>
          <a:chOff x="7591320" y="18649800"/>
          <a:chExt cx="183600" cy="2520"/>
        </a:xfrm>
      </xdr:grpSpPr>
      <xdr:cxnSp>
        <xdr:nvCxnSpPr>
          <xdr:cNvPr id="292" name="Shape 178"/>
          <xdr:cNvCxnSpPr/>
        </xdr:nvCxnSpPr>
        <xdr:spPr>
          <a:xfrm flipH="1">
            <a:off x="7591320" y="18649800"/>
            <a:ext cx="183960" cy="288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811800</xdr:colOff>
      <xdr:row>48</xdr:row>
      <xdr:rowOff>59400</xdr:rowOff>
    </xdr:to>
    <xdr:grpSp>
      <xdr:nvGrpSpPr>
        <xdr:cNvPr id="293" name="Shape 2"/>
        <xdr:cNvGrpSpPr/>
      </xdr:nvGrpSpPr>
      <xdr:grpSpPr>
        <a:xfrm>
          <a:off x="6928200" y="7486560"/>
          <a:ext cx="592920" cy="2520"/>
          <a:chOff x="6928200" y="7486560"/>
          <a:chExt cx="592920" cy="2520"/>
        </a:xfrm>
      </xdr:grpSpPr>
      <xdr:cxnSp>
        <xdr:nvCxnSpPr>
          <xdr:cNvPr id="294" name="Shape 179"/>
          <xdr:cNvCxnSpPr/>
        </xdr:nvCxnSpPr>
        <xdr:spPr>
          <a:xfrm flipH="1">
            <a:off x="6928200" y="7486560"/>
            <a:ext cx="593280" cy="288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240480</xdr:colOff>
      <xdr:row>50</xdr:row>
      <xdr:rowOff>78840</xdr:rowOff>
    </xdr:to>
    <xdr:grpSp>
      <xdr:nvGrpSpPr>
        <xdr:cNvPr id="295" name="Shape 2"/>
        <xdr:cNvGrpSpPr/>
      </xdr:nvGrpSpPr>
      <xdr:grpSpPr>
        <a:xfrm>
          <a:off x="7781760" y="7505640"/>
          <a:ext cx="40680" cy="307440"/>
          <a:chOff x="7781760" y="7505640"/>
          <a:chExt cx="40680" cy="307440"/>
        </a:xfrm>
      </xdr:grpSpPr>
      <xdr:cxnSp>
        <xdr:nvCxnSpPr>
          <xdr:cNvPr id="296" name="Shape 180"/>
          <xdr:cNvCxnSpPr/>
        </xdr:nvCxnSpPr>
        <xdr:spPr>
          <a:xfrm flipH="1">
            <a:off x="7781760" y="7505640"/>
            <a:ext cx="41040" cy="30780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221400</xdr:colOff>
      <xdr:row>50</xdr:row>
      <xdr:rowOff>59400</xdr:rowOff>
    </xdr:to>
    <xdr:grpSp>
      <xdr:nvGrpSpPr>
        <xdr:cNvPr id="297" name="Shape 2"/>
        <xdr:cNvGrpSpPr/>
      </xdr:nvGrpSpPr>
      <xdr:grpSpPr>
        <a:xfrm>
          <a:off x="7581960" y="7791120"/>
          <a:ext cx="221400" cy="2520"/>
          <a:chOff x="7581960" y="7791120"/>
          <a:chExt cx="221400" cy="2520"/>
        </a:xfrm>
      </xdr:grpSpPr>
      <xdr:cxnSp>
        <xdr:nvCxnSpPr>
          <xdr:cNvPr id="298" name="Shape 181"/>
          <xdr:cNvCxnSpPr/>
        </xdr:nvCxnSpPr>
        <xdr:spPr>
          <a:xfrm flipH="1">
            <a:off x="7581960" y="7791120"/>
            <a:ext cx="221760" cy="288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200880</xdr:colOff>
      <xdr:row>87</xdr:row>
      <xdr:rowOff>130320</xdr:rowOff>
    </xdr:to>
    <xdr:sp>
      <xdr:nvSpPr>
        <xdr:cNvPr id="299" name="Shape 182"/>
        <xdr:cNvSpPr/>
      </xdr:nvSpPr>
      <xdr:spPr>
        <a:xfrm>
          <a:off x="6709320" y="12953880"/>
          <a:ext cx="1073520" cy="5875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720</xdr:colOff>
      <xdr:row>87</xdr:row>
      <xdr:rowOff>6840</xdr:rowOff>
    </xdr:to>
    <xdr:sp>
      <xdr:nvSpPr>
        <xdr:cNvPr id="300" name="Shape 183"/>
        <xdr:cNvSpPr/>
      </xdr:nvSpPr>
      <xdr:spPr>
        <a:xfrm>
          <a:off x="6633000" y="13077720"/>
          <a:ext cx="949680" cy="340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159120</xdr:colOff>
      <xdr:row>85</xdr:row>
      <xdr:rowOff>6480</xdr:rowOff>
    </xdr:to>
    <xdr:sp>
      <xdr:nvSpPr>
        <xdr:cNvPr id="301" name="Shape 184"/>
        <xdr:cNvSpPr/>
      </xdr:nvSpPr>
      <xdr:spPr>
        <a:xfrm>
          <a:off x="6004440" y="12925440"/>
          <a:ext cx="1591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354600</xdr:colOff>
      <xdr:row>88</xdr:row>
      <xdr:rowOff>140040</xdr:rowOff>
    </xdr:to>
    <xdr:sp>
      <xdr:nvSpPr>
        <xdr:cNvPr id="302" name="Shape 185"/>
        <xdr:cNvSpPr/>
      </xdr:nvSpPr>
      <xdr:spPr>
        <a:xfrm>
          <a:off x="5456880" y="13373280"/>
          <a:ext cx="90216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592920</xdr:colOff>
      <xdr:row>9</xdr:row>
      <xdr:rowOff>69120</xdr:rowOff>
    </xdr:to>
    <xdr:grpSp>
      <xdr:nvGrpSpPr>
        <xdr:cNvPr id="303" name="Shape 2"/>
        <xdr:cNvGrpSpPr/>
      </xdr:nvGrpSpPr>
      <xdr:grpSpPr>
        <a:xfrm>
          <a:off x="2846880" y="1724040"/>
          <a:ext cx="250560" cy="2520"/>
          <a:chOff x="2846880" y="1724040"/>
          <a:chExt cx="250560" cy="2520"/>
        </a:xfrm>
      </xdr:grpSpPr>
      <xdr:cxnSp>
        <xdr:nvCxnSpPr>
          <xdr:cNvPr id="304" name="Shape 186"/>
          <xdr:cNvCxnSpPr/>
        </xdr:nvCxnSpPr>
        <xdr:spPr>
          <a:xfrm flipH="1">
            <a:off x="2846880" y="1724040"/>
            <a:ext cx="250920" cy="288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326160</xdr:colOff>
      <xdr:row>10</xdr:row>
      <xdr:rowOff>2160</xdr:rowOff>
    </xdr:to>
    <xdr:grpSp>
      <xdr:nvGrpSpPr>
        <xdr:cNvPr id="305" name="Shape 2"/>
        <xdr:cNvGrpSpPr/>
      </xdr:nvGrpSpPr>
      <xdr:grpSpPr>
        <a:xfrm>
          <a:off x="2828160" y="1743120"/>
          <a:ext cx="2520" cy="78480"/>
          <a:chOff x="2828160" y="1743120"/>
          <a:chExt cx="2520" cy="78480"/>
        </a:xfrm>
      </xdr:grpSpPr>
      <xdr:cxnSp>
        <xdr:nvCxnSpPr>
          <xdr:cNvPr id="306" name="Shape 187"/>
          <xdr:cNvCxnSpPr/>
        </xdr:nvCxnSpPr>
        <xdr:spPr>
          <a:xfrm>
            <a:off x="2828160" y="1743120"/>
            <a:ext cx="2880" cy="7884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592920</xdr:colOff>
      <xdr:row>56</xdr:row>
      <xdr:rowOff>69120</xdr:rowOff>
    </xdr:to>
    <xdr:grpSp>
      <xdr:nvGrpSpPr>
        <xdr:cNvPr id="307" name="Shape 2"/>
        <xdr:cNvGrpSpPr/>
      </xdr:nvGrpSpPr>
      <xdr:grpSpPr>
        <a:xfrm>
          <a:off x="2846880" y="14601600"/>
          <a:ext cx="250560" cy="2520"/>
          <a:chOff x="2846880" y="14601600"/>
          <a:chExt cx="250560" cy="2520"/>
        </a:xfrm>
      </xdr:grpSpPr>
      <xdr:cxnSp>
        <xdr:nvCxnSpPr>
          <xdr:cNvPr id="308" name="Shape 186"/>
          <xdr:cNvCxnSpPr/>
        </xdr:nvCxnSpPr>
        <xdr:spPr>
          <a:xfrm flipH="1">
            <a:off x="2846880" y="14601600"/>
            <a:ext cx="250920" cy="288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326160</xdr:colOff>
      <xdr:row>57</xdr:row>
      <xdr:rowOff>2160</xdr:rowOff>
    </xdr:to>
    <xdr:grpSp>
      <xdr:nvGrpSpPr>
        <xdr:cNvPr id="309" name="Shape 2"/>
        <xdr:cNvGrpSpPr/>
      </xdr:nvGrpSpPr>
      <xdr:grpSpPr>
        <a:xfrm>
          <a:off x="2828160" y="14620680"/>
          <a:ext cx="2520" cy="78480"/>
          <a:chOff x="2828160" y="14620680"/>
          <a:chExt cx="2520" cy="78480"/>
        </a:xfrm>
      </xdr:grpSpPr>
      <xdr:cxnSp>
        <xdr:nvCxnSpPr>
          <xdr:cNvPr id="310" name="Shape 187"/>
          <xdr:cNvCxnSpPr/>
        </xdr:nvCxnSpPr>
        <xdr:spPr>
          <a:xfrm>
            <a:off x="2828160" y="14620680"/>
            <a:ext cx="2880" cy="7884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97560</xdr:colOff>
      <xdr:row>34</xdr:row>
      <xdr:rowOff>2520</xdr:rowOff>
    </xdr:to>
    <xdr:grpSp>
      <xdr:nvGrpSpPr>
        <xdr:cNvPr id="311" name="Shape 2"/>
        <xdr:cNvGrpSpPr/>
      </xdr:nvGrpSpPr>
      <xdr:grpSpPr>
        <a:xfrm>
          <a:off x="1973520" y="8753400"/>
          <a:ext cx="2520" cy="192960"/>
          <a:chOff x="1973520" y="8753400"/>
          <a:chExt cx="2520" cy="192960"/>
        </a:xfrm>
      </xdr:grpSpPr>
      <xdr:cxnSp>
        <xdr:nvCxnSpPr>
          <xdr:cNvPr id="312" name="Shape 81"/>
          <xdr:cNvCxnSpPr/>
        </xdr:nvCxnSpPr>
        <xdr:spPr>
          <a:xfrm flipV="1">
            <a:off x="1973520" y="8753400"/>
            <a:ext cx="2880" cy="19332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231120</xdr:colOff>
      <xdr:row>34</xdr:row>
      <xdr:rowOff>2520</xdr:rowOff>
    </xdr:to>
    <xdr:grpSp>
      <xdr:nvGrpSpPr>
        <xdr:cNvPr id="313" name="Shape 2"/>
        <xdr:cNvGrpSpPr/>
      </xdr:nvGrpSpPr>
      <xdr:grpSpPr>
        <a:xfrm>
          <a:off x="6955920" y="8753400"/>
          <a:ext cx="2520" cy="192960"/>
          <a:chOff x="6955920" y="8753400"/>
          <a:chExt cx="2520" cy="192960"/>
        </a:xfrm>
      </xdr:grpSpPr>
      <xdr:cxnSp>
        <xdr:nvCxnSpPr>
          <xdr:cNvPr id="314" name="Shape 188"/>
          <xdr:cNvCxnSpPr/>
        </xdr:nvCxnSpPr>
        <xdr:spPr>
          <a:xfrm>
            <a:off x="6955920" y="8753400"/>
            <a:ext cx="2880" cy="19332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592920</xdr:colOff>
      <xdr:row>22</xdr:row>
      <xdr:rowOff>50040</xdr:rowOff>
    </xdr:to>
    <xdr:grpSp>
      <xdr:nvGrpSpPr>
        <xdr:cNvPr id="315" name="Shape 2"/>
        <xdr:cNvGrpSpPr/>
      </xdr:nvGrpSpPr>
      <xdr:grpSpPr>
        <a:xfrm>
          <a:off x="2846880" y="4952880"/>
          <a:ext cx="250560" cy="2520"/>
          <a:chOff x="2846880" y="4952880"/>
          <a:chExt cx="250560" cy="2520"/>
        </a:xfrm>
      </xdr:grpSpPr>
      <xdr:cxnSp>
        <xdr:nvCxnSpPr>
          <xdr:cNvPr id="316" name="Shape 186"/>
          <xdr:cNvCxnSpPr/>
        </xdr:nvCxnSpPr>
        <xdr:spPr>
          <a:xfrm flipH="1">
            <a:off x="2846880" y="4952880"/>
            <a:ext cx="250920" cy="288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326160</xdr:colOff>
      <xdr:row>22</xdr:row>
      <xdr:rowOff>154800</xdr:rowOff>
    </xdr:to>
    <xdr:grpSp>
      <xdr:nvGrpSpPr>
        <xdr:cNvPr id="317" name="Shape 2"/>
        <xdr:cNvGrpSpPr/>
      </xdr:nvGrpSpPr>
      <xdr:grpSpPr>
        <a:xfrm>
          <a:off x="2828160" y="4971960"/>
          <a:ext cx="2520" cy="88200"/>
          <a:chOff x="2828160" y="4971960"/>
          <a:chExt cx="2520" cy="88200"/>
        </a:xfrm>
      </xdr:grpSpPr>
      <xdr:cxnSp>
        <xdr:nvCxnSpPr>
          <xdr:cNvPr id="318" name="Shape 189"/>
          <xdr:cNvCxnSpPr/>
        </xdr:nvCxnSpPr>
        <xdr:spPr>
          <a:xfrm>
            <a:off x="2828160" y="4971960"/>
            <a:ext cx="2880" cy="8856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307080</xdr:colOff>
      <xdr:row>40</xdr:row>
      <xdr:rowOff>21240</xdr:rowOff>
    </xdr:to>
    <xdr:grpSp>
      <xdr:nvGrpSpPr>
        <xdr:cNvPr id="319" name="Shape 2"/>
        <xdr:cNvGrpSpPr/>
      </xdr:nvGrpSpPr>
      <xdr:grpSpPr>
        <a:xfrm>
          <a:off x="2809080" y="9848880"/>
          <a:ext cx="2520" cy="97560"/>
          <a:chOff x="2809080" y="9848880"/>
          <a:chExt cx="2520" cy="97560"/>
        </a:xfrm>
      </xdr:grpSpPr>
      <xdr:cxnSp>
        <xdr:nvCxnSpPr>
          <xdr:cNvPr id="320" name="Shape 190"/>
          <xdr:cNvCxnSpPr/>
        </xdr:nvCxnSpPr>
        <xdr:spPr>
          <a:xfrm>
            <a:off x="2809080" y="9848880"/>
            <a:ext cx="2880" cy="9792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592920</xdr:colOff>
      <xdr:row>39</xdr:row>
      <xdr:rowOff>69120</xdr:rowOff>
    </xdr:to>
    <xdr:grpSp>
      <xdr:nvGrpSpPr>
        <xdr:cNvPr id="321" name="Shape 2"/>
        <xdr:cNvGrpSpPr/>
      </xdr:nvGrpSpPr>
      <xdr:grpSpPr>
        <a:xfrm>
          <a:off x="2846880" y="9829800"/>
          <a:ext cx="250560" cy="2520"/>
          <a:chOff x="2846880" y="9829800"/>
          <a:chExt cx="250560" cy="2520"/>
        </a:xfrm>
      </xdr:grpSpPr>
      <xdr:cxnSp>
        <xdr:nvCxnSpPr>
          <xdr:cNvPr id="322" name="Shape 186"/>
          <xdr:cNvCxnSpPr/>
        </xdr:nvCxnSpPr>
        <xdr:spPr>
          <a:xfrm flipH="1">
            <a:off x="2846880" y="9829800"/>
            <a:ext cx="250920" cy="288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743760</xdr:colOff>
      <xdr:row>38</xdr:row>
      <xdr:rowOff>139680</xdr:rowOff>
    </xdr:to>
    <xdr:graphicFrame>
      <xdr:nvGraphicFramePr>
        <xdr:cNvPr id="323" name="Chart 2"/>
        <xdr:cNvGraphicFramePr/>
      </xdr:nvGraphicFramePr>
      <xdr:xfrm>
        <a:off x="25252200" y="237960"/>
        <a:ext cx="7093080" cy="632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85320</xdr:colOff>
      <xdr:row>4</xdr:row>
      <xdr:rowOff>29160</xdr:rowOff>
    </xdr:from>
    <xdr:to>
      <xdr:col>2</xdr:col>
      <xdr:colOff>425520</xdr:colOff>
      <xdr:row>6</xdr:row>
      <xdr:rowOff>45360</xdr:rowOff>
    </xdr:to>
    <xdr:sp>
      <xdr:nvSpPr>
        <xdr:cNvPr id="324" name="Shape 191"/>
        <xdr:cNvSpPr/>
      </xdr:nvSpPr>
      <xdr:spPr>
        <a:xfrm rot="19920000">
          <a:off x="1337400" y="723960"/>
          <a:ext cx="340200" cy="32112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116640</xdr:colOff>
      <xdr:row>4</xdr:row>
      <xdr:rowOff>88200</xdr:rowOff>
    </xdr:to>
    <xdr:grpSp>
      <xdr:nvGrpSpPr>
        <xdr:cNvPr id="325" name="Shape 2"/>
        <xdr:cNvGrpSpPr/>
      </xdr:nvGrpSpPr>
      <xdr:grpSpPr>
        <a:xfrm>
          <a:off x="1366200" y="628560"/>
          <a:ext cx="2520" cy="154800"/>
          <a:chOff x="1366200" y="628560"/>
          <a:chExt cx="2520" cy="154800"/>
        </a:xfrm>
      </xdr:grpSpPr>
      <xdr:cxnSp>
        <xdr:nvCxnSpPr>
          <xdr:cNvPr id="326" name="Shape 192"/>
          <xdr:cNvCxnSpPr/>
        </xdr:nvCxnSpPr>
        <xdr:spPr>
          <a:xfrm>
            <a:off x="1366200" y="628560"/>
            <a:ext cx="2880" cy="15516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136800</xdr:rowOff>
    </xdr:from>
    <xdr:to>
      <xdr:col>2</xdr:col>
      <xdr:colOff>358920</xdr:colOff>
      <xdr:row>22</xdr:row>
      <xdr:rowOff>38880</xdr:rowOff>
    </xdr:to>
    <xdr:sp>
      <xdr:nvSpPr>
        <xdr:cNvPr id="327" name="Shape 193"/>
        <xdr:cNvSpPr/>
      </xdr:nvSpPr>
      <xdr:spPr>
        <a:xfrm rot="15300000">
          <a:off x="1251720" y="3117960"/>
          <a:ext cx="511560" cy="20664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259560</xdr:colOff>
      <xdr:row>20</xdr:row>
      <xdr:rowOff>78480</xdr:rowOff>
    </xdr:to>
    <xdr:grpSp>
      <xdr:nvGrpSpPr>
        <xdr:cNvPr id="328" name="Shape 2"/>
        <xdr:cNvGrpSpPr/>
      </xdr:nvGrpSpPr>
      <xdr:grpSpPr>
        <a:xfrm>
          <a:off x="1470960" y="885600"/>
          <a:ext cx="40680" cy="2326680"/>
          <a:chOff x="1470960" y="885600"/>
          <a:chExt cx="40680" cy="2326680"/>
        </a:xfrm>
      </xdr:grpSpPr>
      <xdr:cxnSp>
        <xdr:nvCxnSpPr>
          <xdr:cNvPr id="329" name="Shape 194"/>
          <xdr:cNvCxnSpPr/>
        </xdr:nvCxnSpPr>
        <xdr:spPr>
          <a:xfrm flipH="1">
            <a:off x="1470960" y="885600"/>
            <a:ext cx="41040" cy="232704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252360</xdr:colOff>
      <xdr:row>13</xdr:row>
      <xdr:rowOff>117000</xdr:rowOff>
    </xdr:to>
    <xdr:grpSp>
      <xdr:nvGrpSpPr>
        <xdr:cNvPr id="330" name="Shape 2"/>
        <xdr:cNvGrpSpPr/>
      </xdr:nvGrpSpPr>
      <xdr:grpSpPr>
        <a:xfrm>
          <a:off x="1490040" y="876240"/>
          <a:ext cx="640800" cy="1307520"/>
          <a:chOff x="1490040" y="876240"/>
          <a:chExt cx="640800" cy="1307520"/>
        </a:xfrm>
      </xdr:grpSpPr>
      <xdr:cxnSp>
        <xdr:nvCxnSpPr>
          <xdr:cNvPr id="331" name="Shape 195"/>
          <xdr:cNvCxnSpPr/>
        </xdr:nvCxnSpPr>
        <xdr:spPr>
          <a:xfrm>
            <a:off x="1490040" y="876240"/>
            <a:ext cx="641160" cy="130788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204840</xdr:colOff>
      <xdr:row>20</xdr:row>
      <xdr:rowOff>59400</xdr:rowOff>
    </xdr:to>
    <xdr:grpSp>
      <xdr:nvGrpSpPr>
        <xdr:cNvPr id="332" name="Shape 2"/>
        <xdr:cNvGrpSpPr/>
      </xdr:nvGrpSpPr>
      <xdr:grpSpPr>
        <a:xfrm>
          <a:off x="1159200" y="1809720"/>
          <a:ext cx="297720" cy="1383480"/>
          <a:chOff x="1159200" y="1809720"/>
          <a:chExt cx="297720" cy="1383480"/>
        </a:xfrm>
      </xdr:grpSpPr>
      <xdr:cxnSp>
        <xdr:nvCxnSpPr>
          <xdr:cNvPr id="333" name="Shape 196"/>
          <xdr:cNvCxnSpPr/>
        </xdr:nvCxnSpPr>
        <xdr:spPr>
          <a:xfrm flipH="1" flipV="1">
            <a:off x="1159200" y="1809720"/>
            <a:ext cx="298080" cy="138384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606600</xdr:colOff>
      <xdr:row>13</xdr:row>
      <xdr:rowOff>92520</xdr:rowOff>
    </xdr:to>
    <xdr:sp>
      <xdr:nvSpPr>
        <xdr:cNvPr id="334" name="Shape 197"/>
        <xdr:cNvSpPr/>
      </xdr:nvSpPr>
      <xdr:spPr>
        <a:xfrm>
          <a:off x="1728360" y="1981080"/>
          <a:ext cx="1303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459720</xdr:colOff>
      <xdr:row>13</xdr:row>
      <xdr:rowOff>97560</xdr:rowOff>
    </xdr:to>
    <xdr:grpSp>
      <xdr:nvGrpSpPr>
        <xdr:cNvPr id="335" name="Shape 2"/>
        <xdr:cNvGrpSpPr/>
      </xdr:nvGrpSpPr>
      <xdr:grpSpPr>
        <a:xfrm>
          <a:off x="1518480" y="2104560"/>
          <a:ext cx="193320" cy="59760"/>
          <a:chOff x="1518480" y="2104560"/>
          <a:chExt cx="193320" cy="59760"/>
        </a:xfrm>
      </xdr:grpSpPr>
      <xdr:cxnSp>
        <xdr:nvCxnSpPr>
          <xdr:cNvPr id="336" name="Shape 198"/>
          <xdr:cNvCxnSpPr/>
        </xdr:nvCxnSpPr>
        <xdr:spPr>
          <a:xfrm flipH="1">
            <a:off x="1518480" y="2104560"/>
            <a:ext cx="193680" cy="6012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164160</xdr:colOff>
      <xdr:row>12</xdr:row>
      <xdr:rowOff>126000</xdr:rowOff>
    </xdr:to>
    <xdr:grpSp>
      <xdr:nvGrpSpPr>
        <xdr:cNvPr id="337" name="Shape 2"/>
        <xdr:cNvGrpSpPr/>
      </xdr:nvGrpSpPr>
      <xdr:grpSpPr>
        <a:xfrm>
          <a:off x="1897200" y="1952280"/>
          <a:ext cx="145440" cy="88200"/>
          <a:chOff x="1897200" y="1952280"/>
          <a:chExt cx="145440" cy="88200"/>
        </a:xfrm>
      </xdr:grpSpPr>
      <xdr:cxnSp>
        <xdr:nvCxnSpPr>
          <xdr:cNvPr id="338" name="Shape 199"/>
          <xdr:cNvCxnSpPr/>
        </xdr:nvCxnSpPr>
        <xdr:spPr>
          <a:xfrm flipV="1">
            <a:off x="1897200" y="1952280"/>
            <a:ext cx="145800" cy="8856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139680</xdr:colOff>
      <xdr:row>12</xdr:row>
      <xdr:rowOff>92520</xdr:rowOff>
    </xdr:to>
    <xdr:sp>
      <xdr:nvSpPr>
        <xdr:cNvPr id="339" name="Shape 200"/>
        <xdr:cNvSpPr/>
      </xdr:nvSpPr>
      <xdr:spPr>
        <a:xfrm>
          <a:off x="1261440" y="1828800"/>
          <a:ext cx="1303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259560</xdr:colOff>
      <xdr:row>11</xdr:row>
      <xdr:rowOff>107280</xdr:rowOff>
    </xdr:to>
    <xdr:grpSp>
      <xdr:nvGrpSpPr>
        <xdr:cNvPr id="340" name="Shape 2"/>
        <xdr:cNvGrpSpPr/>
      </xdr:nvGrpSpPr>
      <xdr:grpSpPr>
        <a:xfrm>
          <a:off x="1423440" y="1828800"/>
          <a:ext cx="88200" cy="40680"/>
          <a:chOff x="1423440" y="1828800"/>
          <a:chExt cx="88200" cy="40680"/>
        </a:xfrm>
      </xdr:grpSpPr>
      <xdr:cxnSp>
        <xdr:nvCxnSpPr>
          <xdr:cNvPr id="341" name="Shape 201"/>
          <xdr:cNvCxnSpPr/>
        </xdr:nvCxnSpPr>
        <xdr:spPr>
          <a:xfrm flipV="1">
            <a:off x="1423440" y="1828800"/>
            <a:ext cx="88560" cy="4104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621360</xdr:colOff>
      <xdr:row>12</xdr:row>
      <xdr:rowOff>30960</xdr:rowOff>
    </xdr:to>
    <xdr:grpSp>
      <xdr:nvGrpSpPr>
        <xdr:cNvPr id="342" name="Shape 2"/>
        <xdr:cNvGrpSpPr/>
      </xdr:nvGrpSpPr>
      <xdr:grpSpPr>
        <a:xfrm>
          <a:off x="1187640" y="1904760"/>
          <a:ext cx="59760" cy="40680"/>
          <a:chOff x="1187640" y="1904760"/>
          <a:chExt cx="59760" cy="40680"/>
        </a:xfrm>
      </xdr:grpSpPr>
      <xdr:cxnSp>
        <xdr:nvCxnSpPr>
          <xdr:cNvPr id="343" name="Shape 202"/>
          <xdr:cNvCxnSpPr/>
        </xdr:nvCxnSpPr>
        <xdr:spPr>
          <a:xfrm flipH="1">
            <a:off x="1187640" y="1904760"/>
            <a:ext cx="60120" cy="4104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320760</xdr:colOff>
      <xdr:row>22</xdr:row>
      <xdr:rowOff>45000</xdr:rowOff>
    </xdr:to>
    <xdr:sp>
      <xdr:nvSpPr>
        <xdr:cNvPr id="344" name="Shape 203"/>
        <xdr:cNvSpPr/>
      </xdr:nvSpPr>
      <xdr:spPr>
        <a:xfrm>
          <a:off x="1385280" y="3257640"/>
          <a:ext cx="187560" cy="22572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100080</xdr:colOff>
      <xdr:row>6</xdr:row>
      <xdr:rowOff>97560</xdr:rowOff>
    </xdr:to>
    <xdr:grpSp>
      <xdr:nvGrpSpPr>
        <xdr:cNvPr id="345" name="Shape 2"/>
        <xdr:cNvGrpSpPr/>
      </xdr:nvGrpSpPr>
      <xdr:grpSpPr>
        <a:xfrm>
          <a:off x="1054440" y="933480"/>
          <a:ext cx="297720" cy="164160"/>
          <a:chOff x="1054440" y="933480"/>
          <a:chExt cx="297720" cy="164160"/>
        </a:xfrm>
      </xdr:grpSpPr>
      <xdr:cxnSp>
        <xdr:nvCxnSpPr>
          <xdr:cNvPr id="346" name="Shape 204"/>
          <xdr:cNvCxnSpPr/>
        </xdr:nvCxnSpPr>
        <xdr:spPr>
          <a:xfrm flipH="1">
            <a:off x="1054440" y="933480"/>
            <a:ext cx="298080" cy="16452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42840</xdr:colOff>
      <xdr:row>4</xdr:row>
      <xdr:rowOff>126360</xdr:rowOff>
    </xdr:to>
    <xdr:grpSp>
      <xdr:nvGrpSpPr>
        <xdr:cNvPr id="347" name="Shape 2"/>
        <xdr:cNvGrpSpPr/>
      </xdr:nvGrpSpPr>
      <xdr:grpSpPr>
        <a:xfrm>
          <a:off x="1623240" y="666360"/>
          <a:ext cx="298080" cy="155160"/>
          <a:chOff x="1623240" y="666360"/>
          <a:chExt cx="298080" cy="155160"/>
        </a:xfrm>
      </xdr:grpSpPr>
      <xdr:cxnSp>
        <xdr:nvCxnSpPr>
          <xdr:cNvPr id="348" name="Shape 205"/>
          <xdr:cNvCxnSpPr/>
        </xdr:nvCxnSpPr>
        <xdr:spPr>
          <a:xfrm flipH="1">
            <a:off x="1623240" y="666360"/>
            <a:ext cx="298440" cy="155520"/>
          </a:xfrm>
          <a:prstGeom prst="straightConnector1">
            <a:avLst/>
          </a:prstGeom>
          <a:ln w="9525">
            <a:solidFill>
              <a:srgbClr val="000000"/>
            </a:solidFill>
            <a:miter/>
          </a:ln>
        </xdr:spPr>
      </xdr:cxnSp>
    </xdr:grpSp>
    <xdr:clientData/>
  </xdr:twoCellAnchor>
  <xdr:twoCellAnchor editAs="oneCell">
    <xdr:from>
      <xdr:col>2</xdr:col>
      <xdr:colOff>230400</xdr:colOff>
      <xdr:row>5</xdr:row>
      <xdr:rowOff>75240</xdr:rowOff>
    </xdr:from>
    <xdr:to>
      <xdr:col>2</xdr:col>
      <xdr:colOff>437040</xdr:colOff>
      <xdr:row>6</xdr:row>
      <xdr:rowOff>101160</xdr:rowOff>
    </xdr:to>
    <xdr:sp>
      <xdr:nvSpPr>
        <xdr:cNvPr id="349" name="Shape 206"/>
        <xdr:cNvSpPr/>
      </xdr:nvSpPr>
      <xdr:spPr>
        <a:xfrm rot="3420000">
          <a:off x="1496520" y="908280"/>
          <a:ext cx="178200" cy="20664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56880</xdr:colOff>
      <xdr:row>4</xdr:row>
      <xdr:rowOff>19800</xdr:rowOff>
    </xdr:from>
    <xdr:to>
      <xdr:col>6</xdr:col>
      <xdr:colOff>397080</xdr:colOff>
      <xdr:row>6</xdr:row>
      <xdr:rowOff>26280</xdr:rowOff>
    </xdr:to>
    <xdr:sp>
      <xdr:nvSpPr>
        <xdr:cNvPr id="350" name="Shape 207"/>
        <xdr:cNvSpPr/>
      </xdr:nvSpPr>
      <xdr:spPr>
        <a:xfrm rot="19920000">
          <a:off x="3883680" y="714600"/>
          <a:ext cx="340200" cy="31140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97560</xdr:colOff>
      <xdr:row>4</xdr:row>
      <xdr:rowOff>88200</xdr:rowOff>
    </xdr:to>
    <xdr:grpSp>
      <xdr:nvGrpSpPr>
        <xdr:cNvPr id="351" name="Shape 2"/>
        <xdr:cNvGrpSpPr/>
      </xdr:nvGrpSpPr>
      <xdr:grpSpPr>
        <a:xfrm>
          <a:off x="3922200" y="618840"/>
          <a:ext cx="2520" cy="164520"/>
          <a:chOff x="3922200" y="618840"/>
          <a:chExt cx="2520" cy="164520"/>
        </a:xfrm>
      </xdr:grpSpPr>
      <xdr:cxnSp>
        <xdr:nvCxnSpPr>
          <xdr:cNvPr id="352" name="Shape 208"/>
          <xdr:cNvCxnSpPr/>
        </xdr:nvCxnSpPr>
        <xdr:spPr>
          <a:xfrm>
            <a:off x="3922200" y="618840"/>
            <a:ext cx="2880" cy="164880"/>
          </a:xfrm>
          <a:prstGeom prst="straightConnector1">
            <a:avLst/>
          </a:prstGeom>
          <a:ln w="19050">
            <a:solidFill>
              <a:srgbClr val="000000"/>
            </a:solidFill>
            <a:miter/>
          </a:ln>
        </xdr:spPr>
      </xdr:cxnSp>
    </xdr:grpSp>
    <xdr:clientData/>
  </xdr:twoCellAnchor>
  <xdr:twoCellAnchor editAs="oneCell">
    <xdr:from>
      <xdr:col>6</xdr:col>
      <xdr:colOff>92880</xdr:colOff>
      <xdr:row>18</xdr:row>
      <xdr:rowOff>122400</xdr:rowOff>
    </xdr:from>
    <xdr:to>
      <xdr:col>6</xdr:col>
      <xdr:colOff>299520</xdr:colOff>
      <xdr:row>22</xdr:row>
      <xdr:rowOff>33840</xdr:rowOff>
    </xdr:to>
    <xdr:sp>
      <xdr:nvSpPr>
        <xdr:cNvPr id="353" name="Shape 209"/>
        <xdr:cNvSpPr/>
      </xdr:nvSpPr>
      <xdr:spPr>
        <a:xfrm rot="15300000">
          <a:off x="3763080" y="3107880"/>
          <a:ext cx="520920" cy="20664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249840</xdr:colOff>
      <xdr:row>20</xdr:row>
      <xdr:rowOff>59400</xdr:rowOff>
    </xdr:to>
    <xdr:grpSp>
      <xdr:nvGrpSpPr>
        <xdr:cNvPr id="354" name="Shape 2"/>
        <xdr:cNvGrpSpPr/>
      </xdr:nvGrpSpPr>
      <xdr:grpSpPr>
        <a:xfrm>
          <a:off x="4036680" y="866520"/>
          <a:ext cx="40320" cy="2326680"/>
          <a:chOff x="4036680" y="866520"/>
          <a:chExt cx="40320" cy="2326680"/>
        </a:xfrm>
      </xdr:grpSpPr>
      <xdr:cxnSp>
        <xdr:nvCxnSpPr>
          <xdr:cNvPr id="355" name="Shape 210"/>
          <xdr:cNvCxnSpPr/>
        </xdr:nvCxnSpPr>
        <xdr:spPr>
          <a:xfrm flipH="1">
            <a:off x="4036680" y="866520"/>
            <a:ext cx="40680" cy="232704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233640</xdr:colOff>
      <xdr:row>13</xdr:row>
      <xdr:rowOff>97920</xdr:rowOff>
    </xdr:to>
    <xdr:grpSp>
      <xdr:nvGrpSpPr>
        <xdr:cNvPr id="356" name="Shape 2"/>
        <xdr:cNvGrpSpPr/>
      </xdr:nvGrpSpPr>
      <xdr:grpSpPr>
        <a:xfrm>
          <a:off x="4055760" y="857160"/>
          <a:ext cx="631080" cy="1307520"/>
          <a:chOff x="4055760" y="857160"/>
          <a:chExt cx="631080" cy="1307520"/>
        </a:xfrm>
      </xdr:grpSpPr>
      <xdr:cxnSp>
        <xdr:nvCxnSpPr>
          <xdr:cNvPr id="357" name="Shape 211"/>
          <xdr:cNvCxnSpPr/>
        </xdr:nvCxnSpPr>
        <xdr:spPr>
          <a:xfrm>
            <a:off x="4055760" y="857160"/>
            <a:ext cx="631440" cy="130788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176400</xdr:colOff>
      <xdr:row>20</xdr:row>
      <xdr:rowOff>50040</xdr:rowOff>
    </xdr:to>
    <xdr:grpSp>
      <xdr:nvGrpSpPr>
        <xdr:cNvPr id="358" name="Shape 2"/>
        <xdr:cNvGrpSpPr/>
      </xdr:nvGrpSpPr>
      <xdr:grpSpPr>
        <a:xfrm>
          <a:off x="3705840" y="1800000"/>
          <a:ext cx="297720" cy="1383840"/>
          <a:chOff x="3705840" y="1800000"/>
          <a:chExt cx="297720" cy="1383840"/>
        </a:xfrm>
      </xdr:grpSpPr>
      <xdr:cxnSp>
        <xdr:nvCxnSpPr>
          <xdr:cNvPr id="359" name="Shape 196"/>
          <xdr:cNvCxnSpPr/>
        </xdr:nvCxnSpPr>
        <xdr:spPr>
          <a:xfrm flipH="1" flipV="1">
            <a:off x="3705840" y="1800000"/>
            <a:ext cx="298080" cy="138420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606600</xdr:colOff>
      <xdr:row>13</xdr:row>
      <xdr:rowOff>92520</xdr:rowOff>
    </xdr:to>
    <xdr:sp>
      <xdr:nvSpPr>
        <xdr:cNvPr id="360" name="Shape 212"/>
        <xdr:cNvSpPr/>
      </xdr:nvSpPr>
      <xdr:spPr>
        <a:xfrm>
          <a:off x="4284360" y="1981080"/>
          <a:ext cx="1494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237600</xdr:colOff>
      <xdr:row>13</xdr:row>
      <xdr:rowOff>37800</xdr:rowOff>
    </xdr:from>
    <xdr:to>
      <xdr:col>6</xdr:col>
      <xdr:colOff>430920</xdr:colOff>
      <xdr:row>13</xdr:row>
      <xdr:rowOff>97560</xdr:rowOff>
    </xdr:to>
    <xdr:grpSp>
      <xdr:nvGrpSpPr>
        <xdr:cNvPr id="361" name="Shape 2"/>
        <xdr:cNvGrpSpPr/>
      </xdr:nvGrpSpPr>
      <xdr:grpSpPr>
        <a:xfrm>
          <a:off x="4064760" y="2104560"/>
          <a:ext cx="193320" cy="59760"/>
          <a:chOff x="4064760" y="2104560"/>
          <a:chExt cx="193320" cy="59760"/>
        </a:xfrm>
      </xdr:grpSpPr>
      <xdr:cxnSp>
        <xdr:nvCxnSpPr>
          <xdr:cNvPr id="362" name="Shape 198"/>
          <xdr:cNvCxnSpPr/>
        </xdr:nvCxnSpPr>
        <xdr:spPr>
          <a:xfrm flipH="1">
            <a:off x="4064760" y="2104560"/>
            <a:ext cx="193680" cy="6012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154800</xdr:colOff>
      <xdr:row>12</xdr:row>
      <xdr:rowOff>126000</xdr:rowOff>
    </xdr:to>
    <xdr:grpSp>
      <xdr:nvGrpSpPr>
        <xdr:cNvPr id="363" name="Shape 2"/>
        <xdr:cNvGrpSpPr/>
      </xdr:nvGrpSpPr>
      <xdr:grpSpPr>
        <a:xfrm>
          <a:off x="4462560" y="1952280"/>
          <a:ext cx="145440" cy="88200"/>
          <a:chOff x="4462560" y="1952280"/>
          <a:chExt cx="145440" cy="88200"/>
        </a:xfrm>
      </xdr:grpSpPr>
      <xdr:cxnSp>
        <xdr:nvCxnSpPr>
          <xdr:cNvPr id="364" name="Shape 199"/>
          <xdr:cNvCxnSpPr/>
        </xdr:nvCxnSpPr>
        <xdr:spPr>
          <a:xfrm flipV="1">
            <a:off x="4462560" y="1952280"/>
            <a:ext cx="145800" cy="8856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120960</xdr:colOff>
      <xdr:row>12</xdr:row>
      <xdr:rowOff>64080</xdr:rowOff>
    </xdr:to>
    <xdr:sp>
      <xdr:nvSpPr>
        <xdr:cNvPr id="365" name="Shape 213"/>
        <xdr:cNvSpPr/>
      </xdr:nvSpPr>
      <xdr:spPr>
        <a:xfrm>
          <a:off x="3827160" y="180036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240480</xdr:colOff>
      <xdr:row>11</xdr:row>
      <xdr:rowOff>88200</xdr:rowOff>
    </xdr:to>
    <xdr:grpSp>
      <xdr:nvGrpSpPr>
        <xdr:cNvPr id="366" name="Shape 2"/>
        <xdr:cNvGrpSpPr/>
      </xdr:nvGrpSpPr>
      <xdr:grpSpPr>
        <a:xfrm>
          <a:off x="3979440" y="1809720"/>
          <a:ext cx="88200" cy="40680"/>
          <a:chOff x="3979440" y="1809720"/>
          <a:chExt cx="88200" cy="40680"/>
        </a:xfrm>
      </xdr:grpSpPr>
      <xdr:cxnSp>
        <xdr:nvCxnSpPr>
          <xdr:cNvPr id="367" name="Shape 201"/>
          <xdr:cNvCxnSpPr/>
        </xdr:nvCxnSpPr>
        <xdr:spPr>
          <a:xfrm flipV="1">
            <a:off x="3979440" y="1809720"/>
            <a:ext cx="88560" cy="4104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621360</xdr:colOff>
      <xdr:row>12</xdr:row>
      <xdr:rowOff>11880</xdr:rowOff>
    </xdr:to>
    <xdr:grpSp>
      <xdr:nvGrpSpPr>
        <xdr:cNvPr id="368" name="Shape 2"/>
        <xdr:cNvGrpSpPr/>
      </xdr:nvGrpSpPr>
      <xdr:grpSpPr>
        <a:xfrm>
          <a:off x="3744000" y="1885680"/>
          <a:ext cx="78480" cy="40680"/>
          <a:chOff x="3744000" y="1885680"/>
          <a:chExt cx="78480" cy="40680"/>
        </a:xfrm>
      </xdr:grpSpPr>
      <xdr:cxnSp>
        <xdr:nvCxnSpPr>
          <xdr:cNvPr id="369" name="Shape 214"/>
          <xdr:cNvCxnSpPr/>
        </xdr:nvCxnSpPr>
        <xdr:spPr>
          <a:xfrm flipH="1">
            <a:off x="3744000" y="1885680"/>
            <a:ext cx="78840" cy="4104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302040</xdr:colOff>
      <xdr:row>22</xdr:row>
      <xdr:rowOff>45000</xdr:rowOff>
    </xdr:to>
    <xdr:sp>
      <xdr:nvSpPr>
        <xdr:cNvPr id="370" name="Shape 215"/>
        <xdr:cNvSpPr/>
      </xdr:nvSpPr>
      <xdr:spPr>
        <a:xfrm>
          <a:off x="3951000" y="3257640"/>
          <a:ext cx="178200" cy="22572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81000</xdr:colOff>
      <xdr:row>6</xdr:row>
      <xdr:rowOff>88200</xdr:rowOff>
    </xdr:to>
    <xdr:grpSp>
      <xdr:nvGrpSpPr>
        <xdr:cNvPr id="371" name="Shape 2"/>
        <xdr:cNvGrpSpPr/>
      </xdr:nvGrpSpPr>
      <xdr:grpSpPr>
        <a:xfrm>
          <a:off x="3610440" y="933480"/>
          <a:ext cx="297720" cy="154800"/>
          <a:chOff x="3610440" y="933480"/>
          <a:chExt cx="297720" cy="154800"/>
        </a:xfrm>
      </xdr:grpSpPr>
      <xdr:cxnSp>
        <xdr:nvCxnSpPr>
          <xdr:cNvPr id="372" name="Shape 205"/>
          <xdr:cNvCxnSpPr/>
        </xdr:nvCxnSpPr>
        <xdr:spPr>
          <a:xfrm flipH="1">
            <a:off x="3610440" y="933480"/>
            <a:ext cx="298080" cy="15516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24120</xdr:colOff>
      <xdr:row>4</xdr:row>
      <xdr:rowOff>116640</xdr:rowOff>
    </xdr:to>
    <xdr:grpSp>
      <xdr:nvGrpSpPr>
        <xdr:cNvPr id="373" name="Shape 2"/>
        <xdr:cNvGrpSpPr/>
      </xdr:nvGrpSpPr>
      <xdr:grpSpPr>
        <a:xfrm>
          <a:off x="4179240" y="657000"/>
          <a:ext cx="298080" cy="154800"/>
          <a:chOff x="4179240" y="657000"/>
          <a:chExt cx="298080" cy="154800"/>
        </a:xfrm>
      </xdr:grpSpPr>
      <xdr:cxnSp>
        <xdr:nvCxnSpPr>
          <xdr:cNvPr id="374" name="Shape 205"/>
          <xdr:cNvCxnSpPr/>
        </xdr:nvCxnSpPr>
        <xdr:spPr>
          <a:xfrm flipH="1">
            <a:off x="4179240" y="657000"/>
            <a:ext cx="298440" cy="155160"/>
          </a:xfrm>
          <a:prstGeom prst="straightConnector1">
            <a:avLst/>
          </a:prstGeom>
          <a:ln w="9525">
            <a:solidFill>
              <a:srgbClr val="000000"/>
            </a:solidFill>
            <a:miter/>
          </a:ln>
        </xdr:spPr>
      </xdr:cxnSp>
    </xdr:grpSp>
    <xdr:clientData/>
  </xdr:twoCellAnchor>
  <xdr:twoCellAnchor editAs="oneCell">
    <xdr:from>
      <xdr:col>6</xdr:col>
      <xdr:colOff>221040</xdr:colOff>
      <xdr:row>5</xdr:row>
      <xdr:rowOff>75600</xdr:rowOff>
    </xdr:from>
    <xdr:to>
      <xdr:col>6</xdr:col>
      <xdr:colOff>408600</xdr:colOff>
      <xdr:row>6</xdr:row>
      <xdr:rowOff>82440</xdr:rowOff>
    </xdr:to>
    <xdr:sp>
      <xdr:nvSpPr>
        <xdr:cNvPr id="375" name="Shape 216"/>
        <xdr:cNvSpPr/>
      </xdr:nvSpPr>
      <xdr:spPr>
        <a:xfrm rot="3420000">
          <a:off x="4061880" y="909000"/>
          <a:ext cx="159120" cy="18756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85320</xdr:colOff>
      <xdr:row>4</xdr:row>
      <xdr:rowOff>73440</xdr:rowOff>
    </xdr:to>
    <xdr:sp>
      <xdr:nvSpPr>
        <xdr:cNvPr id="376" name="Shape 217"/>
        <xdr:cNvSpPr/>
      </xdr:nvSpPr>
      <xdr:spPr>
        <a:xfrm>
          <a:off x="1188000" y="609480"/>
          <a:ext cx="14940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473400</xdr:colOff>
      <xdr:row>7</xdr:row>
      <xdr:rowOff>35280</xdr:rowOff>
    </xdr:to>
    <xdr:sp>
      <xdr:nvSpPr>
        <xdr:cNvPr id="377" name="Shape 218"/>
        <xdr:cNvSpPr/>
      </xdr:nvSpPr>
      <xdr:spPr>
        <a:xfrm>
          <a:off x="950040" y="1028520"/>
          <a:ext cx="14940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454680</xdr:colOff>
      <xdr:row>7</xdr:row>
      <xdr:rowOff>130680</xdr:rowOff>
    </xdr:to>
    <xdr:sp>
      <xdr:nvSpPr>
        <xdr:cNvPr id="378" name="Shape 219"/>
        <xdr:cNvSpPr/>
      </xdr:nvSpPr>
      <xdr:spPr>
        <a:xfrm>
          <a:off x="1595160" y="1123920"/>
          <a:ext cx="11160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66240</xdr:colOff>
      <xdr:row>3</xdr:row>
      <xdr:rowOff>101880</xdr:rowOff>
    </xdr:to>
    <xdr:sp>
      <xdr:nvSpPr>
        <xdr:cNvPr id="379" name="Shape 220"/>
        <xdr:cNvSpPr/>
      </xdr:nvSpPr>
      <xdr:spPr>
        <a:xfrm>
          <a:off x="3744000" y="495360"/>
          <a:ext cx="149400" cy="1494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425520</xdr:colOff>
      <xdr:row>7</xdr:row>
      <xdr:rowOff>16200</xdr:rowOff>
    </xdr:to>
    <xdr:sp>
      <xdr:nvSpPr>
        <xdr:cNvPr id="380" name="Shape 221"/>
        <xdr:cNvSpPr/>
      </xdr:nvSpPr>
      <xdr:spPr>
        <a:xfrm>
          <a:off x="3477240" y="1009440"/>
          <a:ext cx="14940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387720</xdr:colOff>
      <xdr:row>7</xdr:row>
      <xdr:rowOff>73440</xdr:rowOff>
    </xdr:to>
    <xdr:sp>
      <xdr:nvSpPr>
        <xdr:cNvPr id="381" name="Shape 222"/>
        <xdr:cNvSpPr/>
      </xdr:nvSpPr>
      <xdr:spPr>
        <a:xfrm>
          <a:off x="4103280" y="1066680"/>
          <a:ext cx="111600" cy="159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342000</xdr:colOff>
      <xdr:row>34</xdr:row>
      <xdr:rowOff>66600</xdr:rowOff>
    </xdr:from>
    <xdr:to>
      <xdr:col>4</xdr:col>
      <xdr:colOff>640440</xdr:colOff>
      <xdr:row>34</xdr:row>
      <xdr:rowOff>69120</xdr:rowOff>
    </xdr:to>
    <xdr:grpSp>
      <xdr:nvGrpSpPr>
        <xdr:cNvPr id="382" name="Shape 2"/>
        <xdr:cNvGrpSpPr/>
      </xdr:nvGrpSpPr>
      <xdr:grpSpPr>
        <a:xfrm>
          <a:off x="2846520" y="5543640"/>
          <a:ext cx="298440" cy="2520"/>
          <a:chOff x="2846520" y="5543640"/>
          <a:chExt cx="298440" cy="2520"/>
        </a:xfrm>
      </xdr:grpSpPr>
      <xdr:cxnSp>
        <xdr:nvCxnSpPr>
          <xdr:cNvPr id="383" name="Shape 223"/>
          <xdr:cNvCxnSpPr/>
        </xdr:nvCxnSpPr>
        <xdr:spPr>
          <a:xfrm flipH="1">
            <a:off x="2846520" y="5543640"/>
            <a:ext cx="298800" cy="288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326160</xdr:colOff>
      <xdr:row>35</xdr:row>
      <xdr:rowOff>2520</xdr:rowOff>
    </xdr:to>
    <xdr:grpSp>
      <xdr:nvGrpSpPr>
        <xdr:cNvPr id="384" name="Shape 2"/>
        <xdr:cNvGrpSpPr/>
      </xdr:nvGrpSpPr>
      <xdr:grpSpPr>
        <a:xfrm>
          <a:off x="2828160" y="5562720"/>
          <a:ext cx="2520" cy="78480"/>
          <a:chOff x="2828160" y="5562720"/>
          <a:chExt cx="2520" cy="78480"/>
        </a:xfrm>
      </xdr:grpSpPr>
      <xdr:cxnSp>
        <xdr:nvCxnSpPr>
          <xdr:cNvPr id="385" name="Shape 187"/>
          <xdr:cNvCxnSpPr/>
        </xdr:nvCxnSpPr>
        <xdr:spPr>
          <a:xfrm>
            <a:off x="2828160" y="5562720"/>
            <a:ext cx="2880" cy="7884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50</xdr:row>
      <xdr:rowOff>47520</xdr:rowOff>
    </xdr:from>
    <xdr:to>
      <xdr:col>4</xdr:col>
      <xdr:colOff>640440</xdr:colOff>
      <xdr:row>50</xdr:row>
      <xdr:rowOff>50040</xdr:rowOff>
    </xdr:to>
    <xdr:grpSp>
      <xdr:nvGrpSpPr>
        <xdr:cNvPr id="386" name="Shape 2"/>
        <xdr:cNvGrpSpPr/>
      </xdr:nvGrpSpPr>
      <xdr:grpSpPr>
        <a:xfrm>
          <a:off x="2846520" y="9229680"/>
          <a:ext cx="298440" cy="2520"/>
          <a:chOff x="2846520" y="9229680"/>
          <a:chExt cx="298440" cy="2520"/>
        </a:xfrm>
      </xdr:grpSpPr>
      <xdr:cxnSp>
        <xdr:nvCxnSpPr>
          <xdr:cNvPr id="387" name="Shape 223"/>
          <xdr:cNvCxnSpPr/>
        </xdr:nvCxnSpPr>
        <xdr:spPr>
          <a:xfrm flipH="1">
            <a:off x="2846520" y="9229680"/>
            <a:ext cx="298800" cy="288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326160</xdr:colOff>
      <xdr:row>50</xdr:row>
      <xdr:rowOff>154800</xdr:rowOff>
    </xdr:to>
    <xdr:grpSp>
      <xdr:nvGrpSpPr>
        <xdr:cNvPr id="388" name="Shape 2"/>
        <xdr:cNvGrpSpPr/>
      </xdr:nvGrpSpPr>
      <xdr:grpSpPr>
        <a:xfrm>
          <a:off x="2828160" y="9248760"/>
          <a:ext cx="2520" cy="88200"/>
          <a:chOff x="2828160" y="9248760"/>
          <a:chExt cx="2520" cy="88200"/>
        </a:xfrm>
      </xdr:grpSpPr>
      <xdr:cxnSp>
        <xdr:nvCxnSpPr>
          <xdr:cNvPr id="389" name="Shape 189"/>
          <xdr:cNvCxnSpPr/>
        </xdr:nvCxnSpPr>
        <xdr:spPr>
          <a:xfrm>
            <a:off x="2828160" y="9248760"/>
            <a:ext cx="2880" cy="8856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160200</xdr:colOff>
      <xdr:row>9</xdr:row>
      <xdr:rowOff>101880</xdr:rowOff>
    </xdr:to>
    <xdr:sp>
      <xdr:nvSpPr>
        <xdr:cNvPr id="390" name="Shape 224"/>
        <xdr:cNvSpPr/>
      </xdr:nvSpPr>
      <xdr:spPr>
        <a:xfrm>
          <a:off x="2278440" y="1409760"/>
          <a:ext cx="1082880" cy="1494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357120</xdr:colOff>
      <xdr:row>9</xdr:row>
      <xdr:rowOff>69120</xdr:rowOff>
    </xdr:to>
    <xdr:grpSp>
      <xdr:nvGrpSpPr>
        <xdr:cNvPr id="391" name="Shape 2"/>
        <xdr:cNvGrpSpPr/>
      </xdr:nvGrpSpPr>
      <xdr:grpSpPr>
        <a:xfrm>
          <a:off x="1814040" y="1466640"/>
          <a:ext cx="421560" cy="59760"/>
          <a:chOff x="1814040" y="1466640"/>
          <a:chExt cx="421560" cy="59760"/>
        </a:xfrm>
      </xdr:grpSpPr>
      <xdr:cxnSp>
        <xdr:nvCxnSpPr>
          <xdr:cNvPr id="392" name="Shape 225"/>
          <xdr:cNvCxnSpPr/>
        </xdr:nvCxnSpPr>
        <xdr:spPr>
          <a:xfrm flipH="1">
            <a:off x="1814040" y="1466640"/>
            <a:ext cx="421920" cy="6012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113400</xdr:rowOff>
    </xdr:from>
    <xdr:to>
      <xdr:col>6</xdr:col>
      <xdr:colOff>385920</xdr:colOff>
      <xdr:row>9</xdr:row>
      <xdr:rowOff>49680</xdr:rowOff>
    </xdr:to>
    <xdr:grpSp>
      <xdr:nvGrpSpPr>
        <xdr:cNvPr id="393" name="Shape 2"/>
        <xdr:cNvGrpSpPr/>
      </xdr:nvGrpSpPr>
      <xdr:grpSpPr>
        <a:xfrm>
          <a:off x="3658320" y="1265760"/>
          <a:ext cx="554760" cy="241200"/>
          <a:chOff x="3658320" y="1265760"/>
          <a:chExt cx="554760" cy="241200"/>
        </a:xfrm>
      </xdr:grpSpPr>
      <xdr:cxnSp>
        <xdr:nvCxnSpPr>
          <xdr:cNvPr id="394" name="Shape 226"/>
          <xdr:cNvCxnSpPr/>
        </xdr:nvCxnSpPr>
        <xdr:spPr>
          <a:xfrm flipV="1">
            <a:off x="3658320" y="1265760"/>
            <a:ext cx="555120" cy="24156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288000</xdr:colOff>
      <xdr:row>36</xdr:row>
      <xdr:rowOff>2520</xdr:rowOff>
    </xdr:to>
    <xdr:grpSp>
      <xdr:nvGrpSpPr>
        <xdr:cNvPr id="395" name="Shape 2"/>
        <xdr:cNvGrpSpPr/>
      </xdr:nvGrpSpPr>
      <xdr:grpSpPr>
        <a:xfrm>
          <a:off x="11906640" y="5172120"/>
          <a:ext cx="2520" cy="631080"/>
          <a:chOff x="11906640" y="5172120"/>
          <a:chExt cx="2520" cy="631080"/>
        </a:xfrm>
      </xdr:grpSpPr>
      <xdr:cxnSp>
        <xdr:nvCxnSpPr>
          <xdr:cNvPr id="396" name="Shape 227"/>
          <xdr:cNvCxnSpPr/>
        </xdr:nvCxnSpPr>
        <xdr:spPr>
          <a:xfrm>
            <a:off x="11906640" y="5172120"/>
            <a:ext cx="2880" cy="63144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52560</xdr:colOff>
      <xdr:row>61</xdr:row>
      <xdr:rowOff>82800</xdr:rowOff>
    </xdr:to>
    <xdr:sp>
      <xdr:nvSpPr>
        <xdr:cNvPr id="397" name="Shape 228"/>
        <xdr:cNvSpPr/>
      </xdr:nvSpPr>
      <xdr:spPr>
        <a:xfrm>
          <a:off x="13543920" y="11620440"/>
          <a:ext cx="1921320" cy="492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9000</xdr:colOff>
      <xdr:row>59</xdr:row>
      <xdr:rowOff>142560</xdr:rowOff>
    </xdr:from>
    <xdr:to>
      <xdr:col>19</xdr:col>
      <xdr:colOff>592920</xdr:colOff>
      <xdr:row>59</xdr:row>
      <xdr:rowOff>145080</xdr:rowOff>
    </xdr:to>
    <xdr:grpSp>
      <xdr:nvGrpSpPr>
        <xdr:cNvPr id="398" name="Shape 2"/>
        <xdr:cNvGrpSpPr/>
      </xdr:nvGrpSpPr>
      <xdr:grpSpPr>
        <a:xfrm>
          <a:off x="12917160" y="11705760"/>
          <a:ext cx="583920" cy="2520"/>
          <a:chOff x="12917160" y="11705760"/>
          <a:chExt cx="583920" cy="2520"/>
        </a:xfrm>
      </xdr:grpSpPr>
      <xdr:cxnSp>
        <xdr:nvCxnSpPr>
          <xdr:cNvPr id="399" name="Shape 229"/>
          <xdr:cNvCxnSpPr/>
        </xdr:nvCxnSpPr>
        <xdr:spPr>
          <a:xfrm flipH="1">
            <a:off x="12917160" y="11705760"/>
            <a:ext cx="584280" cy="288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564480</xdr:colOff>
      <xdr:row>53</xdr:row>
      <xdr:rowOff>12240</xdr:rowOff>
    </xdr:to>
    <xdr:grpSp>
      <xdr:nvGrpSpPr>
        <xdr:cNvPr id="400" name="Shape 2"/>
        <xdr:cNvGrpSpPr/>
      </xdr:nvGrpSpPr>
      <xdr:grpSpPr>
        <a:xfrm>
          <a:off x="12183120" y="9486720"/>
          <a:ext cx="2520" cy="193320"/>
          <a:chOff x="12183120" y="9486720"/>
          <a:chExt cx="2520" cy="193320"/>
        </a:xfrm>
      </xdr:grpSpPr>
      <xdr:cxnSp>
        <xdr:nvCxnSpPr>
          <xdr:cNvPr id="401" name="Shape 230"/>
          <xdr:cNvCxnSpPr/>
        </xdr:nvCxnSpPr>
        <xdr:spPr>
          <a:xfrm>
            <a:off x="12183120" y="9486720"/>
            <a:ext cx="2880" cy="19368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-720</xdr:rowOff>
    </xdr:from>
    <xdr:to>
      <xdr:col>17</xdr:col>
      <xdr:colOff>564480</xdr:colOff>
      <xdr:row>49</xdr:row>
      <xdr:rowOff>2160</xdr:rowOff>
    </xdr:to>
    <xdr:grpSp>
      <xdr:nvGrpSpPr>
        <xdr:cNvPr id="402" name="Shape 2"/>
        <xdr:cNvGrpSpPr/>
      </xdr:nvGrpSpPr>
      <xdr:grpSpPr>
        <a:xfrm>
          <a:off x="12183120" y="8867160"/>
          <a:ext cx="2520" cy="164880"/>
          <a:chOff x="12183120" y="8867160"/>
          <a:chExt cx="2520" cy="164880"/>
        </a:xfrm>
      </xdr:grpSpPr>
      <xdr:cxnSp>
        <xdr:nvCxnSpPr>
          <xdr:cNvPr id="403" name="Shape 231"/>
          <xdr:cNvCxnSpPr/>
        </xdr:nvCxnSpPr>
        <xdr:spPr>
          <a:xfrm flipV="1">
            <a:off x="12183120" y="8867160"/>
            <a:ext cx="2880" cy="16524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231120</xdr:colOff>
      <xdr:row>67</xdr:row>
      <xdr:rowOff>2520</xdr:rowOff>
    </xdr:to>
    <xdr:grpSp>
      <xdr:nvGrpSpPr>
        <xdr:cNvPr id="404" name="Shape 2"/>
        <xdr:cNvGrpSpPr/>
      </xdr:nvGrpSpPr>
      <xdr:grpSpPr>
        <a:xfrm>
          <a:off x="2107080" y="12801600"/>
          <a:ext cx="2520" cy="192960"/>
          <a:chOff x="2107080" y="12801600"/>
          <a:chExt cx="2520" cy="192960"/>
        </a:xfrm>
      </xdr:grpSpPr>
      <xdr:cxnSp>
        <xdr:nvCxnSpPr>
          <xdr:cNvPr id="405" name="Shape 232"/>
          <xdr:cNvCxnSpPr/>
        </xdr:nvCxnSpPr>
        <xdr:spPr>
          <a:xfrm flipV="1">
            <a:off x="2107080" y="12801600"/>
            <a:ext cx="2880" cy="19332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335880</xdr:colOff>
      <xdr:row>67</xdr:row>
      <xdr:rowOff>2520</xdr:rowOff>
    </xdr:to>
    <xdr:grpSp>
      <xdr:nvGrpSpPr>
        <xdr:cNvPr id="406" name="Shape 2"/>
        <xdr:cNvGrpSpPr/>
      </xdr:nvGrpSpPr>
      <xdr:grpSpPr>
        <a:xfrm>
          <a:off x="6899040" y="12810960"/>
          <a:ext cx="40680" cy="183600"/>
          <a:chOff x="6899040" y="12810960"/>
          <a:chExt cx="40680" cy="183600"/>
        </a:xfrm>
      </xdr:grpSpPr>
      <xdr:cxnSp>
        <xdr:nvCxnSpPr>
          <xdr:cNvPr id="407" name="Shape 233"/>
          <xdr:cNvCxnSpPr/>
        </xdr:nvCxnSpPr>
        <xdr:spPr>
          <a:xfrm>
            <a:off x="6899040" y="12810960"/>
            <a:ext cx="41040" cy="183960"/>
          </a:xfrm>
          <a:prstGeom prst="straightConnector1">
            <a:avLst/>
          </a:prstGeom>
          <a:ln w="38100">
            <a:solidFill>
              <a:srgbClr val="000000"/>
            </a:solidFill>
            <a:miter/>
            <a:tailEnd len="med" type="triangle" w="med"/>
          </a:ln>
        </xdr:spPr>
      </xdr:cxnSp>
    </xdr:grpSp>
    <xdr:clientData/>
  </xdr:twoCellAnchor>
  <xdr:twoCellAnchor editAs="oneCell">
    <xdr:from>
      <xdr:col>4</xdr:col>
      <xdr:colOff>342000</xdr:colOff>
      <xdr:row>72</xdr:row>
      <xdr:rowOff>47520</xdr:rowOff>
    </xdr:from>
    <xdr:to>
      <xdr:col>4</xdr:col>
      <xdr:colOff>640440</xdr:colOff>
      <xdr:row>72</xdr:row>
      <xdr:rowOff>50040</xdr:rowOff>
    </xdr:to>
    <xdr:grpSp>
      <xdr:nvGrpSpPr>
        <xdr:cNvPr id="408" name="Shape 2"/>
        <xdr:cNvGrpSpPr/>
      </xdr:nvGrpSpPr>
      <xdr:grpSpPr>
        <a:xfrm>
          <a:off x="2846520" y="13858920"/>
          <a:ext cx="298440" cy="2520"/>
          <a:chOff x="2846520" y="13858920"/>
          <a:chExt cx="298440" cy="2520"/>
        </a:xfrm>
      </xdr:grpSpPr>
      <xdr:cxnSp>
        <xdr:nvCxnSpPr>
          <xdr:cNvPr id="409" name="Shape 223"/>
          <xdr:cNvCxnSpPr/>
        </xdr:nvCxnSpPr>
        <xdr:spPr>
          <a:xfrm flipH="1">
            <a:off x="2846520" y="13858920"/>
            <a:ext cx="298800" cy="288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326160</xdr:colOff>
      <xdr:row>72</xdr:row>
      <xdr:rowOff>154800</xdr:rowOff>
    </xdr:to>
    <xdr:grpSp>
      <xdr:nvGrpSpPr>
        <xdr:cNvPr id="410" name="Shape 2"/>
        <xdr:cNvGrpSpPr/>
      </xdr:nvGrpSpPr>
      <xdr:grpSpPr>
        <a:xfrm>
          <a:off x="2828160" y="13878000"/>
          <a:ext cx="2520" cy="88200"/>
          <a:chOff x="2828160" y="13878000"/>
          <a:chExt cx="2520" cy="88200"/>
        </a:xfrm>
      </xdr:grpSpPr>
      <xdr:cxnSp>
        <xdr:nvCxnSpPr>
          <xdr:cNvPr id="411" name="Shape 189"/>
          <xdr:cNvCxnSpPr/>
        </xdr:nvCxnSpPr>
        <xdr:spPr>
          <a:xfrm>
            <a:off x="2828160" y="13878000"/>
            <a:ext cx="2880" cy="8856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259200</xdr:colOff>
      <xdr:row>82</xdr:row>
      <xdr:rowOff>111600</xdr:rowOff>
    </xdr:to>
    <xdr:sp>
      <xdr:nvSpPr>
        <xdr:cNvPr id="412" name="Shape 234"/>
        <xdr:cNvSpPr/>
      </xdr:nvSpPr>
      <xdr:spPr>
        <a:xfrm>
          <a:off x="13543920" y="16259040"/>
          <a:ext cx="1501920" cy="34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564480</xdr:colOff>
      <xdr:row>75</xdr:row>
      <xdr:rowOff>11880</xdr:rowOff>
    </xdr:to>
    <xdr:grpSp>
      <xdr:nvGrpSpPr>
        <xdr:cNvPr id="413" name="Shape 2"/>
        <xdr:cNvGrpSpPr/>
      </xdr:nvGrpSpPr>
      <xdr:grpSpPr>
        <a:xfrm>
          <a:off x="12183120" y="14115600"/>
          <a:ext cx="2520" cy="193320"/>
          <a:chOff x="12183120" y="14115600"/>
          <a:chExt cx="2520" cy="193320"/>
        </a:xfrm>
      </xdr:grpSpPr>
      <xdr:cxnSp>
        <xdr:nvCxnSpPr>
          <xdr:cNvPr id="414" name="Shape 230"/>
          <xdr:cNvCxnSpPr/>
        </xdr:nvCxnSpPr>
        <xdr:spPr>
          <a:xfrm>
            <a:off x="12183120" y="14115600"/>
            <a:ext cx="2880" cy="19368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564480</xdr:colOff>
      <xdr:row>71</xdr:row>
      <xdr:rowOff>2160</xdr:rowOff>
    </xdr:to>
    <xdr:grpSp>
      <xdr:nvGrpSpPr>
        <xdr:cNvPr id="415" name="Shape 2"/>
        <xdr:cNvGrpSpPr/>
      </xdr:nvGrpSpPr>
      <xdr:grpSpPr>
        <a:xfrm>
          <a:off x="12183120" y="13496760"/>
          <a:ext cx="2520" cy="164160"/>
          <a:chOff x="12183120" y="13496760"/>
          <a:chExt cx="2520" cy="164160"/>
        </a:xfrm>
      </xdr:grpSpPr>
      <xdr:cxnSp>
        <xdr:nvCxnSpPr>
          <xdr:cNvPr id="416" name="Shape 231"/>
          <xdr:cNvCxnSpPr/>
        </xdr:nvCxnSpPr>
        <xdr:spPr>
          <a:xfrm flipV="1">
            <a:off x="12183120" y="13496760"/>
            <a:ext cx="2880" cy="16452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93</xdr:row>
      <xdr:rowOff>66600</xdr:rowOff>
    </xdr:from>
    <xdr:to>
      <xdr:col>4</xdr:col>
      <xdr:colOff>640440</xdr:colOff>
      <xdr:row>93</xdr:row>
      <xdr:rowOff>69120</xdr:rowOff>
    </xdr:to>
    <xdr:grpSp>
      <xdr:nvGrpSpPr>
        <xdr:cNvPr id="417" name="Shape 2"/>
        <xdr:cNvGrpSpPr/>
      </xdr:nvGrpSpPr>
      <xdr:grpSpPr>
        <a:xfrm>
          <a:off x="2846520" y="18259200"/>
          <a:ext cx="298440" cy="2520"/>
          <a:chOff x="2846520" y="18259200"/>
          <a:chExt cx="298440" cy="2520"/>
        </a:xfrm>
      </xdr:grpSpPr>
      <xdr:cxnSp>
        <xdr:nvCxnSpPr>
          <xdr:cNvPr id="418" name="Shape 223"/>
          <xdr:cNvCxnSpPr/>
        </xdr:nvCxnSpPr>
        <xdr:spPr>
          <a:xfrm flipH="1">
            <a:off x="2846520" y="18259200"/>
            <a:ext cx="298800" cy="288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326160</xdr:colOff>
      <xdr:row>94</xdr:row>
      <xdr:rowOff>2160</xdr:rowOff>
    </xdr:to>
    <xdr:grpSp>
      <xdr:nvGrpSpPr>
        <xdr:cNvPr id="419" name="Shape 2"/>
        <xdr:cNvGrpSpPr/>
      </xdr:nvGrpSpPr>
      <xdr:grpSpPr>
        <a:xfrm>
          <a:off x="2828160" y="18278280"/>
          <a:ext cx="2520" cy="78480"/>
          <a:chOff x="2828160" y="18278280"/>
          <a:chExt cx="2520" cy="78480"/>
        </a:xfrm>
      </xdr:grpSpPr>
      <xdr:cxnSp>
        <xdr:nvCxnSpPr>
          <xdr:cNvPr id="420" name="Shape 187"/>
          <xdr:cNvCxnSpPr/>
        </xdr:nvCxnSpPr>
        <xdr:spPr>
          <a:xfrm>
            <a:off x="2828160" y="18278280"/>
            <a:ext cx="2880" cy="7884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78840</xdr:rowOff>
    </xdr:from>
    <xdr:to>
      <xdr:col>18</xdr:col>
      <xdr:colOff>12240</xdr:colOff>
      <xdr:row>38</xdr:row>
      <xdr:rowOff>28440</xdr:rowOff>
    </xdr:to>
    <xdr:sp>
      <xdr:nvSpPr>
        <xdr:cNvPr id="421" name="Shape 235"/>
        <xdr:cNvSpPr/>
      </xdr:nvSpPr>
      <xdr:spPr>
        <a:xfrm rot="16200000">
          <a:off x="11620800" y="5774760"/>
          <a:ext cx="1197360" cy="14940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523440</xdr:colOff>
      <xdr:row>15</xdr:row>
      <xdr:rowOff>34920</xdr:rowOff>
    </xdr:to>
    <xdr:sp>
      <xdr:nvSpPr>
        <xdr:cNvPr id="422" name="Shape 236"/>
        <xdr:cNvSpPr/>
      </xdr:nvSpPr>
      <xdr:spPr>
        <a:xfrm>
          <a:off x="7401600" y="1618920"/>
          <a:ext cx="978120" cy="78768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523440</xdr:colOff>
      <xdr:row>15</xdr:row>
      <xdr:rowOff>101880</xdr:rowOff>
    </xdr:to>
    <xdr:sp>
      <xdr:nvSpPr>
        <xdr:cNvPr id="423" name="Shape 237"/>
        <xdr:cNvSpPr/>
      </xdr:nvSpPr>
      <xdr:spPr>
        <a:xfrm>
          <a:off x="7401600" y="2409840"/>
          <a:ext cx="978120" cy="637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523440</xdr:colOff>
      <xdr:row>10</xdr:row>
      <xdr:rowOff>6840</xdr:rowOff>
    </xdr:to>
    <xdr:sp>
      <xdr:nvSpPr>
        <xdr:cNvPr id="424" name="Shape 238"/>
        <xdr:cNvSpPr/>
      </xdr:nvSpPr>
      <xdr:spPr>
        <a:xfrm>
          <a:off x="7401600" y="1542960"/>
          <a:ext cx="978120" cy="73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37440</xdr:rowOff>
    </xdr:from>
    <xdr:to>
      <xdr:col>12</xdr:col>
      <xdr:colOff>78480</xdr:colOff>
      <xdr:row>9</xdr:row>
      <xdr:rowOff>97560</xdr:rowOff>
    </xdr:to>
    <xdr:grpSp>
      <xdr:nvGrpSpPr>
        <xdr:cNvPr id="425" name="Shape 2"/>
        <xdr:cNvGrpSpPr/>
      </xdr:nvGrpSpPr>
      <xdr:grpSpPr>
        <a:xfrm>
          <a:off x="7932240" y="1189800"/>
          <a:ext cx="2520" cy="365040"/>
          <a:chOff x="7932240" y="1189800"/>
          <a:chExt cx="2520" cy="365040"/>
        </a:xfrm>
      </xdr:grpSpPr>
      <xdr:cxnSp>
        <xdr:nvCxnSpPr>
          <xdr:cNvPr id="426" name="Shape 239"/>
          <xdr:cNvCxnSpPr/>
        </xdr:nvCxnSpPr>
        <xdr:spPr>
          <a:xfrm flipV="1">
            <a:off x="7932240" y="1189800"/>
            <a:ext cx="2880" cy="36540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74880</xdr:rowOff>
    </xdr:from>
    <xdr:to>
      <xdr:col>12</xdr:col>
      <xdr:colOff>69120</xdr:colOff>
      <xdr:row>6</xdr:row>
      <xdr:rowOff>126360</xdr:rowOff>
    </xdr:to>
    <xdr:grpSp>
      <xdr:nvGrpSpPr>
        <xdr:cNvPr id="427" name="Shape 2"/>
        <xdr:cNvGrpSpPr/>
      </xdr:nvGrpSpPr>
      <xdr:grpSpPr>
        <a:xfrm>
          <a:off x="7922880" y="465480"/>
          <a:ext cx="2520" cy="660960"/>
          <a:chOff x="7922880" y="465480"/>
          <a:chExt cx="2520" cy="660960"/>
        </a:xfrm>
      </xdr:grpSpPr>
      <xdr:cxnSp>
        <xdr:nvCxnSpPr>
          <xdr:cNvPr id="428" name="Shape 240"/>
          <xdr:cNvCxnSpPr/>
        </xdr:nvCxnSpPr>
        <xdr:spPr>
          <a:xfrm flipV="1">
            <a:off x="7922880" y="465480"/>
            <a:ext cx="2880" cy="66132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59400</xdr:colOff>
      <xdr:row>22</xdr:row>
      <xdr:rowOff>78840</xdr:rowOff>
    </xdr:to>
    <xdr:grpSp>
      <xdr:nvGrpSpPr>
        <xdr:cNvPr id="429" name="Shape 2"/>
        <xdr:cNvGrpSpPr/>
      </xdr:nvGrpSpPr>
      <xdr:grpSpPr>
        <a:xfrm>
          <a:off x="7913160" y="2466720"/>
          <a:ext cx="2520" cy="1050480"/>
          <a:chOff x="7913160" y="2466720"/>
          <a:chExt cx="2520" cy="1050480"/>
        </a:xfrm>
      </xdr:grpSpPr>
      <xdr:cxnSp>
        <xdr:nvCxnSpPr>
          <xdr:cNvPr id="430" name="Shape 241"/>
          <xdr:cNvCxnSpPr/>
        </xdr:nvCxnSpPr>
        <xdr:spPr>
          <a:xfrm flipV="1">
            <a:off x="7913160" y="2466720"/>
            <a:ext cx="2880" cy="105084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52560</xdr:colOff>
      <xdr:row>12</xdr:row>
      <xdr:rowOff>78480</xdr:rowOff>
    </xdr:to>
    <xdr:grpSp>
      <xdr:nvGrpSpPr>
        <xdr:cNvPr id="431" name="Shape 2"/>
        <xdr:cNvGrpSpPr/>
      </xdr:nvGrpSpPr>
      <xdr:grpSpPr>
        <a:xfrm>
          <a:off x="8501040" y="1990440"/>
          <a:ext cx="659880" cy="2520"/>
          <a:chOff x="8501040" y="1990440"/>
          <a:chExt cx="659880" cy="2520"/>
        </a:xfrm>
      </xdr:grpSpPr>
      <xdr:cxnSp>
        <xdr:nvCxnSpPr>
          <xdr:cNvPr id="432" name="Shape 242"/>
          <xdr:cNvCxnSpPr/>
        </xdr:nvCxnSpPr>
        <xdr:spPr>
          <a:xfrm>
            <a:off x="8501040" y="1990440"/>
            <a:ext cx="660240" cy="288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118800</xdr:colOff>
      <xdr:row>12</xdr:row>
      <xdr:rowOff>78480</xdr:rowOff>
    </xdr:to>
    <xdr:grpSp>
      <xdr:nvGrpSpPr>
        <xdr:cNvPr id="433" name="Shape 2"/>
        <xdr:cNvGrpSpPr/>
      </xdr:nvGrpSpPr>
      <xdr:grpSpPr>
        <a:xfrm>
          <a:off x="6708600" y="1990440"/>
          <a:ext cx="640440" cy="2520"/>
          <a:chOff x="6708600" y="1990440"/>
          <a:chExt cx="640440" cy="2520"/>
        </a:xfrm>
      </xdr:grpSpPr>
      <xdr:cxnSp>
        <xdr:nvCxnSpPr>
          <xdr:cNvPr id="434" name="Shape 243"/>
          <xdr:cNvCxnSpPr/>
        </xdr:nvCxnSpPr>
        <xdr:spPr>
          <a:xfrm>
            <a:off x="6708600" y="1990440"/>
            <a:ext cx="640800" cy="288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292680</xdr:colOff>
      <xdr:row>3</xdr:row>
      <xdr:rowOff>45000</xdr:rowOff>
    </xdr:to>
    <xdr:sp>
      <xdr:nvSpPr>
        <xdr:cNvPr id="435" name="Shape 244"/>
        <xdr:cNvSpPr/>
      </xdr:nvSpPr>
      <xdr:spPr>
        <a:xfrm>
          <a:off x="8075520" y="390600"/>
          <a:ext cx="73440" cy="19728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104400</xdr:colOff>
      <xdr:row>2</xdr:row>
      <xdr:rowOff>34920</xdr:rowOff>
    </xdr:to>
    <xdr:sp>
      <xdr:nvSpPr>
        <xdr:cNvPr id="436" name="Shape 245"/>
        <xdr:cNvSpPr/>
      </xdr:nvSpPr>
      <xdr:spPr>
        <a:xfrm>
          <a:off x="7792200" y="237960"/>
          <a:ext cx="16848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120960</xdr:colOff>
      <xdr:row>23</xdr:row>
      <xdr:rowOff>130320</xdr:rowOff>
    </xdr:to>
    <xdr:sp>
      <xdr:nvSpPr>
        <xdr:cNvPr id="437" name="Shape 246"/>
        <xdr:cNvSpPr/>
      </xdr:nvSpPr>
      <xdr:spPr>
        <a:xfrm>
          <a:off x="7856280" y="354312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730440</xdr:colOff>
      <xdr:row>13</xdr:row>
      <xdr:rowOff>35280</xdr:rowOff>
    </xdr:to>
    <xdr:sp>
      <xdr:nvSpPr>
        <xdr:cNvPr id="438" name="Shape 247"/>
        <xdr:cNvSpPr/>
      </xdr:nvSpPr>
      <xdr:spPr>
        <a:xfrm>
          <a:off x="6399000" y="1923840"/>
          <a:ext cx="1684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225720</xdr:colOff>
      <xdr:row>13</xdr:row>
      <xdr:rowOff>25920</xdr:rowOff>
    </xdr:to>
    <xdr:sp>
      <xdr:nvSpPr>
        <xdr:cNvPr id="439" name="Shape 248"/>
        <xdr:cNvSpPr/>
      </xdr:nvSpPr>
      <xdr:spPr>
        <a:xfrm>
          <a:off x="9194040" y="1914480"/>
          <a:ext cx="1400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95040</xdr:colOff>
      <xdr:row>13</xdr:row>
      <xdr:rowOff>25920</xdr:rowOff>
    </xdr:to>
    <xdr:sp>
      <xdr:nvSpPr>
        <xdr:cNvPr id="440" name="Shape 249"/>
        <xdr:cNvSpPr/>
      </xdr:nvSpPr>
      <xdr:spPr>
        <a:xfrm>
          <a:off x="7782840" y="1914480"/>
          <a:ext cx="1684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104400</xdr:rowOff>
    </xdr:from>
    <xdr:to>
      <xdr:col>11</xdr:col>
      <xdr:colOff>604800</xdr:colOff>
      <xdr:row>9</xdr:row>
      <xdr:rowOff>69120</xdr:rowOff>
    </xdr:to>
    <xdr:grpSp>
      <xdr:nvGrpSpPr>
        <xdr:cNvPr id="441" name="Shape 2"/>
        <xdr:cNvGrpSpPr/>
      </xdr:nvGrpSpPr>
      <xdr:grpSpPr>
        <a:xfrm>
          <a:off x="6794280" y="333000"/>
          <a:ext cx="1040760" cy="1193400"/>
          <a:chOff x="6794280" y="333000"/>
          <a:chExt cx="1040760" cy="1193400"/>
        </a:xfrm>
      </xdr:grpSpPr>
      <xdr:cxnSp>
        <xdr:nvCxnSpPr>
          <xdr:cNvPr id="442" name="Shape 250"/>
          <xdr:cNvCxnSpPr/>
        </xdr:nvCxnSpPr>
        <xdr:spPr>
          <a:xfrm flipH="1" flipV="1">
            <a:off x="6794280" y="333000"/>
            <a:ext cx="1041120" cy="119376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378000</xdr:colOff>
      <xdr:row>4</xdr:row>
      <xdr:rowOff>25920</xdr:rowOff>
    </xdr:to>
    <xdr:sp>
      <xdr:nvSpPr>
        <xdr:cNvPr id="443" name="Shape 251"/>
        <xdr:cNvSpPr/>
      </xdr:nvSpPr>
      <xdr:spPr>
        <a:xfrm>
          <a:off x="7401600" y="542880"/>
          <a:ext cx="2066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145080</xdr:colOff>
      <xdr:row>4</xdr:row>
      <xdr:rowOff>88200</xdr:rowOff>
    </xdr:to>
    <xdr:grpSp>
      <xdr:nvGrpSpPr>
        <xdr:cNvPr id="444" name="Shape 2"/>
        <xdr:cNvGrpSpPr/>
      </xdr:nvGrpSpPr>
      <xdr:grpSpPr>
        <a:xfrm>
          <a:off x="7258680" y="695160"/>
          <a:ext cx="116640" cy="88200"/>
          <a:chOff x="7258680" y="695160"/>
          <a:chExt cx="116640" cy="88200"/>
        </a:xfrm>
      </xdr:grpSpPr>
      <xdr:cxnSp>
        <xdr:nvCxnSpPr>
          <xdr:cNvPr id="445" name="Shape 252"/>
          <xdr:cNvCxnSpPr/>
        </xdr:nvCxnSpPr>
        <xdr:spPr>
          <a:xfrm flipH="1">
            <a:off x="7258680" y="695160"/>
            <a:ext cx="117000" cy="8856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37440</xdr:rowOff>
    </xdr:from>
    <xdr:to>
      <xdr:col>12</xdr:col>
      <xdr:colOff>24120</xdr:colOff>
      <xdr:row>3</xdr:row>
      <xdr:rowOff>78480</xdr:rowOff>
    </xdr:to>
    <xdr:grpSp>
      <xdr:nvGrpSpPr>
        <xdr:cNvPr id="446" name="Shape 2"/>
        <xdr:cNvGrpSpPr/>
      </xdr:nvGrpSpPr>
      <xdr:grpSpPr>
        <a:xfrm>
          <a:off x="7715880" y="580320"/>
          <a:ext cx="164520" cy="41040"/>
          <a:chOff x="7715880" y="580320"/>
          <a:chExt cx="164520" cy="41040"/>
        </a:xfrm>
      </xdr:grpSpPr>
      <xdr:cxnSp>
        <xdr:nvCxnSpPr>
          <xdr:cNvPr id="447" name="Shape 253"/>
          <xdr:cNvCxnSpPr/>
        </xdr:nvCxnSpPr>
        <xdr:spPr>
          <a:xfrm flipV="1">
            <a:off x="7715880" y="580320"/>
            <a:ext cx="164880" cy="4140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247320</xdr:colOff>
      <xdr:row>24</xdr:row>
      <xdr:rowOff>111600</xdr:rowOff>
    </xdr:to>
    <xdr:sp>
      <xdr:nvSpPr>
        <xdr:cNvPr id="448" name="Shape 254"/>
        <xdr:cNvSpPr/>
      </xdr:nvSpPr>
      <xdr:spPr>
        <a:xfrm>
          <a:off x="7620840" y="3676680"/>
          <a:ext cx="4827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56880</xdr:colOff>
      <xdr:row>7</xdr:row>
      <xdr:rowOff>130680</xdr:rowOff>
    </xdr:to>
    <xdr:sp>
      <xdr:nvSpPr>
        <xdr:cNvPr id="449" name="Shape 255"/>
        <xdr:cNvSpPr/>
      </xdr:nvSpPr>
      <xdr:spPr>
        <a:xfrm>
          <a:off x="8018280" y="1104840"/>
          <a:ext cx="5209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43920</xdr:colOff>
      <xdr:row>15</xdr:row>
      <xdr:rowOff>44640</xdr:rowOff>
    </xdr:to>
    <xdr:sp>
      <xdr:nvSpPr>
        <xdr:cNvPr id="450" name="Shape 256"/>
        <xdr:cNvSpPr/>
      </xdr:nvSpPr>
      <xdr:spPr>
        <a:xfrm>
          <a:off x="11319120" y="1638000"/>
          <a:ext cx="1006920" cy="77832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43920</xdr:colOff>
      <xdr:row>15</xdr:row>
      <xdr:rowOff>120960</xdr:rowOff>
    </xdr:to>
    <xdr:sp>
      <xdr:nvSpPr>
        <xdr:cNvPr id="451" name="Shape 257"/>
        <xdr:cNvSpPr/>
      </xdr:nvSpPr>
      <xdr:spPr>
        <a:xfrm>
          <a:off x="11319120" y="2409840"/>
          <a:ext cx="100692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43920</xdr:colOff>
      <xdr:row>10</xdr:row>
      <xdr:rowOff>16200</xdr:rowOff>
    </xdr:to>
    <xdr:sp>
      <xdr:nvSpPr>
        <xdr:cNvPr id="452" name="Shape 257"/>
        <xdr:cNvSpPr/>
      </xdr:nvSpPr>
      <xdr:spPr>
        <a:xfrm>
          <a:off x="11319120" y="1542960"/>
          <a:ext cx="100692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221400</xdr:colOff>
      <xdr:row>9</xdr:row>
      <xdr:rowOff>97560</xdr:rowOff>
    </xdr:to>
    <xdr:grpSp>
      <xdr:nvGrpSpPr>
        <xdr:cNvPr id="453" name="Shape 2"/>
        <xdr:cNvGrpSpPr/>
      </xdr:nvGrpSpPr>
      <xdr:grpSpPr>
        <a:xfrm>
          <a:off x="11840040" y="466560"/>
          <a:ext cx="2520" cy="1088280"/>
          <a:chOff x="11840040" y="466560"/>
          <a:chExt cx="2520" cy="1088280"/>
        </a:xfrm>
      </xdr:grpSpPr>
      <xdr:cxnSp>
        <xdr:nvCxnSpPr>
          <xdr:cNvPr id="454" name="Shape 258"/>
          <xdr:cNvCxnSpPr/>
        </xdr:nvCxnSpPr>
        <xdr:spPr>
          <a:xfrm flipV="1">
            <a:off x="11840040" y="466560"/>
            <a:ext cx="2880" cy="108864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212040</xdr:colOff>
      <xdr:row>22</xdr:row>
      <xdr:rowOff>78840</xdr:rowOff>
    </xdr:to>
    <xdr:grpSp>
      <xdr:nvGrpSpPr>
        <xdr:cNvPr id="455" name="Shape 2"/>
        <xdr:cNvGrpSpPr/>
      </xdr:nvGrpSpPr>
      <xdr:grpSpPr>
        <a:xfrm>
          <a:off x="11830680" y="2485800"/>
          <a:ext cx="2520" cy="1031400"/>
          <a:chOff x="11830680" y="2485800"/>
          <a:chExt cx="2520" cy="1031400"/>
        </a:xfrm>
      </xdr:grpSpPr>
      <xdr:cxnSp>
        <xdr:nvCxnSpPr>
          <xdr:cNvPr id="456" name="Shape 259"/>
          <xdr:cNvCxnSpPr/>
        </xdr:nvCxnSpPr>
        <xdr:spPr>
          <a:xfrm flipV="1">
            <a:off x="11830680" y="2485800"/>
            <a:ext cx="2880" cy="103176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128880</xdr:colOff>
      <xdr:row>12</xdr:row>
      <xdr:rowOff>78480</xdr:rowOff>
    </xdr:to>
    <xdr:grpSp>
      <xdr:nvGrpSpPr>
        <xdr:cNvPr id="457" name="Shape 2"/>
        <xdr:cNvGrpSpPr/>
      </xdr:nvGrpSpPr>
      <xdr:grpSpPr>
        <a:xfrm>
          <a:off x="12396240" y="1990440"/>
          <a:ext cx="640800" cy="2520"/>
          <a:chOff x="12396240" y="1990440"/>
          <a:chExt cx="640800" cy="2520"/>
        </a:xfrm>
      </xdr:grpSpPr>
      <xdr:cxnSp>
        <xdr:nvCxnSpPr>
          <xdr:cNvPr id="458" name="Shape 260"/>
          <xdr:cNvCxnSpPr/>
        </xdr:nvCxnSpPr>
        <xdr:spPr>
          <a:xfrm>
            <a:off x="12396240" y="1990440"/>
            <a:ext cx="641160" cy="288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300240</xdr:colOff>
      <xdr:row>12</xdr:row>
      <xdr:rowOff>78480</xdr:rowOff>
    </xdr:to>
    <xdr:grpSp>
      <xdr:nvGrpSpPr>
        <xdr:cNvPr id="459" name="Shape 2"/>
        <xdr:cNvGrpSpPr/>
      </xdr:nvGrpSpPr>
      <xdr:grpSpPr>
        <a:xfrm>
          <a:off x="10654560" y="1990440"/>
          <a:ext cx="640800" cy="2520"/>
          <a:chOff x="10654560" y="1990440"/>
          <a:chExt cx="640800" cy="2520"/>
        </a:xfrm>
      </xdr:grpSpPr>
      <xdr:cxnSp>
        <xdr:nvCxnSpPr>
          <xdr:cNvPr id="460" name="Shape 260"/>
          <xdr:cNvCxnSpPr/>
        </xdr:nvCxnSpPr>
        <xdr:spPr>
          <a:xfrm>
            <a:off x="10654560" y="1990440"/>
            <a:ext cx="641160" cy="288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454320</xdr:colOff>
      <xdr:row>3</xdr:row>
      <xdr:rowOff>54360</xdr:rowOff>
    </xdr:to>
    <xdr:sp>
      <xdr:nvSpPr>
        <xdr:cNvPr id="461" name="Shape 261"/>
        <xdr:cNvSpPr/>
      </xdr:nvSpPr>
      <xdr:spPr>
        <a:xfrm>
          <a:off x="11992680" y="399960"/>
          <a:ext cx="82800" cy="19728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263880</xdr:colOff>
      <xdr:row>23</xdr:row>
      <xdr:rowOff>130320</xdr:rowOff>
    </xdr:to>
    <xdr:sp>
      <xdr:nvSpPr>
        <xdr:cNvPr id="462" name="Shape 262"/>
        <xdr:cNvSpPr/>
      </xdr:nvSpPr>
      <xdr:spPr>
        <a:xfrm>
          <a:off x="11764080" y="354312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159120</xdr:colOff>
      <xdr:row>13</xdr:row>
      <xdr:rowOff>35280</xdr:rowOff>
    </xdr:to>
    <xdr:sp>
      <xdr:nvSpPr>
        <xdr:cNvPr id="463" name="Shape 263"/>
        <xdr:cNvSpPr/>
      </xdr:nvSpPr>
      <xdr:spPr>
        <a:xfrm>
          <a:off x="10369080" y="1923840"/>
          <a:ext cx="1591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340200</xdr:colOff>
      <xdr:row>13</xdr:row>
      <xdr:rowOff>35280</xdr:rowOff>
    </xdr:to>
    <xdr:sp>
      <xdr:nvSpPr>
        <xdr:cNvPr id="464" name="Shape 264"/>
        <xdr:cNvSpPr/>
      </xdr:nvSpPr>
      <xdr:spPr>
        <a:xfrm>
          <a:off x="13108320" y="1923840"/>
          <a:ext cx="1400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263880</xdr:colOff>
      <xdr:row>13</xdr:row>
      <xdr:rowOff>25920</xdr:rowOff>
    </xdr:to>
    <xdr:sp>
      <xdr:nvSpPr>
        <xdr:cNvPr id="465" name="Shape 265"/>
        <xdr:cNvSpPr/>
      </xdr:nvSpPr>
      <xdr:spPr>
        <a:xfrm>
          <a:off x="11725920" y="1914480"/>
          <a:ext cx="1591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332640</xdr:colOff>
      <xdr:row>1</xdr:row>
      <xdr:rowOff>114120</xdr:rowOff>
    </xdr:from>
    <xdr:to>
      <xdr:col>17</xdr:col>
      <xdr:colOff>131400</xdr:colOff>
      <xdr:row>12</xdr:row>
      <xdr:rowOff>50040</xdr:rowOff>
    </xdr:to>
    <xdr:grpSp>
      <xdr:nvGrpSpPr>
        <xdr:cNvPr id="466" name="Shape 2"/>
        <xdr:cNvGrpSpPr/>
      </xdr:nvGrpSpPr>
      <xdr:grpSpPr>
        <a:xfrm>
          <a:off x="10701720" y="342720"/>
          <a:ext cx="1050840" cy="1621800"/>
          <a:chOff x="10701720" y="342720"/>
          <a:chExt cx="1050840" cy="1621800"/>
        </a:xfrm>
      </xdr:grpSpPr>
      <xdr:cxnSp>
        <xdr:nvCxnSpPr>
          <xdr:cNvPr id="467" name="Shape 266"/>
          <xdr:cNvCxnSpPr/>
        </xdr:nvCxnSpPr>
        <xdr:spPr>
          <a:xfrm flipH="1" flipV="1">
            <a:off x="10701720" y="342720"/>
            <a:ext cx="1051200" cy="162216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511560</xdr:colOff>
      <xdr:row>4</xdr:row>
      <xdr:rowOff>92520</xdr:rowOff>
    </xdr:to>
    <xdr:sp>
      <xdr:nvSpPr>
        <xdr:cNvPr id="468" name="Shape 267"/>
        <xdr:cNvSpPr/>
      </xdr:nvSpPr>
      <xdr:spPr>
        <a:xfrm>
          <a:off x="11300040" y="609480"/>
          <a:ext cx="2066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288000</xdr:colOff>
      <xdr:row>5</xdr:row>
      <xdr:rowOff>11520</xdr:rowOff>
    </xdr:to>
    <xdr:grpSp>
      <xdr:nvGrpSpPr>
        <xdr:cNvPr id="469" name="Shape 2"/>
        <xdr:cNvGrpSpPr/>
      </xdr:nvGrpSpPr>
      <xdr:grpSpPr>
        <a:xfrm>
          <a:off x="11099880" y="732960"/>
          <a:ext cx="183240" cy="126360"/>
          <a:chOff x="11099880" y="732960"/>
          <a:chExt cx="183240" cy="126360"/>
        </a:xfrm>
      </xdr:grpSpPr>
      <xdr:cxnSp>
        <xdr:nvCxnSpPr>
          <xdr:cNvPr id="470" name="Shape 268"/>
          <xdr:cNvCxnSpPr/>
        </xdr:nvCxnSpPr>
        <xdr:spPr>
          <a:xfrm flipH="1">
            <a:off x="11099880" y="732960"/>
            <a:ext cx="183600" cy="12672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66240</xdr:rowOff>
    </xdr:from>
    <xdr:to>
      <xdr:col>17</xdr:col>
      <xdr:colOff>176400</xdr:colOff>
      <xdr:row>3</xdr:row>
      <xdr:rowOff>107280</xdr:rowOff>
    </xdr:to>
    <xdr:grpSp>
      <xdr:nvGrpSpPr>
        <xdr:cNvPr id="471" name="Shape 2"/>
        <xdr:cNvGrpSpPr/>
      </xdr:nvGrpSpPr>
      <xdr:grpSpPr>
        <a:xfrm>
          <a:off x="11557080" y="609120"/>
          <a:ext cx="240480" cy="41040"/>
          <a:chOff x="11557080" y="609120"/>
          <a:chExt cx="240480" cy="41040"/>
        </a:xfrm>
      </xdr:grpSpPr>
      <xdr:cxnSp>
        <xdr:nvCxnSpPr>
          <xdr:cNvPr id="472" name="Shape 269"/>
          <xdr:cNvCxnSpPr/>
        </xdr:nvCxnSpPr>
        <xdr:spPr>
          <a:xfrm flipV="1">
            <a:off x="11557080" y="609120"/>
            <a:ext cx="240840" cy="4140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390240</xdr:colOff>
      <xdr:row>24</xdr:row>
      <xdr:rowOff>111600</xdr:rowOff>
    </xdr:to>
    <xdr:sp>
      <xdr:nvSpPr>
        <xdr:cNvPr id="473" name="Shape 270"/>
        <xdr:cNvSpPr/>
      </xdr:nvSpPr>
      <xdr:spPr>
        <a:xfrm>
          <a:off x="11538000" y="3676680"/>
          <a:ext cx="4734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540360</xdr:colOff>
      <xdr:row>14</xdr:row>
      <xdr:rowOff>63720</xdr:rowOff>
    </xdr:to>
    <xdr:sp>
      <xdr:nvSpPr>
        <xdr:cNvPr id="474" name="Shape 271"/>
        <xdr:cNvSpPr/>
      </xdr:nvSpPr>
      <xdr:spPr>
        <a:xfrm>
          <a:off x="12482280" y="2104920"/>
          <a:ext cx="3402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116640</xdr:colOff>
      <xdr:row>15</xdr:row>
      <xdr:rowOff>34920</xdr:rowOff>
    </xdr:to>
    <xdr:sp>
      <xdr:nvSpPr>
        <xdr:cNvPr id="475" name="Shape 272"/>
        <xdr:cNvSpPr/>
      </xdr:nvSpPr>
      <xdr:spPr>
        <a:xfrm>
          <a:off x="15148440" y="1618920"/>
          <a:ext cx="1006920" cy="78768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116640</xdr:colOff>
      <xdr:row>15</xdr:row>
      <xdr:rowOff>101880</xdr:rowOff>
    </xdr:to>
    <xdr:sp>
      <xdr:nvSpPr>
        <xdr:cNvPr id="476" name="Shape 273"/>
        <xdr:cNvSpPr/>
      </xdr:nvSpPr>
      <xdr:spPr>
        <a:xfrm>
          <a:off x="15148440" y="2409840"/>
          <a:ext cx="1006920" cy="637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116640</xdr:colOff>
      <xdr:row>10</xdr:row>
      <xdr:rowOff>6840</xdr:rowOff>
    </xdr:to>
    <xdr:sp>
      <xdr:nvSpPr>
        <xdr:cNvPr id="477" name="Shape 274"/>
        <xdr:cNvSpPr/>
      </xdr:nvSpPr>
      <xdr:spPr>
        <a:xfrm>
          <a:off x="15148440" y="1542960"/>
          <a:ext cx="1006920" cy="73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535680</xdr:colOff>
      <xdr:row>19</xdr:row>
      <xdr:rowOff>88200</xdr:rowOff>
    </xdr:to>
    <xdr:grpSp>
      <xdr:nvGrpSpPr>
        <xdr:cNvPr id="478" name="Shape 2"/>
        <xdr:cNvGrpSpPr/>
      </xdr:nvGrpSpPr>
      <xdr:grpSpPr>
        <a:xfrm>
          <a:off x="14853240" y="2466360"/>
          <a:ext cx="469080" cy="603000"/>
          <a:chOff x="14853240" y="2466360"/>
          <a:chExt cx="469080" cy="603000"/>
        </a:xfrm>
      </xdr:grpSpPr>
      <xdr:cxnSp>
        <xdr:nvCxnSpPr>
          <xdr:cNvPr id="479" name="Shape 275"/>
          <xdr:cNvCxnSpPr/>
        </xdr:nvCxnSpPr>
        <xdr:spPr>
          <a:xfrm flipV="1">
            <a:off x="14853240" y="2466360"/>
            <a:ext cx="469440" cy="60336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268920</xdr:colOff>
      <xdr:row>9</xdr:row>
      <xdr:rowOff>97560</xdr:rowOff>
    </xdr:to>
    <xdr:grpSp>
      <xdr:nvGrpSpPr>
        <xdr:cNvPr id="480" name="Shape 2"/>
        <xdr:cNvGrpSpPr/>
      </xdr:nvGrpSpPr>
      <xdr:grpSpPr>
        <a:xfrm>
          <a:off x="15679080" y="466560"/>
          <a:ext cx="2520" cy="1088280"/>
          <a:chOff x="15679080" y="466560"/>
          <a:chExt cx="2520" cy="1088280"/>
        </a:xfrm>
      </xdr:grpSpPr>
      <xdr:cxnSp>
        <xdr:nvCxnSpPr>
          <xdr:cNvPr id="481" name="Shape 258"/>
          <xdr:cNvCxnSpPr/>
        </xdr:nvCxnSpPr>
        <xdr:spPr>
          <a:xfrm flipV="1">
            <a:off x="15679080" y="466560"/>
            <a:ext cx="2880" cy="108864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259560</xdr:colOff>
      <xdr:row>22</xdr:row>
      <xdr:rowOff>78840</xdr:rowOff>
    </xdr:to>
    <xdr:grpSp>
      <xdr:nvGrpSpPr>
        <xdr:cNvPr id="482" name="Shape 2"/>
        <xdr:cNvGrpSpPr/>
      </xdr:nvGrpSpPr>
      <xdr:grpSpPr>
        <a:xfrm>
          <a:off x="15669720" y="2466720"/>
          <a:ext cx="2520" cy="1050480"/>
          <a:chOff x="15669720" y="2466720"/>
          <a:chExt cx="2520" cy="1050480"/>
        </a:xfrm>
      </xdr:grpSpPr>
      <xdr:cxnSp>
        <xdr:nvCxnSpPr>
          <xdr:cNvPr id="483" name="Shape 241"/>
          <xdr:cNvCxnSpPr/>
        </xdr:nvCxnSpPr>
        <xdr:spPr>
          <a:xfrm flipV="1">
            <a:off x="15669720" y="2466720"/>
            <a:ext cx="2880" cy="105084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233280</xdr:colOff>
      <xdr:row>12</xdr:row>
      <xdr:rowOff>78480</xdr:rowOff>
    </xdr:to>
    <xdr:grpSp>
      <xdr:nvGrpSpPr>
        <xdr:cNvPr id="484" name="Shape 2"/>
        <xdr:cNvGrpSpPr/>
      </xdr:nvGrpSpPr>
      <xdr:grpSpPr>
        <a:xfrm>
          <a:off x="16257600" y="1990440"/>
          <a:ext cx="640800" cy="2520"/>
          <a:chOff x="16257600" y="1990440"/>
          <a:chExt cx="640800" cy="2520"/>
        </a:xfrm>
      </xdr:grpSpPr>
      <xdr:cxnSp>
        <xdr:nvCxnSpPr>
          <xdr:cNvPr id="485" name="Shape 243"/>
          <xdr:cNvCxnSpPr/>
        </xdr:nvCxnSpPr>
        <xdr:spPr>
          <a:xfrm>
            <a:off x="16257600" y="1990440"/>
            <a:ext cx="641160" cy="288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309600</xdr:colOff>
      <xdr:row>12</xdr:row>
      <xdr:rowOff>78480</xdr:rowOff>
    </xdr:to>
    <xdr:grpSp>
      <xdr:nvGrpSpPr>
        <xdr:cNvPr id="486" name="Shape 2"/>
        <xdr:cNvGrpSpPr/>
      </xdr:nvGrpSpPr>
      <xdr:grpSpPr>
        <a:xfrm>
          <a:off x="14455800" y="1990440"/>
          <a:ext cx="640440" cy="2520"/>
          <a:chOff x="14455800" y="1990440"/>
          <a:chExt cx="640440" cy="2520"/>
        </a:xfrm>
      </xdr:grpSpPr>
      <xdr:cxnSp>
        <xdr:nvCxnSpPr>
          <xdr:cNvPr id="487" name="Shape 243"/>
          <xdr:cNvCxnSpPr/>
        </xdr:nvCxnSpPr>
        <xdr:spPr>
          <a:xfrm>
            <a:off x="14455800" y="1990440"/>
            <a:ext cx="640800" cy="288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501840</xdr:colOff>
      <xdr:row>3</xdr:row>
      <xdr:rowOff>45000</xdr:rowOff>
    </xdr:to>
    <xdr:sp>
      <xdr:nvSpPr>
        <xdr:cNvPr id="488" name="Shape 261"/>
        <xdr:cNvSpPr/>
      </xdr:nvSpPr>
      <xdr:spPr>
        <a:xfrm>
          <a:off x="15831720" y="390600"/>
          <a:ext cx="82800" cy="19728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292320</xdr:colOff>
      <xdr:row>23</xdr:row>
      <xdr:rowOff>130320</xdr:rowOff>
    </xdr:to>
    <xdr:sp>
      <xdr:nvSpPr>
        <xdr:cNvPr id="489" name="Shape 276"/>
        <xdr:cNvSpPr/>
      </xdr:nvSpPr>
      <xdr:spPr>
        <a:xfrm>
          <a:off x="15584040" y="354312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225720</xdr:colOff>
      <xdr:row>13</xdr:row>
      <xdr:rowOff>35280</xdr:rowOff>
    </xdr:to>
    <xdr:sp>
      <xdr:nvSpPr>
        <xdr:cNvPr id="490" name="Shape 277"/>
        <xdr:cNvSpPr/>
      </xdr:nvSpPr>
      <xdr:spPr>
        <a:xfrm>
          <a:off x="14217840" y="1923840"/>
          <a:ext cx="1684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416160</xdr:colOff>
      <xdr:row>13</xdr:row>
      <xdr:rowOff>25920</xdr:rowOff>
    </xdr:to>
    <xdr:sp>
      <xdr:nvSpPr>
        <xdr:cNvPr id="491" name="Shape 278"/>
        <xdr:cNvSpPr/>
      </xdr:nvSpPr>
      <xdr:spPr>
        <a:xfrm>
          <a:off x="16941240" y="1914480"/>
          <a:ext cx="1400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330480</xdr:colOff>
      <xdr:row>13</xdr:row>
      <xdr:rowOff>25920</xdr:rowOff>
    </xdr:to>
    <xdr:sp>
      <xdr:nvSpPr>
        <xdr:cNvPr id="492" name="Shape 279"/>
        <xdr:cNvSpPr/>
      </xdr:nvSpPr>
      <xdr:spPr>
        <a:xfrm>
          <a:off x="15574680" y="1914480"/>
          <a:ext cx="1684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214560</xdr:colOff>
      <xdr:row>22</xdr:row>
      <xdr:rowOff>107280</xdr:rowOff>
    </xdr:to>
    <xdr:grpSp>
      <xdr:nvGrpSpPr>
        <xdr:cNvPr id="493" name="Shape 2"/>
        <xdr:cNvGrpSpPr/>
      </xdr:nvGrpSpPr>
      <xdr:grpSpPr>
        <a:xfrm>
          <a:off x="14910120" y="2028600"/>
          <a:ext cx="717120" cy="1517040"/>
          <a:chOff x="14910120" y="2028600"/>
          <a:chExt cx="717120" cy="1517040"/>
        </a:xfrm>
      </xdr:grpSpPr>
      <xdr:cxnSp>
        <xdr:nvCxnSpPr>
          <xdr:cNvPr id="494" name="Shape 280"/>
          <xdr:cNvCxnSpPr/>
        </xdr:nvCxnSpPr>
        <xdr:spPr>
          <a:xfrm flipH="1">
            <a:off x="14910120" y="2028600"/>
            <a:ext cx="717480" cy="151740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19080</xdr:colOff>
      <xdr:row>21</xdr:row>
      <xdr:rowOff>130680</xdr:rowOff>
    </xdr:to>
    <xdr:sp>
      <xdr:nvSpPr>
        <xdr:cNvPr id="495" name="Shape 281"/>
        <xdr:cNvSpPr/>
      </xdr:nvSpPr>
      <xdr:spPr>
        <a:xfrm>
          <a:off x="15215400" y="3238560"/>
          <a:ext cx="2163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392760</xdr:colOff>
      <xdr:row>21</xdr:row>
      <xdr:rowOff>59400</xdr:rowOff>
    </xdr:to>
    <xdr:grpSp>
      <xdr:nvGrpSpPr>
        <xdr:cNvPr id="496" name="Shape 2"/>
        <xdr:cNvGrpSpPr/>
      </xdr:nvGrpSpPr>
      <xdr:grpSpPr>
        <a:xfrm>
          <a:off x="15024600" y="3286080"/>
          <a:ext cx="154800" cy="59400"/>
          <a:chOff x="15024600" y="3286080"/>
          <a:chExt cx="154800" cy="59400"/>
        </a:xfrm>
      </xdr:grpSpPr>
      <xdr:cxnSp>
        <xdr:nvCxnSpPr>
          <xdr:cNvPr id="497" name="Shape 282"/>
          <xdr:cNvCxnSpPr/>
        </xdr:nvCxnSpPr>
        <xdr:spPr>
          <a:xfrm flipH="1" flipV="1">
            <a:off x="15024600" y="3286080"/>
            <a:ext cx="155160" cy="5976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288000</xdr:colOff>
      <xdr:row>21</xdr:row>
      <xdr:rowOff>78480</xdr:rowOff>
    </xdr:to>
    <xdr:grpSp>
      <xdr:nvGrpSpPr>
        <xdr:cNvPr id="498" name="Shape 2"/>
        <xdr:cNvGrpSpPr/>
      </xdr:nvGrpSpPr>
      <xdr:grpSpPr>
        <a:xfrm>
          <a:off x="15545880" y="3323880"/>
          <a:ext cx="154800" cy="40680"/>
          <a:chOff x="15545880" y="3323880"/>
          <a:chExt cx="154800" cy="40680"/>
        </a:xfrm>
      </xdr:grpSpPr>
      <xdr:cxnSp>
        <xdr:nvCxnSpPr>
          <xdr:cNvPr id="499" name="Shape 283"/>
          <xdr:cNvCxnSpPr/>
        </xdr:nvCxnSpPr>
        <xdr:spPr>
          <a:xfrm flipV="1">
            <a:off x="15545880" y="3323880"/>
            <a:ext cx="155160" cy="4104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444960</xdr:colOff>
      <xdr:row>24</xdr:row>
      <xdr:rowOff>111600</xdr:rowOff>
    </xdr:to>
    <xdr:sp>
      <xdr:nvSpPr>
        <xdr:cNvPr id="500" name="Shape 284"/>
        <xdr:cNvSpPr/>
      </xdr:nvSpPr>
      <xdr:spPr>
        <a:xfrm>
          <a:off x="15412680" y="3676680"/>
          <a:ext cx="444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173520</xdr:colOff>
      <xdr:row>21</xdr:row>
      <xdr:rowOff>54360</xdr:rowOff>
    </xdr:to>
    <xdr:sp>
      <xdr:nvSpPr>
        <xdr:cNvPr id="501" name="Shape 285"/>
        <xdr:cNvSpPr/>
      </xdr:nvSpPr>
      <xdr:spPr>
        <a:xfrm>
          <a:off x="15946200" y="3162240"/>
          <a:ext cx="89244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292320</xdr:colOff>
      <xdr:row>2</xdr:row>
      <xdr:rowOff>82800</xdr:rowOff>
    </xdr:to>
    <xdr:sp>
      <xdr:nvSpPr>
        <xdr:cNvPr id="502" name="Shape 286"/>
        <xdr:cNvSpPr/>
      </xdr:nvSpPr>
      <xdr:spPr>
        <a:xfrm>
          <a:off x="11754360" y="285840"/>
          <a:ext cx="1591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330480</xdr:colOff>
      <xdr:row>2</xdr:row>
      <xdr:rowOff>82800</xdr:rowOff>
    </xdr:to>
    <xdr:sp>
      <xdr:nvSpPr>
        <xdr:cNvPr id="503" name="Shape 287"/>
        <xdr:cNvSpPr/>
      </xdr:nvSpPr>
      <xdr:spPr>
        <a:xfrm>
          <a:off x="15584040" y="285840"/>
          <a:ext cx="1591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488160</xdr:colOff>
      <xdr:row>19</xdr:row>
      <xdr:rowOff>88200</xdr:rowOff>
    </xdr:to>
    <xdr:grpSp>
      <xdr:nvGrpSpPr>
        <xdr:cNvPr id="504" name="Shape 2"/>
        <xdr:cNvGrpSpPr/>
      </xdr:nvGrpSpPr>
      <xdr:grpSpPr>
        <a:xfrm>
          <a:off x="16057440" y="2466360"/>
          <a:ext cx="469440" cy="603000"/>
          <a:chOff x="16057440" y="2466360"/>
          <a:chExt cx="469440" cy="603000"/>
        </a:xfrm>
      </xdr:grpSpPr>
      <xdr:cxnSp>
        <xdr:nvCxnSpPr>
          <xdr:cNvPr id="505" name="Shape 288"/>
          <xdr:cNvCxnSpPr/>
        </xdr:nvCxnSpPr>
        <xdr:spPr>
          <a:xfrm flipH="1" flipV="1">
            <a:off x="16057440" y="2466360"/>
            <a:ext cx="469800" cy="60336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50040</xdr:colOff>
      <xdr:row>15</xdr:row>
      <xdr:rowOff>16200</xdr:rowOff>
    </xdr:to>
    <xdr:sp>
      <xdr:nvSpPr>
        <xdr:cNvPr id="506" name="Shape 256"/>
        <xdr:cNvSpPr/>
      </xdr:nvSpPr>
      <xdr:spPr>
        <a:xfrm>
          <a:off x="18838440" y="1609560"/>
          <a:ext cx="1006920" cy="77832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50040</xdr:colOff>
      <xdr:row>15</xdr:row>
      <xdr:rowOff>92160</xdr:rowOff>
    </xdr:to>
    <xdr:sp>
      <xdr:nvSpPr>
        <xdr:cNvPr id="507" name="Shape 257"/>
        <xdr:cNvSpPr/>
      </xdr:nvSpPr>
      <xdr:spPr>
        <a:xfrm>
          <a:off x="18838440" y="2381040"/>
          <a:ext cx="100692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50040</xdr:colOff>
      <xdr:row>9</xdr:row>
      <xdr:rowOff>149400</xdr:rowOff>
    </xdr:to>
    <xdr:sp>
      <xdr:nvSpPr>
        <xdr:cNvPr id="508" name="Shape 257"/>
        <xdr:cNvSpPr/>
      </xdr:nvSpPr>
      <xdr:spPr>
        <a:xfrm>
          <a:off x="18838440" y="1523880"/>
          <a:ext cx="100692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18360</xdr:rowOff>
    </xdr:from>
    <xdr:to>
      <xdr:col>29</xdr:col>
      <xdr:colOff>212040</xdr:colOff>
      <xdr:row>9</xdr:row>
      <xdr:rowOff>68760</xdr:rowOff>
    </xdr:to>
    <xdr:grpSp>
      <xdr:nvGrpSpPr>
        <xdr:cNvPr id="509" name="Shape 2"/>
        <xdr:cNvGrpSpPr/>
      </xdr:nvGrpSpPr>
      <xdr:grpSpPr>
        <a:xfrm>
          <a:off x="19378800" y="1170720"/>
          <a:ext cx="2520" cy="355320"/>
          <a:chOff x="19378800" y="1170720"/>
          <a:chExt cx="2520" cy="355320"/>
        </a:xfrm>
      </xdr:grpSpPr>
      <xdr:cxnSp>
        <xdr:nvCxnSpPr>
          <xdr:cNvPr id="510" name="Shape 289"/>
          <xdr:cNvCxnSpPr/>
        </xdr:nvCxnSpPr>
        <xdr:spPr>
          <a:xfrm flipV="1">
            <a:off x="19378800" y="1170720"/>
            <a:ext cx="2880" cy="35568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46800</xdr:rowOff>
    </xdr:from>
    <xdr:to>
      <xdr:col>29</xdr:col>
      <xdr:colOff>202320</xdr:colOff>
      <xdr:row>5</xdr:row>
      <xdr:rowOff>2520</xdr:rowOff>
    </xdr:to>
    <xdr:grpSp>
      <xdr:nvGrpSpPr>
        <xdr:cNvPr id="511" name="Shape 2"/>
        <xdr:cNvGrpSpPr/>
      </xdr:nvGrpSpPr>
      <xdr:grpSpPr>
        <a:xfrm>
          <a:off x="19369080" y="437400"/>
          <a:ext cx="2520" cy="412920"/>
          <a:chOff x="19369080" y="437400"/>
          <a:chExt cx="2520" cy="412920"/>
        </a:xfrm>
      </xdr:grpSpPr>
      <xdr:cxnSp>
        <xdr:nvCxnSpPr>
          <xdr:cNvPr id="512" name="Shape 290"/>
          <xdr:cNvCxnSpPr/>
        </xdr:nvCxnSpPr>
        <xdr:spPr>
          <a:xfrm flipV="1">
            <a:off x="19369080" y="437400"/>
            <a:ext cx="2880" cy="41328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192960</xdr:colOff>
      <xdr:row>22</xdr:row>
      <xdr:rowOff>50040</xdr:rowOff>
    </xdr:to>
    <xdr:grpSp>
      <xdr:nvGrpSpPr>
        <xdr:cNvPr id="513" name="Shape 2"/>
        <xdr:cNvGrpSpPr/>
      </xdr:nvGrpSpPr>
      <xdr:grpSpPr>
        <a:xfrm>
          <a:off x="19359720" y="2457360"/>
          <a:ext cx="2520" cy="1031040"/>
          <a:chOff x="19359720" y="2457360"/>
          <a:chExt cx="2520" cy="1031040"/>
        </a:xfrm>
      </xdr:grpSpPr>
      <xdr:cxnSp>
        <xdr:nvCxnSpPr>
          <xdr:cNvPr id="514" name="Shape 259"/>
          <xdr:cNvCxnSpPr/>
        </xdr:nvCxnSpPr>
        <xdr:spPr>
          <a:xfrm flipV="1">
            <a:off x="19359720" y="2457360"/>
            <a:ext cx="2880" cy="103140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166680</xdr:colOff>
      <xdr:row>12</xdr:row>
      <xdr:rowOff>59400</xdr:rowOff>
    </xdr:to>
    <xdr:grpSp>
      <xdr:nvGrpSpPr>
        <xdr:cNvPr id="515" name="Shape 2"/>
        <xdr:cNvGrpSpPr/>
      </xdr:nvGrpSpPr>
      <xdr:grpSpPr>
        <a:xfrm>
          <a:off x="19947600" y="1971360"/>
          <a:ext cx="640800" cy="2520"/>
          <a:chOff x="19947600" y="1971360"/>
          <a:chExt cx="640800" cy="2520"/>
        </a:xfrm>
      </xdr:grpSpPr>
      <xdr:cxnSp>
        <xdr:nvCxnSpPr>
          <xdr:cNvPr id="516" name="Shape 243"/>
          <xdr:cNvCxnSpPr/>
        </xdr:nvCxnSpPr>
        <xdr:spPr>
          <a:xfrm>
            <a:off x="19947600" y="1971360"/>
            <a:ext cx="641160" cy="288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252720</xdr:colOff>
      <xdr:row>12</xdr:row>
      <xdr:rowOff>59400</xdr:rowOff>
    </xdr:to>
    <xdr:grpSp>
      <xdr:nvGrpSpPr>
        <xdr:cNvPr id="517" name="Shape 2"/>
        <xdr:cNvGrpSpPr/>
      </xdr:nvGrpSpPr>
      <xdr:grpSpPr>
        <a:xfrm>
          <a:off x="18155160" y="1971360"/>
          <a:ext cx="640800" cy="2520"/>
          <a:chOff x="18155160" y="1971360"/>
          <a:chExt cx="640800" cy="2520"/>
        </a:xfrm>
      </xdr:grpSpPr>
      <xdr:cxnSp>
        <xdr:nvCxnSpPr>
          <xdr:cNvPr id="518" name="Shape 243"/>
          <xdr:cNvCxnSpPr/>
        </xdr:nvCxnSpPr>
        <xdr:spPr>
          <a:xfrm>
            <a:off x="18155160" y="1971360"/>
            <a:ext cx="641160" cy="288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425880</xdr:colOff>
      <xdr:row>3</xdr:row>
      <xdr:rowOff>25920</xdr:rowOff>
    </xdr:to>
    <xdr:sp>
      <xdr:nvSpPr>
        <xdr:cNvPr id="519" name="Shape 261"/>
        <xdr:cNvSpPr/>
      </xdr:nvSpPr>
      <xdr:spPr>
        <a:xfrm>
          <a:off x="19512360" y="371520"/>
          <a:ext cx="82800" cy="19728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254160</xdr:colOff>
      <xdr:row>2</xdr:row>
      <xdr:rowOff>25560</xdr:rowOff>
    </xdr:to>
    <xdr:sp>
      <xdr:nvSpPr>
        <xdr:cNvPr id="520" name="Shape 291"/>
        <xdr:cNvSpPr/>
      </xdr:nvSpPr>
      <xdr:spPr>
        <a:xfrm>
          <a:off x="19274040" y="228600"/>
          <a:ext cx="14940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244800</xdr:colOff>
      <xdr:row>23</xdr:row>
      <xdr:rowOff>111240</xdr:rowOff>
    </xdr:to>
    <xdr:sp>
      <xdr:nvSpPr>
        <xdr:cNvPr id="521" name="Shape 292"/>
        <xdr:cNvSpPr/>
      </xdr:nvSpPr>
      <xdr:spPr>
        <a:xfrm>
          <a:off x="19293120" y="352404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114120</xdr:colOff>
      <xdr:row>13</xdr:row>
      <xdr:rowOff>25920</xdr:rowOff>
    </xdr:to>
    <xdr:sp>
      <xdr:nvSpPr>
        <xdr:cNvPr id="522" name="Shape 293"/>
        <xdr:cNvSpPr/>
      </xdr:nvSpPr>
      <xdr:spPr>
        <a:xfrm>
          <a:off x="17853120" y="1914480"/>
          <a:ext cx="1782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349560</xdr:colOff>
      <xdr:row>13</xdr:row>
      <xdr:rowOff>6840</xdr:rowOff>
    </xdr:to>
    <xdr:sp>
      <xdr:nvSpPr>
        <xdr:cNvPr id="523" name="Shape 294"/>
        <xdr:cNvSpPr/>
      </xdr:nvSpPr>
      <xdr:spPr>
        <a:xfrm>
          <a:off x="20631240" y="1886040"/>
          <a:ext cx="14004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254160</xdr:colOff>
      <xdr:row>13</xdr:row>
      <xdr:rowOff>6840</xdr:rowOff>
    </xdr:to>
    <xdr:sp>
      <xdr:nvSpPr>
        <xdr:cNvPr id="524" name="Shape 295"/>
        <xdr:cNvSpPr/>
      </xdr:nvSpPr>
      <xdr:spPr>
        <a:xfrm>
          <a:off x="19254960" y="1886040"/>
          <a:ext cx="16848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323280</xdr:colOff>
      <xdr:row>1</xdr:row>
      <xdr:rowOff>85680</xdr:rowOff>
    </xdr:from>
    <xdr:to>
      <xdr:col>29</xdr:col>
      <xdr:colOff>122040</xdr:colOff>
      <xdr:row>9</xdr:row>
      <xdr:rowOff>78480</xdr:rowOff>
    </xdr:to>
    <xdr:grpSp>
      <xdr:nvGrpSpPr>
        <xdr:cNvPr id="525" name="Shape 2"/>
        <xdr:cNvGrpSpPr/>
      </xdr:nvGrpSpPr>
      <xdr:grpSpPr>
        <a:xfrm>
          <a:off x="18240480" y="314280"/>
          <a:ext cx="1050840" cy="1221480"/>
          <a:chOff x="18240480" y="314280"/>
          <a:chExt cx="1050840" cy="1221480"/>
        </a:xfrm>
      </xdr:grpSpPr>
      <xdr:cxnSp>
        <xdr:nvCxnSpPr>
          <xdr:cNvPr id="526" name="Shape 296"/>
          <xdr:cNvCxnSpPr/>
        </xdr:nvCxnSpPr>
        <xdr:spPr>
          <a:xfrm flipH="1" flipV="1">
            <a:off x="18240480" y="314280"/>
            <a:ext cx="1051200" cy="122184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511560</xdr:colOff>
      <xdr:row>4</xdr:row>
      <xdr:rowOff>6840</xdr:rowOff>
    </xdr:to>
    <xdr:sp>
      <xdr:nvSpPr>
        <xdr:cNvPr id="527" name="Shape 297"/>
        <xdr:cNvSpPr/>
      </xdr:nvSpPr>
      <xdr:spPr>
        <a:xfrm>
          <a:off x="18848160" y="514440"/>
          <a:ext cx="20664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288000</xdr:colOff>
      <xdr:row>4</xdr:row>
      <xdr:rowOff>97560</xdr:rowOff>
    </xdr:to>
    <xdr:grpSp>
      <xdr:nvGrpSpPr>
        <xdr:cNvPr id="528" name="Shape 2"/>
        <xdr:cNvGrpSpPr/>
      </xdr:nvGrpSpPr>
      <xdr:grpSpPr>
        <a:xfrm>
          <a:off x="18685800" y="695160"/>
          <a:ext cx="145440" cy="97560"/>
          <a:chOff x="18685800" y="695160"/>
          <a:chExt cx="145440" cy="97560"/>
        </a:xfrm>
      </xdr:grpSpPr>
      <xdr:cxnSp>
        <xdr:nvCxnSpPr>
          <xdr:cNvPr id="529" name="Shape 298"/>
          <xdr:cNvCxnSpPr/>
        </xdr:nvCxnSpPr>
        <xdr:spPr>
          <a:xfrm flipH="1">
            <a:off x="18685800" y="695160"/>
            <a:ext cx="145800" cy="9792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28080</xdr:rowOff>
    </xdr:from>
    <xdr:to>
      <xdr:col>29</xdr:col>
      <xdr:colOff>192960</xdr:colOff>
      <xdr:row>3</xdr:row>
      <xdr:rowOff>69120</xdr:rowOff>
    </xdr:to>
    <xdr:grpSp>
      <xdr:nvGrpSpPr>
        <xdr:cNvPr id="530" name="Shape 2"/>
        <xdr:cNvGrpSpPr/>
      </xdr:nvGrpSpPr>
      <xdr:grpSpPr>
        <a:xfrm>
          <a:off x="19197720" y="570960"/>
          <a:ext cx="164520" cy="41040"/>
          <a:chOff x="19197720" y="570960"/>
          <a:chExt cx="164520" cy="41040"/>
        </a:xfrm>
      </xdr:grpSpPr>
      <xdr:cxnSp>
        <xdr:nvCxnSpPr>
          <xdr:cNvPr id="531" name="Shape 253"/>
          <xdr:cNvCxnSpPr/>
        </xdr:nvCxnSpPr>
        <xdr:spPr>
          <a:xfrm flipV="1">
            <a:off x="19197720" y="570960"/>
            <a:ext cx="164880" cy="4140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390240</xdr:colOff>
      <xdr:row>24</xdr:row>
      <xdr:rowOff>92520</xdr:rowOff>
    </xdr:to>
    <xdr:sp>
      <xdr:nvSpPr>
        <xdr:cNvPr id="532" name="Shape 299"/>
        <xdr:cNvSpPr/>
      </xdr:nvSpPr>
      <xdr:spPr>
        <a:xfrm>
          <a:off x="19076760" y="3657600"/>
          <a:ext cx="4827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49680</xdr:colOff>
      <xdr:row>7</xdr:row>
      <xdr:rowOff>111600</xdr:rowOff>
    </xdr:to>
    <xdr:sp>
      <xdr:nvSpPr>
        <xdr:cNvPr id="533" name="Shape 300"/>
        <xdr:cNvSpPr/>
      </xdr:nvSpPr>
      <xdr:spPr>
        <a:xfrm>
          <a:off x="19645560" y="933480"/>
          <a:ext cx="82584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335880</xdr:colOff>
      <xdr:row>6</xdr:row>
      <xdr:rowOff>145080</xdr:rowOff>
    </xdr:to>
    <xdr:grpSp>
      <xdr:nvGrpSpPr>
        <xdr:cNvPr id="534" name="Shape 2"/>
        <xdr:cNvGrpSpPr/>
      </xdr:nvGrpSpPr>
      <xdr:grpSpPr>
        <a:xfrm>
          <a:off x="19274040" y="1142640"/>
          <a:ext cx="231120" cy="2520"/>
          <a:chOff x="19274040" y="1142640"/>
          <a:chExt cx="231120" cy="2520"/>
        </a:xfrm>
      </xdr:grpSpPr>
      <xdr:cxnSp>
        <xdr:nvCxnSpPr>
          <xdr:cNvPr id="535" name="Shape 301"/>
          <xdr:cNvCxnSpPr/>
        </xdr:nvCxnSpPr>
        <xdr:spPr>
          <a:xfrm>
            <a:off x="19274040" y="1142640"/>
            <a:ext cx="231480" cy="288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335880</xdr:colOff>
      <xdr:row>8</xdr:row>
      <xdr:rowOff>97560</xdr:rowOff>
    </xdr:to>
    <xdr:grpSp>
      <xdr:nvGrpSpPr>
        <xdr:cNvPr id="536" name="Shape 2"/>
        <xdr:cNvGrpSpPr/>
      </xdr:nvGrpSpPr>
      <xdr:grpSpPr>
        <a:xfrm>
          <a:off x="19264320" y="1400040"/>
          <a:ext cx="240840" cy="2520"/>
          <a:chOff x="19264320" y="1400040"/>
          <a:chExt cx="240840" cy="2520"/>
        </a:xfrm>
      </xdr:grpSpPr>
      <xdr:cxnSp>
        <xdr:nvCxnSpPr>
          <xdr:cNvPr id="537" name="Shape 302"/>
          <xdr:cNvCxnSpPr/>
        </xdr:nvCxnSpPr>
        <xdr:spPr>
          <a:xfrm>
            <a:off x="19264320" y="1400040"/>
            <a:ext cx="241200" cy="288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339840</xdr:colOff>
      <xdr:row>8</xdr:row>
      <xdr:rowOff>101520</xdr:rowOff>
    </xdr:to>
    <xdr:sp>
      <xdr:nvSpPr>
        <xdr:cNvPr id="538" name="Shape 303"/>
        <xdr:cNvSpPr/>
      </xdr:nvSpPr>
      <xdr:spPr>
        <a:xfrm>
          <a:off x="19254960" y="1152360"/>
          <a:ext cx="254160" cy="254160"/>
        </a:xfrm>
        <a:custGeom>
          <a:avLst/>
          <a:gdLst>
            <a:gd name="textAreaLeft" fmla="*/ 0 w 254160"/>
            <a:gd name="textAreaRight" fmla="*/ 257040 w 254160"/>
            <a:gd name="textAreaTop" fmla="*/ 0 h 254160"/>
            <a:gd name="textAreaBottom" fmla="*/ 257040 h 25416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82800</xdr:colOff>
      <xdr:row>7</xdr:row>
      <xdr:rowOff>0</xdr:rowOff>
    </xdr:from>
    <xdr:to>
      <xdr:col>29</xdr:col>
      <xdr:colOff>336960</xdr:colOff>
      <xdr:row>8</xdr:row>
      <xdr:rowOff>101520</xdr:rowOff>
    </xdr:to>
    <xdr:sp>
      <xdr:nvSpPr>
        <xdr:cNvPr id="539" name="Shape 304"/>
        <xdr:cNvSpPr/>
      </xdr:nvSpPr>
      <xdr:spPr>
        <a:xfrm flipH="1">
          <a:off x="19252080" y="1152360"/>
          <a:ext cx="254160" cy="254160"/>
        </a:xfrm>
        <a:custGeom>
          <a:avLst/>
          <a:gdLst>
            <a:gd name="textAreaLeft" fmla="*/ -1440 w 254160"/>
            <a:gd name="textAreaRight" fmla="*/ 255600 w 254160"/>
            <a:gd name="textAreaTop" fmla="*/ 0 h 254160"/>
            <a:gd name="textAreaBottom" fmla="*/ 257040 h 25416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230760</xdr:colOff>
      <xdr:row>15</xdr:row>
      <xdr:rowOff>44640</xdr:rowOff>
    </xdr:to>
    <xdr:sp>
      <xdr:nvSpPr>
        <xdr:cNvPr id="540" name="Shape 305"/>
        <xdr:cNvSpPr/>
      </xdr:nvSpPr>
      <xdr:spPr>
        <a:xfrm>
          <a:off x="22795200" y="1638000"/>
          <a:ext cx="987840" cy="77832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230760</xdr:colOff>
      <xdr:row>15</xdr:row>
      <xdr:rowOff>120960</xdr:rowOff>
    </xdr:to>
    <xdr:sp>
      <xdr:nvSpPr>
        <xdr:cNvPr id="541" name="Shape 306"/>
        <xdr:cNvSpPr/>
      </xdr:nvSpPr>
      <xdr:spPr>
        <a:xfrm>
          <a:off x="22795200" y="2409840"/>
          <a:ext cx="98784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230760</xdr:colOff>
      <xdr:row>10</xdr:row>
      <xdr:rowOff>16200</xdr:rowOff>
    </xdr:to>
    <xdr:sp>
      <xdr:nvSpPr>
        <xdr:cNvPr id="542" name="Shape 306"/>
        <xdr:cNvSpPr/>
      </xdr:nvSpPr>
      <xdr:spPr>
        <a:xfrm>
          <a:off x="22795200" y="1542960"/>
          <a:ext cx="987840" cy="82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74880</xdr:rowOff>
    </xdr:from>
    <xdr:to>
      <xdr:col>35</xdr:col>
      <xdr:colOff>392760</xdr:colOff>
      <xdr:row>9</xdr:row>
      <xdr:rowOff>59760</xdr:rowOff>
    </xdr:to>
    <xdr:grpSp>
      <xdr:nvGrpSpPr>
        <xdr:cNvPr id="543" name="Shape 2"/>
        <xdr:cNvGrpSpPr/>
      </xdr:nvGrpSpPr>
      <xdr:grpSpPr>
        <a:xfrm>
          <a:off x="23316120" y="465480"/>
          <a:ext cx="2520" cy="1051560"/>
          <a:chOff x="23316120" y="465480"/>
          <a:chExt cx="2520" cy="1051560"/>
        </a:xfrm>
      </xdr:grpSpPr>
      <xdr:cxnSp>
        <xdr:nvCxnSpPr>
          <xdr:cNvPr id="544" name="Shape 241"/>
          <xdr:cNvCxnSpPr/>
        </xdr:nvCxnSpPr>
        <xdr:spPr>
          <a:xfrm flipV="1">
            <a:off x="23316120" y="465480"/>
            <a:ext cx="2880" cy="105192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383400</xdr:colOff>
      <xdr:row>22</xdr:row>
      <xdr:rowOff>78840</xdr:rowOff>
    </xdr:to>
    <xdr:grpSp>
      <xdr:nvGrpSpPr>
        <xdr:cNvPr id="545" name="Shape 2"/>
        <xdr:cNvGrpSpPr/>
      </xdr:nvGrpSpPr>
      <xdr:grpSpPr>
        <a:xfrm>
          <a:off x="23306760" y="2485800"/>
          <a:ext cx="2520" cy="1031400"/>
          <a:chOff x="23306760" y="2485800"/>
          <a:chExt cx="2520" cy="1031400"/>
        </a:xfrm>
      </xdr:grpSpPr>
      <xdr:cxnSp>
        <xdr:nvCxnSpPr>
          <xdr:cNvPr id="546" name="Shape 259"/>
          <xdr:cNvCxnSpPr/>
        </xdr:nvCxnSpPr>
        <xdr:spPr>
          <a:xfrm flipV="1">
            <a:off x="23306760" y="2485800"/>
            <a:ext cx="2880" cy="103176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357480</xdr:colOff>
      <xdr:row>12</xdr:row>
      <xdr:rowOff>78480</xdr:rowOff>
    </xdr:to>
    <xdr:grpSp>
      <xdr:nvGrpSpPr>
        <xdr:cNvPr id="547" name="Shape 2"/>
        <xdr:cNvGrpSpPr/>
      </xdr:nvGrpSpPr>
      <xdr:grpSpPr>
        <a:xfrm>
          <a:off x="23895000" y="1990440"/>
          <a:ext cx="640800" cy="2520"/>
          <a:chOff x="23895000" y="1990440"/>
          <a:chExt cx="640800" cy="2520"/>
        </a:xfrm>
      </xdr:grpSpPr>
      <xdr:cxnSp>
        <xdr:nvCxnSpPr>
          <xdr:cNvPr id="548" name="Shape 243"/>
          <xdr:cNvCxnSpPr/>
        </xdr:nvCxnSpPr>
        <xdr:spPr>
          <a:xfrm>
            <a:off x="23895000" y="1990440"/>
            <a:ext cx="641160" cy="288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443160</xdr:colOff>
      <xdr:row>12</xdr:row>
      <xdr:rowOff>78480</xdr:rowOff>
    </xdr:to>
    <xdr:grpSp>
      <xdr:nvGrpSpPr>
        <xdr:cNvPr id="549" name="Shape 2"/>
        <xdr:cNvGrpSpPr/>
      </xdr:nvGrpSpPr>
      <xdr:grpSpPr>
        <a:xfrm>
          <a:off x="22102200" y="1990440"/>
          <a:ext cx="640800" cy="2520"/>
          <a:chOff x="22102200" y="1990440"/>
          <a:chExt cx="640800" cy="2520"/>
        </a:xfrm>
      </xdr:grpSpPr>
      <xdr:cxnSp>
        <xdr:nvCxnSpPr>
          <xdr:cNvPr id="550" name="Shape 243"/>
          <xdr:cNvCxnSpPr/>
        </xdr:nvCxnSpPr>
        <xdr:spPr>
          <a:xfrm>
            <a:off x="22102200" y="1990440"/>
            <a:ext cx="641160" cy="288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35</xdr:col>
      <xdr:colOff>625680</xdr:colOff>
      <xdr:row>3</xdr:row>
      <xdr:rowOff>54360</xdr:rowOff>
    </xdr:to>
    <xdr:sp>
      <xdr:nvSpPr>
        <xdr:cNvPr id="551" name="Shape 261"/>
        <xdr:cNvSpPr/>
      </xdr:nvSpPr>
      <xdr:spPr>
        <a:xfrm>
          <a:off x="23468760" y="399960"/>
          <a:ext cx="82800" cy="19728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464040</xdr:colOff>
      <xdr:row>2</xdr:row>
      <xdr:rowOff>34920</xdr:rowOff>
    </xdr:to>
    <xdr:sp>
      <xdr:nvSpPr>
        <xdr:cNvPr id="552" name="Shape 307"/>
        <xdr:cNvSpPr/>
      </xdr:nvSpPr>
      <xdr:spPr>
        <a:xfrm>
          <a:off x="23230800" y="237960"/>
          <a:ext cx="15912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425880</xdr:colOff>
      <xdr:row>23</xdr:row>
      <xdr:rowOff>130320</xdr:rowOff>
    </xdr:to>
    <xdr:sp>
      <xdr:nvSpPr>
        <xdr:cNvPr id="553" name="Shape 308"/>
        <xdr:cNvSpPr/>
      </xdr:nvSpPr>
      <xdr:spPr>
        <a:xfrm>
          <a:off x="23230800" y="354312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339840</xdr:colOff>
      <xdr:row>13</xdr:row>
      <xdr:rowOff>35280</xdr:rowOff>
    </xdr:to>
    <xdr:sp>
      <xdr:nvSpPr>
        <xdr:cNvPr id="554" name="Shape 309"/>
        <xdr:cNvSpPr/>
      </xdr:nvSpPr>
      <xdr:spPr>
        <a:xfrm>
          <a:off x="21845160" y="1923840"/>
          <a:ext cx="1684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520920</xdr:colOff>
      <xdr:row>13</xdr:row>
      <xdr:rowOff>35280</xdr:rowOff>
    </xdr:to>
    <xdr:sp>
      <xdr:nvSpPr>
        <xdr:cNvPr id="555" name="Shape 310"/>
        <xdr:cNvSpPr/>
      </xdr:nvSpPr>
      <xdr:spPr>
        <a:xfrm>
          <a:off x="24578280" y="1923840"/>
          <a:ext cx="120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444960</xdr:colOff>
      <xdr:row>13</xdr:row>
      <xdr:rowOff>25920</xdr:rowOff>
    </xdr:to>
    <xdr:sp>
      <xdr:nvSpPr>
        <xdr:cNvPr id="556" name="Shape 311"/>
        <xdr:cNvSpPr/>
      </xdr:nvSpPr>
      <xdr:spPr>
        <a:xfrm>
          <a:off x="23211720" y="1914480"/>
          <a:ext cx="1591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312480</xdr:colOff>
      <xdr:row>9</xdr:row>
      <xdr:rowOff>69120</xdr:rowOff>
    </xdr:to>
    <xdr:grpSp>
      <xdr:nvGrpSpPr>
        <xdr:cNvPr id="557" name="Shape 2"/>
        <xdr:cNvGrpSpPr/>
      </xdr:nvGrpSpPr>
      <xdr:grpSpPr>
        <a:xfrm>
          <a:off x="22178520" y="342720"/>
          <a:ext cx="1059840" cy="1183680"/>
          <a:chOff x="22178520" y="342720"/>
          <a:chExt cx="1059840" cy="1183680"/>
        </a:xfrm>
      </xdr:grpSpPr>
      <xdr:cxnSp>
        <xdr:nvCxnSpPr>
          <xdr:cNvPr id="558" name="Shape 312"/>
          <xdr:cNvCxnSpPr/>
        </xdr:nvCxnSpPr>
        <xdr:spPr>
          <a:xfrm flipH="1" flipV="1">
            <a:off x="22178520" y="342720"/>
            <a:ext cx="1060200" cy="118404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85680</xdr:colOff>
      <xdr:row>4</xdr:row>
      <xdr:rowOff>54360</xdr:rowOff>
    </xdr:to>
    <xdr:sp>
      <xdr:nvSpPr>
        <xdr:cNvPr id="559" name="Shape 313"/>
        <xdr:cNvSpPr/>
      </xdr:nvSpPr>
      <xdr:spPr>
        <a:xfrm>
          <a:off x="22795200" y="571320"/>
          <a:ext cx="2163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469080</xdr:colOff>
      <xdr:row>4</xdr:row>
      <xdr:rowOff>107280</xdr:rowOff>
    </xdr:to>
    <xdr:grpSp>
      <xdr:nvGrpSpPr>
        <xdr:cNvPr id="560" name="Shape 2"/>
        <xdr:cNvGrpSpPr/>
      </xdr:nvGrpSpPr>
      <xdr:grpSpPr>
        <a:xfrm>
          <a:off x="22651920" y="704520"/>
          <a:ext cx="117000" cy="97920"/>
          <a:chOff x="22651920" y="704520"/>
          <a:chExt cx="117000" cy="97920"/>
        </a:xfrm>
      </xdr:grpSpPr>
      <xdr:cxnSp>
        <xdr:nvCxnSpPr>
          <xdr:cNvPr id="561" name="Shape 314"/>
          <xdr:cNvCxnSpPr/>
        </xdr:nvCxnSpPr>
        <xdr:spPr>
          <a:xfrm flipH="1">
            <a:off x="22651920" y="704520"/>
            <a:ext cx="117360" cy="9828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47160</xdr:rowOff>
    </xdr:from>
    <xdr:to>
      <xdr:col>35</xdr:col>
      <xdr:colOff>392760</xdr:colOff>
      <xdr:row>3</xdr:row>
      <xdr:rowOff>88200</xdr:rowOff>
    </xdr:to>
    <xdr:grpSp>
      <xdr:nvGrpSpPr>
        <xdr:cNvPr id="562" name="Shape 2"/>
        <xdr:cNvGrpSpPr/>
      </xdr:nvGrpSpPr>
      <xdr:grpSpPr>
        <a:xfrm>
          <a:off x="23106600" y="590040"/>
          <a:ext cx="212040" cy="41040"/>
          <a:chOff x="23106600" y="590040"/>
          <a:chExt cx="212040" cy="41040"/>
        </a:xfrm>
      </xdr:grpSpPr>
      <xdr:cxnSp>
        <xdr:nvCxnSpPr>
          <xdr:cNvPr id="563" name="Shape 315"/>
          <xdr:cNvCxnSpPr/>
        </xdr:nvCxnSpPr>
        <xdr:spPr>
          <a:xfrm flipV="1">
            <a:off x="23106600" y="590040"/>
            <a:ext cx="212400" cy="4140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578160</xdr:colOff>
      <xdr:row>24</xdr:row>
      <xdr:rowOff>111600</xdr:rowOff>
    </xdr:to>
    <xdr:sp>
      <xdr:nvSpPr>
        <xdr:cNvPr id="564" name="Shape 316"/>
        <xdr:cNvSpPr/>
      </xdr:nvSpPr>
      <xdr:spPr>
        <a:xfrm>
          <a:off x="23049720" y="3676680"/>
          <a:ext cx="4543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145440</xdr:colOff>
      <xdr:row>7</xdr:row>
      <xdr:rowOff>6840</xdr:rowOff>
    </xdr:to>
    <xdr:sp>
      <xdr:nvSpPr>
        <xdr:cNvPr id="565" name="Shape 317"/>
        <xdr:cNvSpPr/>
      </xdr:nvSpPr>
      <xdr:spPr>
        <a:xfrm>
          <a:off x="23752440" y="971640"/>
          <a:ext cx="119736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42840</xdr:colOff>
      <xdr:row>9</xdr:row>
      <xdr:rowOff>69120</xdr:rowOff>
    </xdr:to>
    <xdr:grpSp>
      <xdr:nvGrpSpPr>
        <xdr:cNvPr id="566" name="Shape 2"/>
        <xdr:cNvGrpSpPr/>
      </xdr:nvGrpSpPr>
      <xdr:grpSpPr>
        <a:xfrm>
          <a:off x="23087520" y="1523880"/>
          <a:ext cx="507600" cy="2520"/>
          <a:chOff x="23087520" y="1523880"/>
          <a:chExt cx="507600" cy="2520"/>
        </a:xfrm>
      </xdr:grpSpPr>
      <xdr:cxnSp>
        <xdr:nvCxnSpPr>
          <xdr:cNvPr id="567" name="Shape 318"/>
          <xdr:cNvCxnSpPr/>
        </xdr:nvCxnSpPr>
        <xdr:spPr>
          <a:xfrm>
            <a:off x="23087520" y="1523880"/>
            <a:ext cx="507960" cy="288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116640</xdr:colOff>
      <xdr:row>12</xdr:row>
      <xdr:rowOff>73440</xdr:rowOff>
    </xdr:to>
    <xdr:sp>
      <xdr:nvSpPr>
        <xdr:cNvPr id="568" name="Shape 319"/>
        <xdr:cNvSpPr/>
      </xdr:nvSpPr>
      <xdr:spPr>
        <a:xfrm>
          <a:off x="7951680" y="457200"/>
          <a:ext cx="1273320" cy="1530720"/>
        </a:xfrm>
        <a:custGeom>
          <a:avLst/>
          <a:gdLst>
            <a:gd name="textAreaLeft" fmla="*/ 0 w 1273320"/>
            <a:gd name="textAreaRight" fmla="*/ 1276200 w 1273320"/>
            <a:gd name="textAreaTop" fmla="*/ 0 h 1530720"/>
            <a:gd name="textAreaBottom" fmla="*/ 1533600 h 153072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9</xdr:col>
      <xdr:colOff>763920</xdr:colOff>
      <xdr:row>2</xdr:row>
      <xdr:rowOff>66600</xdr:rowOff>
    </xdr:from>
    <xdr:to>
      <xdr:col>12</xdr:col>
      <xdr:colOff>8640</xdr:colOff>
      <xdr:row>12</xdr:row>
      <xdr:rowOff>73440</xdr:rowOff>
    </xdr:to>
    <xdr:sp>
      <xdr:nvSpPr>
        <xdr:cNvPr id="569" name="Shape 320"/>
        <xdr:cNvSpPr/>
      </xdr:nvSpPr>
      <xdr:spPr>
        <a:xfrm flipH="1">
          <a:off x="6600960" y="457200"/>
          <a:ext cx="1263960" cy="1530720"/>
        </a:xfrm>
        <a:custGeom>
          <a:avLst/>
          <a:gdLst>
            <a:gd name="textAreaLeft" fmla="*/ 1440 w 1263960"/>
            <a:gd name="textAreaRight" fmla="*/ 1268280 w 1263960"/>
            <a:gd name="textAreaTop" fmla="*/ 0 h 1530720"/>
            <a:gd name="textAreaBottom" fmla="*/ 1533600 h 153072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577080</xdr:colOff>
      <xdr:row>23</xdr:row>
      <xdr:rowOff>101880</xdr:rowOff>
    </xdr:to>
    <xdr:sp>
      <xdr:nvSpPr>
        <xdr:cNvPr id="570" name="Shape 321"/>
        <xdr:cNvSpPr/>
      </xdr:nvSpPr>
      <xdr:spPr>
        <a:xfrm>
          <a:off x="11840400" y="2000160"/>
          <a:ext cx="1644840" cy="1692720"/>
        </a:xfrm>
        <a:custGeom>
          <a:avLst/>
          <a:gdLst>
            <a:gd name="textAreaLeft" fmla="*/ 0 w 1644840"/>
            <a:gd name="textAreaRight" fmla="*/ 1647720 w 1644840"/>
            <a:gd name="textAreaTop" fmla="*/ 0 h 1692720"/>
            <a:gd name="textAreaBottom" fmla="*/ 1695600 h 169272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930600</xdr:colOff>
      <xdr:row>12</xdr:row>
      <xdr:rowOff>85680</xdr:rowOff>
    </xdr:from>
    <xdr:to>
      <xdr:col>17</xdr:col>
      <xdr:colOff>91440</xdr:colOff>
      <xdr:row>23</xdr:row>
      <xdr:rowOff>101880</xdr:rowOff>
    </xdr:to>
    <xdr:sp>
      <xdr:nvSpPr>
        <xdr:cNvPr id="571" name="Shape 322"/>
        <xdr:cNvSpPr/>
      </xdr:nvSpPr>
      <xdr:spPr>
        <a:xfrm flipH="1">
          <a:off x="10038960" y="2000160"/>
          <a:ext cx="1673640" cy="1692720"/>
        </a:xfrm>
        <a:custGeom>
          <a:avLst/>
          <a:gdLst>
            <a:gd name="textAreaLeft" fmla="*/ 1440 w 1673640"/>
            <a:gd name="textAreaRight" fmla="*/ 1677960 w 1673640"/>
            <a:gd name="textAreaTop" fmla="*/ 0 h 1692720"/>
            <a:gd name="textAreaBottom" fmla="*/ 1695600 h 169272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220680</xdr:colOff>
      <xdr:row>1</xdr:row>
      <xdr:rowOff>50400</xdr:rowOff>
    </xdr:from>
    <xdr:to>
      <xdr:col>19</xdr:col>
      <xdr:colOff>578520</xdr:colOff>
      <xdr:row>12</xdr:row>
      <xdr:rowOff>66600</xdr:rowOff>
    </xdr:to>
    <xdr:sp>
      <xdr:nvSpPr>
        <xdr:cNvPr id="572" name="Shape 323"/>
        <xdr:cNvSpPr/>
      </xdr:nvSpPr>
      <xdr:spPr>
        <a:xfrm flipH="1" rot="10800000">
          <a:off x="11841480" y="279000"/>
          <a:ext cx="1644840" cy="1702080"/>
        </a:xfrm>
        <a:custGeom>
          <a:avLst/>
          <a:gdLst>
            <a:gd name="textAreaLeft" fmla="*/ 1440 w 1644840"/>
            <a:gd name="textAreaRight" fmla="*/ 1649160 w 1644840"/>
            <a:gd name="textAreaTop" fmla="*/ 0 h 1702080"/>
            <a:gd name="textAreaBottom" fmla="*/ 1704960 h 170208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879120</xdr:colOff>
      <xdr:row>1</xdr:row>
      <xdr:rowOff>50400</xdr:rowOff>
    </xdr:from>
    <xdr:to>
      <xdr:col>17</xdr:col>
      <xdr:colOff>49320</xdr:colOff>
      <xdr:row>12</xdr:row>
      <xdr:rowOff>66600</xdr:rowOff>
    </xdr:to>
    <xdr:sp>
      <xdr:nvSpPr>
        <xdr:cNvPr id="573" name="Shape 324"/>
        <xdr:cNvSpPr/>
      </xdr:nvSpPr>
      <xdr:spPr>
        <a:xfrm rot="10800000">
          <a:off x="9987480" y="279000"/>
          <a:ext cx="1683000" cy="1702080"/>
        </a:xfrm>
        <a:custGeom>
          <a:avLst/>
          <a:gdLst>
            <a:gd name="textAreaLeft" fmla="*/ 0 w 1683000"/>
            <a:gd name="textAreaRight" fmla="*/ 1685880 w 1683000"/>
            <a:gd name="textAreaTop" fmla="*/ 0 h 1702080"/>
            <a:gd name="textAreaBottom" fmla="*/ 1704960 h 170208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21960</xdr:colOff>
      <xdr:row>37</xdr:row>
      <xdr:rowOff>187560</xdr:rowOff>
    </xdr:to>
    <xdr:sp>
      <xdr:nvSpPr>
        <xdr:cNvPr id="574" name="Shape 325"/>
        <xdr:cNvSpPr/>
      </xdr:nvSpPr>
      <xdr:spPr>
        <a:xfrm>
          <a:off x="30978720" y="5933880"/>
          <a:ext cx="644760" cy="216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371160</xdr:colOff>
      <xdr:row>9</xdr:row>
      <xdr:rowOff>73440</xdr:rowOff>
    </xdr:to>
    <xdr:sp>
      <xdr:nvSpPr>
        <xdr:cNvPr id="575" name="Shape 326"/>
        <xdr:cNvSpPr/>
      </xdr:nvSpPr>
      <xdr:spPr>
        <a:xfrm>
          <a:off x="22556880" y="371520"/>
          <a:ext cx="740160" cy="1159200"/>
        </a:xfrm>
        <a:custGeom>
          <a:avLst/>
          <a:gdLst>
            <a:gd name="textAreaLeft" fmla="*/ 0 w 740160"/>
            <a:gd name="textAreaRight" fmla="*/ 743040 w 740160"/>
            <a:gd name="textAreaTop" fmla="*/ 0 h 1159200"/>
            <a:gd name="textAreaBottom" fmla="*/ 1162080 h 115920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416160</xdr:colOff>
      <xdr:row>1</xdr:row>
      <xdr:rowOff>142920</xdr:rowOff>
    </xdr:from>
    <xdr:to>
      <xdr:col>36</xdr:col>
      <xdr:colOff>529920</xdr:colOff>
      <xdr:row>9</xdr:row>
      <xdr:rowOff>73440</xdr:rowOff>
    </xdr:to>
    <xdr:sp>
      <xdr:nvSpPr>
        <xdr:cNvPr id="576" name="Shape 327"/>
        <xdr:cNvSpPr/>
      </xdr:nvSpPr>
      <xdr:spPr>
        <a:xfrm flipH="1">
          <a:off x="23342040" y="371520"/>
          <a:ext cx="740160" cy="1159200"/>
        </a:xfrm>
        <a:custGeom>
          <a:avLst/>
          <a:gdLst>
            <a:gd name="textAreaLeft" fmla="*/ -1440 w 740160"/>
            <a:gd name="textAreaRight" fmla="*/ 741600 w 740160"/>
            <a:gd name="textAreaTop" fmla="*/ 0 h 1159200"/>
            <a:gd name="textAreaBottom" fmla="*/ 1162080 h 115920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325800</xdr:colOff>
      <xdr:row>15</xdr:row>
      <xdr:rowOff>101880</xdr:rowOff>
    </xdr:to>
    <xdr:sp>
      <xdr:nvSpPr>
        <xdr:cNvPr id="577" name="Shape 328"/>
        <xdr:cNvSpPr/>
      </xdr:nvSpPr>
      <xdr:spPr>
        <a:xfrm>
          <a:off x="19378800" y="352440"/>
          <a:ext cx="1368720" cy="2121120"/>
        </a:xfrm>
        <a:custGeom>
          <a:avLst/>
          <a:gdLst>
            <a:gd name="textAreaLeft" fmla="*/ 0 w 1368720"/>
            <a:gd name="textAreaRight" fmla="*/ 1371600 w 1368720"/>
            <a:gd name="textAreaTop" fmla="*/ 0 h 2121120"/>
            <a:gd name="textAreaBottom" fmla="*/ 2124000 h 212112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16200</xdr:colOff>
      <xdr:row>1</xdr:row>
      <xdr:rowOff>123840</xdr:rowOff>
    </xdr:from>
    <xdr:to>
      <xdr:col>29</xdr:col>
      <xdr:colOff>151920</xdr:colOff>
      <xdr:row>15</xdr:row>
      <xdr:rowOff>101880</xdr:rowOff>
    </xdr:to>
    <xdr:sp>
      <xdr:nvSpPr>
        <xdr:cNvPr id="578" name="Shape 329"/>
        <xdr:cNvSpPr/>
      </xdr:nvSpPr>
      <xdr:spPr>
        <a:xfrm flipH="1">
          <a:off x="17933400" y="352440"/>
          <a:ext cx="1387800" cy="2121120"/>
        </a:xfrm>
        <a:custGeom>
          <a:avLst/>
          <a:gdLst>
            <a:gd name="textAreaLeft" fmla="*/ 1440 w 1387800"/>
            <a:gd name="textAreaRight" fmla="*/ 1392120 w 1387800"/>
            <a:gd name="textAreaTop" fmla="*/ 0 h 2121120"/>
            <a:gd name="textAreaBottom" fmla="*/ 2124000 h 212112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370800</xdr:colOff>
      <xdr:row>2</xdr:row>
      <xdr:rowOff>111240</xdr:rowOff>
    </xdr:to>
    <xdr:sp>
      <xdr:nvSpPr>
        <xdr:cNvPr id="579" name="Shape 330"/>
        <xdr:cNvSpPr/>
      </xdr:nvSpPr>
      <xdr:spPr>
        <a:xfrm>
          <a:off x="19919160" y="314280"/>
          <a:ext cx="87336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616320</xdr:colOff>
      <xdr:row>12</xdr:row>
      <xdr:rowOff>54000</xdr:rowOff>
    </xdr:to>
    <xdr:sp>
      <xdr:nvSpPr>
        <xdr:cNvPr id="580" name="Shape 331"/>
        <xdr:cNvSpPr/>
      </xdr:nvSpPr>
      <xdr:spPr>
        <a:xfrm>
          <a:off x="19397880" y="1618920"/>
          <a:ext cx="387720" cy="349560"/>
        </a:xfrm>
        <a:custGeom>
          <a:avLst/>
          <a:gdLst>
            <a:gd name="textAreaLeft" fmla="*/ 0 w 387720"/>
            <a:gd name="textAreaRight" fmla="*/ 390600 w 387720"/>
            <a:gd name="textAreaTop" fmla="*/ 0 h 349560"/>
            <a:gd name="textAreaBottom" fmla="*/ 352440 h 34956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416160</xdr:colOff>
      <xdr:row>10</xdr:row>
      <xdr:rowOff>9360</xdr:rowOff>
    </xdr:from>
    <xdr:to>
      <xdr:col>29</xdr:col>
      <xdr:colOff>177840</xdr:colOff>
      <xdr:row>12</xdr:row>
      <xdr:rowOff>54000</xdr:rowOff>
    </xdr:to>
    <xdr:sp>
      <xdr:nvSpPr>
        <xdr:cNvPr id="581" name="Shape 332"/>
        <xdr:cNvSpPr/>
      </xdr:nvSpPr>
      <xdr:spPr>
        <a:xfrm flipH="1">
          <a:off x="18959400" y="1618920"/>
          <a:ext cx="387720" cy="349560"/>
        </a:xfrm>
        <a:custGeom>
          <a:avLst/>
          <a:gdLst>
            <a:gd name="textAreaLeft" fmla="*/ 1440 w 387720"/>
            <a:gd name="textAreaRight" fmla="*/ 392040 w 387720"/>
            <a:gd name="textAreaTop" fmla="*/ 0 h 349560"/>
            <a:gd name="textAreaBottom" fmla="*/ 352440 h 34956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349560</xdr:colOff>
      <xdr:row>14</xdr:row>
      <xdr:rowOff>63720</xdr:rowOff>
    </xdr:to>
    <xdr:sp>
      <xdr:nvSpPr>
        <xdr:cNvPr id="582" name="Shape 333"/>
        <xdr:cNvSpPr/>
      </xdr:nvSpPr>
      <xdr:spPr>
        <a:xfrm>
          <a:off x="19226520" y="1962000"/>
          <a:ext cx="292320" cy="321120"/>
        </a:xfrm>
        <a:custGeom>
          <a:avLst/>
          <a:gdLst>
            <a:gd name="textAreaLeft" fmla="*/ 0 w 292320"/>
            <a:gd name="textAreaRight" fmla="*/ 295200 w 292320"/>
            <a:gd name="textAreaTop" fmla="*/ 0 h 321120"/>
            <a:gd name="textAreaBottom" fmla="*/ 324000 h 32112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342360</xdr:colOff>
      <xdr:row>20</xdr:row>
      <xdr:rowOff>25560</xdr:rowOff>
    </xdr:to>
    <xdr:sp>
      <xdr:nvSpPr>
        <xdr:cNvPr id="583" name="Shape 334"/>
        <xdr:cNvSpPr/>
      </xdr:nvSpPr>
      <xdr:spPr>
        <a:xfrm>
          <a:off x="19861920" y="2828880"/>
          <a:ext cx="90216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266040</xdr:colOff>
      <xdr:row>14</xdr:row>
      <xdr:rowOff>66600</xdr:rowOff>
    </xdr:from>
    <xdr:to>
      <xdr:col>30</xdr:col>
      <xdr:colOff>71640</xdr:colOff>
      <xdr:row>18</xdr:row>
      <xdr:rowOff>21600</xdr:rowOff>
    </xdr:to>
    <xdr:grpSp>
      <xdr:nvGrpSpPr>
        <xdr:cNvPr id="584" name="Shape 2"/>
        <xdr:cNvGrpSpPr/>
      </xdr:nvGrpSpPr>
      <xdr:grpSpPr>
        <a:xfrm>
          <a:off x="19435320" y="2286000"/>
          <a:ext cx="431640" cy="564480"/>
          <a:chOff x="19435320" y="2286000"/>
          <a:chExt cx="431640" cy="564480"/>
        </a:xfrm>
      </xdr:grpSpPr>
      <xdr:cxnSp>
        <xdr:nvCxnSpPr>
          <xdr:cNvPr id="585" name="Shape 335"/>
          <xdr:cNvCxnSpPr/>
        </xdr:nvCxnSpPr>
        <xdr:spPr>
          <a:xfrm flipH="1" flipV="1">
            <a:off x="19435320" y="2286000"/>
            <a:ext cx="432000" cy="56484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212040</xdr:colOff>
      <xdr:row>9</xdr:row>
      <xdr:rowOff>69120</xdr:rowOff>
    </xdr:to>
    <xdr:grpSp>
      <xdr:nvGrpSpPr>
        <xdr:cNvPr id="586" name="Shape 2"/>
        <xdr:cNvGrpSpPr/>
      </xdr:nvGrpSpPr>
      <xdr:grpSpPr>
        <a:xfrm>
          <a:off x="28770480" y="1123560"/>
          <a:ext cx="2520" cy="402840"/>
          <a:chOff x="28770480" y="1123560"/>
          <a:chExt cx="2520" cy="402840"/>
        </a:xfrm>
      </xdr:grpSpPr>
      <xdr:cxnSp>
        <xdr:nvCxnSpPr>
          <xdr:cNvPr id="587" name="Shape 336"/>
          <xdr:cNvCxnSpPr/>
        </xdr:nvCxnSpPr>
        <xdr:spPr>
          <a:xfrm flipV="1">
            <a:off x="28770480" y="1123560"/>
            <a:ext cx="2880" cy="40320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249840</xdr:colOff>
      <xdr:row>34</xdr:row>
      <xdr:rowOff>49680</xdr:rowOff>
    </xdr:to>
    <xdr:grpSp>
      <xdr:nvGrpSpPr>
        <xdr:cNvPr id="588" name="Shape 2"/>
        <xdr:cNvGrpSpPr/>
      </xdr:nvGrpSpPr>
      <xdr:grpSpPr>
        <a:xfrm>
          <a:off x="28808280" y="5209920"/>
          <a:ext cx="2520" cy="316800"/>
          <a:chOff x="28808280" y="5209920"/>
          <a:chExt cx="2520" cy="316800"/>
        </a:xfrm>
      </xdr:grpSpPr>
      <xdr:cxnSp>
        <xdr:nvCxnSpPr>
          <xdr:cNvPr id="589" name="Shape 337"/>
          <xdr:cNvCxnSpPr/>
        </xdr:nvCxnSpPr>
        <xdr:spPr>
          <a:xfrm>
            <a:off x="28808280" y="5209920"/>
            <a:ext cx="2880" cy="31716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523440</xdr:colOff>
      <xdr:row>6</xdr:row>
      <xdr:rowOff>92520</xdr:rowOff>
    </xdr:to>
    <xdr:sp>
      <xdr:nvSpPr>
        <xdr:cNvPr id="590" name="Shape 338"/>
        <xdr:cNvSpPr/>
      </xdr:nvSpPr>
      <xdr:spPr>
        <a:xfrm>
          <a:off x="28392120" y="914400"/>
          <a:ext cx="6922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647640</xdr:colOff>
      <xdr:row>35</xdr:row>
      <xdr:rowOff>102240</xdr:rowOff>
    </xdr:to>
    <xdr:sp>
      <xdr:nvSpPr>
        <xdr:cNvPr id="591" name="Shape 339"/>
        <xdr:cNvSpPr/>
      </xdr:nvSpPr>
      <xdr:spPr>
        <a:xfrm>
          <a:off x="28411200" y="5562720"/>
          <a:ext cx="7974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888120</xdr:colOff>
      <xdr:row>20</xdr:row>
      <xdr:rowOff>97560</xdr:rowOff>
    </xdr:to>
    <xdr:grpSp>
      <xdr:nvGrpSpPr>
        <xdr:cNvPr id="592" name="Shape 2"/>
        <xdr:cNvGrpSpPr/>
      </xdr:nvGrpSpPr>
      <xdr:grpSpPr>
        <a:xfrm>
          <a:off x="31820400" y="3228840"/>
          <a:ext cx="669240" cy="2520"/>
          <a:chOff x="31820400" y="3228840"/>
          <a:chExt cx="669240" cy="2520"/>
        </a:xfrm>
      </xdr:grpSpPr>
      <xdr:cxnSp>
        <xdr:nvCxnSpPr>
          <xdr:cNvPr id="593" name="Shape 340"/>
          <xdr:cNvCxnSpPr/>
        </xdr:nvCxnSpPr>
        <xdr:spPr>
          <a:xfrm>
            <a:off x="31820400" y="3228840"/>
            <a:ext cx="669600" cy="288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50400</xdr:colOff>
      <xdr:row>21</xdr:row>
      <xdr:rowOff>35280</xdr:rowOff>
    </xdr:to>
    <xdr:sp>
      <xdr:nvSpPr>
        <xdr:cNvPr id="594" name="Shape 341"/>
        <xdr:cNvSpPr/>
      </xdr:nvSpPr>
      <xdr:spPr>
        <a:xfrm>
          <a:off x="32871960" y="3143160"/>
          <a:ext cx="8067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156960</xdr:colOff>
      <xdr:row>20</xdr:row>
      <xdr:rowOff>116640</xdr:rowOff>
    </xdr:to>
    <xdr:grpSp>
      <xdr:nvGrpSpPr>
        <xdr:cNvPr id="595" name="Shape 2"/>
        <xdr:cNvGrpSpPr/>
      </xdr:nvGrpSpPr>
      <xdr:grpSpPr>
        <a:xfrm>
          <a:off x="26265960" y="3247920"/>
          <a:ext cx="573840" cy="2520"/>
          <a:chOff x="26265960" y="3247920"/>
          <a:chExt cx="573840" cy="2520"/>
        </a:xfrm>
      </xdr:grpSpPr>
      <xdr:cxnSp>
        <xdr:nvCxnSpPr>
          <xdr:cNvPr id="596" name="Shape 342"/>
          <xdr:cNvCxnSpPr/>
        </xdr:nvCxnSpPr>
        <xdr:spPr>
          <a:xfrm flipH="1">
            <a:off x="26265960" y="3247920"/>
            <a:ext cx="574200" cy="288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21240</xdr:colOff>
      <xdr:row>21</xdr:row>
      <xdr:rowOff>92520</xdr:rowOff>
    </xdr:to>
    <xdr:sp>
      <xdr:nvSpPr>
        <xdr:cNvPr id="597" name="Shape 343"/>
        <xdr:cNvSpPr/>
      </xdr:nvSpPr>
      <xdr:spPr>
        <a:xfrm>
          <a:off x="25366320" y="3200400"/>
          <a:ext cx="7113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609480</xdr:colOff>
      <xdr:row>2</xdr:row>
      <xdr:rowOff>111240</xdr:rowOff>
    </xdr:to>
    <xdr:sp>
      <xdr:nvSpPr>
        <xdr:cNvPr id="598" name="Shape 344"/>
        <xdr:cNvSpPr/>
      </xdr:nvSpPr>
      <xdr:spPr>
        <a:xfrm>
          <a:off x="23904720" y="314280"/>
          <a:ext cx="88308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290880</xdr:colOff>
      <xdr:row>58</xdr:row>
      <xdr:rowOff>183240</xdr:rowOff>
    </xdr:to>
    <xdr:grpSp>
      <xdr:nvGrpSpPr>
        <xdr:cNvPr id="599" name="Shape 2"/>
        <xdr:cNvGrpSpPr/>
      </xdr:nvGrpSpPr>
      <xdr:grpSpPr>
        <a:xfrm>
          <a:off x="14096520" y="11125080"/>
          <a:ext cx="354960" cy="307080"/>
          <a:chOff x="14096520" y="11125080"/>
          <a:chExt cx="354960" cy="307080"/>
        </a:xfrm>
      </xdr:grpSpPr>
      <xdr:cxnSp>
        <xdr:nvCxnSpPr>
          <xdr:cNvPr id="600" name="Shape 345"/>
          <xdr:cNvCxnSpPr/>
        </xdr:nvCxnSpPr>
        <xdr:spPr>
          <a:xfrm flipH="1">
            <a:off x="14096520" y="11125080"/>
            <a:ext cx="355320" cy="30744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373680</xdr:colOff>
      <xdr:row>58</xdr:row>
      <xdr:rowOff>111600</xdr:rowOff>
    </xdr:to>
    <xdr:sp>
      <xdr:nvSpPr>
        <xdr:cNvPr id="601" name="Shape 346"/>
        <xdr:cNvSpPr/>
      </xdr:nvSpPr>
      <xdr:spPr>
        <a:xfrm>
          <a:off x="14493960" y="11020320"/>
          <a:ext cx="1292400" cy="34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9000</xdr:colOff>
      <xdr:row>81</xdr:row>
      <xdr:rowOff>142560</xdr:rowOff>
    </xdr:from>
    <xdr:to>
      <xdr:col>19</xdr:col>
      <xdr:colOff>592920</xdr:colOff>
      <xdr:row>81</xdr:row>
      <xdr:rowOff>145080</xdr:rowOff>
    </xdr:to>
    <xdr:grpSp>
      <xdr:nvGrpSpPr>
        <xdr:cNvPr id="602" name="Shape 2"/>
        <xdr:cNvGrpSpPr/>
      </xdr:nvGrpSpPr>
      <xdr:grpSpPr>
        <a:xfrm>
          <a:off x="12917160" y="16315920"/>
          <a:ext cx="583920" cy="2520"/>
          <a:chOff x="12917160" y="16315920"/>
          <a:chExt cx="583920" cy="2520"/>
        </a:xfrm>
      </xdr:grpSpPr>
      <xdr:cxnSp>
        <xdr:nvCxnSpPr>
          <xdr:cNvPr id="603" name="Shape 229"/>
          <xdr:cNvCxnSpPr/>
        </xdr:nvCxnSpPr>
        <xdr:spPr>
          <a:xfrm flipH="1">
            <a:off x="12917160" y="16315920"/>
            <a:ext cx="584280" cy="288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290880</xdr:colOff>
      <xdr:row>80</xdr:row>
      <xdr:rowOff>183240</xdr:rowOff>
    </xdr:to>
    <xdr:grpSp>
      <xdr:nvGrpSpPr>
        <xdr:cNvPr id="604" name="Shape 2"/>
        <xdr:cNvGrpSpPr/>
      </xdr:nvGrpSpPr>
      <xdr:grpSpPr>
        <a:xfrm>
          <a:off x="14096520" y="15735240"/>
          <a:ext cx="354960" cy="307080"/>
          <a:chOff x="14096520" y="15735240"/>
          <a:chExt cx="354960" cy="307080"/>
        </a:xfrm>
      </xdr:grpSpPr>
      <xdr:cxnSp>
        <xdr:nvCxnSpPr>
          <xdr:cNvPr id="605" name="Shape 345"/>
          <xdr:cNvCxnSpPr/>
        </xdr:nvCxnSpPr>
        <xdr:spPr>
          <a:xfrm flipH="1">
            <a:off x="14096520" y="15735240"/>
            <a:ext cx="355320" cy="30744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373680</xdr:colOff>
      <xdr:row>80</xdr:row>
      <xdr:rowOff>111600</xdr:rowOff>
    </xdr:to>
    <xdr:sp>
      <xdr:nvSpPr>
        <xdr:cNvPr id="606" name="Shape 347"/>
        <xdr:cNvSpPr/>
      </xdr:nvSpPr>
      <xdr:spPr>
        <a:xfrm>
          <a:off x="14493960" y="15630480"/>
          <a:ext cx="1292400" cy="34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514080</xdr:colOff>
      <xdr:row>14</xdr:row>
      <xdr:rowOff>101880</xdr:rowOff>
    </xdr:to>
    <xdr:sp>
      <xdr:nvSpPr>
        <xdr:cNvPr id="607" name="Shape 348"/>
        <xdr:cNvSpPr/>
      </xdr:nvSpPr>
      <xdr:spPr>
        <a:xfrm>
          <a:off x="6414840" y="1162080"/>
          <a:ext cx="1082880" cy="116856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742680</xdr:colOff>
      <xdr:row>13</xdr:row>
      <xdr:rowOff>16200</xdr:rowOff>
    </xdr:to>
    <xdr:sp>
      <xdr:nvSpPr>
        <xdr:cNvPr id="608" name="Shape 349"/>
        <xdr:cNvSpPr/>
      </xdr:nvSpPr>
      <xdr:spPr>
        <a:xfrm>
          <a:off x="8226720" y="1447920"/>
          <a:ext cx="1378080" cy="64476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557280</xdr:colOff>
      <xdr:row>10</xdr:row>
      <xdr:rowOff>135720</xdr:rowOff>
    </xdr:to>
    <xdr:grpSp>
      <xdr:nvGrpSpPr>
        <xdr:cNvPr id="609" name="Shape 2"/>
        <xdr:cNvGrpSpPr/>
      </xdr:nvGrpSpPr>
      <xdr:grpSpPr>
        <a:xfrm>
          <a:off x="10281240" y="1752480"/>
          <a:ext cx="1183320" cy="2520"/>
          <a:chOff x="10281240" y="1752480"/>
          <a:chExt cx="1183320" cy="2520"/>
        </a:xfrm>
      </xdr:grpSpPr>
      <xdr:cxnSp>
        <xdr:nvCxnSpPr>
          <xdr:cNvPr id="610" name="Shape 350"/>
          <xdr:cNvCxnSpPr/>
        </xdr:nvCxnSpPr>
        <xdr:spPr>
          <a:xfrm>
            <a:off x="10281240" y="1752480"/>
            <a:ext cx="1183680" cy="288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504360</xdr:colOff>
      <xdr:row>24</xdr:row>
      <xdr:rowOff>101880</xdr:rowOff>
    </xdr:to>
    <xdr:sp>
      <xdr:nvSpPr>
        <xdr:cNvPr id="611" name="Shape 351"/>
        <xdr:cNvSpPr/>
      </xdr:nvSpPr>
      <xdr:spPr>
        <a:xfrm>
          <a:off x="6386040" y="2705040"/>
          <a:ext cx="1101960" cy="115920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573840</xdr:colOff>
      <xdr:row>85</xdr:row>
      <xdr:rowOff>40320</xdr:rowOff>
    </xdr:to>
    <xdr:grpSp>
      <xdr:nvGrpSpPr>
        <xdr:cNvPr id="612" name="Shape 2"/>
        <xdr:cNvGrpSpPr/>
      </xdr:nvGrpSpPr>
      <xdr:grpSpPr>
        <a:xfrm>
          <a:off x="6652800" y="13220280"/>
          <a:ext cx="278640" cy="2520"/>
          <a:chOff x="6652800" y="13220280"/>
          <a:chExt cx="278640" cy="2520"/>
        </a:xfrm>
      </xdr:grpSpPr>
      <xdr:cxnSp>
        <xdr:nvCxnSpPr>
          <xdr:cNvPr id="613" name="Shape 352"/>
          <xdr:cNvCxnSpPr/>
        </xdr:nvCxnSpPr>
        <xdr:spPr>
          <a:xfrm flipH="1">
            <a:off x="6652800" y="13220280"/>
            <a:ext cx="279000" cy="288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742680</xdr:colOff>
      <xdr:row>23</xdr:row>
      <xdr:rowOff>16200</xdr:rowOff>
    </xdr:to>
    <xdr:sp>
      <xdr:nvSpPr>
        <xdr:cNvPr id="614" name="Shape 353"/>
        <xdr:cNvSpPr/>
      </xdr:nvSpPr>
      <xdr:spPr>
        <a:xfrm>
          <a:off x="8226720" y="2981520"/>
          <a:ext cx="1378080" cy="64476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557280</xdr:colOff>
      <xdr:row>20</xdr:row>
      <xdr:rowOff>135720</xdr:rowOff>
    </xdr:to>
    <xdr:grpSp>
      <xdr:nvGrpSpPr>
        <xdr:cNvPr id="615" name="Shape 2"/>
        <xdr:cNvGrpSpPr/>
      </xdr:nvGrpSpPr>
      <xdr:grpSpPr>
        <a:xfrm>
          <a:off x="10281240" y="3286080"/>
          <a:ext cx="1183320" cy="2520"/>
          <a:chOff x="10281240" y="3286080"/>
          <a:chExt cx="1183320" cy="2520"/>
        </a:xfrm>
      </xdr:grpSpPr>
      <xdr:cxnSp>
        <xdr:nvCxnSpPr>
          <xdr:cNvPr id="616" name="Shape 354"/>
          <xdr:cNvCxnSpPr/>
        </xdr:nvCxnSpPr>
        <xdr:spPr>
          <a:xfrm>
            <a:off x="10281240" y="3286080"/>
            <a:ext cx="1183680" cy="2880"/>
          </a:xfrm>
          <a:prstGeom prst="straightConnector1">
            <a:avLst/>
          </a:prstGeom>
          <a:ln w="28575">
            <a:solidFill>
              <a:srgbClr val="0000ff"/>
            </a:solidFill>
            <a:miter/>
          </a:ln>
        </xdr:spPr>
      </xdr:cxnSp>
    </xdr:grpSp>
    <xdr:clientData/>
  </xdr:twoCellAnchor>
  <xdr:twoCellAnchor editAs="oneCell">
    <xdr:from>
      <xdr:col>10</xdr:col>
      <xdr:colOff>477000</xdr:colOff>
      <xdr:row>28</xdr:row>
      <xdr:rowOff>75600</xdr:rowOff>
    </xdr:from>
    <xdr:to>
      <xdr:col>12</xdr:col>
      <xdr:colOff>565200</xdr:colOff>
      <xdr:row>36</xdr:row>
      <xdr:rowOff>34560</xdr:rowOff>
    </xdr:to>
    <xdr:sp>
      <xdr:nvSpPr>
        <xdr:cNvPr id="617" name="Shape 355"/>
        <xdr:cNvSpPr/>
      </xdr:nvSpPr>
      <xdr:spPr>
        <a:xfrm rot="2040000">
          <a:off x="6834240" y="4456800"/>
          <a:ext cx="1340280" cy="118764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398160</xdr:colOff>
      <xdr:row>32</xdr:row>
      <xdr:rowOff>27000</xdr:rowOff>
    </xdr:to>
    <xdr:grpSp>
      <xdr:nvGrpSpPr>
        <xdr:cNvPr id="618" name="Shape 2"/>
        <xdr:cNvGrpSpPr/>
      </xdr:nvGrpSpPr>
      <xdr:grpSpPr>
        <a:xfrm>
          <a:off x="6252120" y="5023440"/>
          <a:ext cx="2382120" cy="4320"/>
          <a:chOff x="6252120" y="5023440"/>
          <a:chExt cx="2382120" cy="4320"/>
        </a:xfrm>
      </xdr:grpSpPr>
      <xdr:cxnSp>
        <xdr:nvCxnSpPr>
          <xdr:cNvPr id="619" name="Shape 356"/>
          <xdr:cNvCxnSpPr/>
        </xdr:nvCxnSpPr>
        <xdr:spPr>
          <a:xfrm flipV="1">
            <a:off x="6252120" y="5023440"/>
            <a:ext cx="2382480" cy="4680"/>
          </a:xfrm>
          <a:prstGeom prst="straightConnector1">
            <a:avLst/>
          </a:prstGeom>
          <a:ln w="9525">
            <a:solidFill>
              <a:srgbClr val="000000"/>
            </a:solidFill>
            <a:miter/>
          </a:ln>
        </xdr:spPr>
      </xdr:cxnSp>
    </xdr:grpSp>
    <xdr:clientData/>
  </xdr:twoCellAnchor>
  <xdr:twoCellAnchor editAs="oneCell">
    <xdr:from>
      <xdr:col>10</xdr:col>
      <xdr:colOff>475920</xdr:colOff>
      <xdr:row>28</xdr:row>
      <xdr:rowOff>48960</xdr:rowOff>
    </xdr:from>
    <xdr:to>
      <xdr:col>12</xdr:col>
      <xdr:colOff>554400</xdr:colOff>
      <xdr:row>36</xdr:row>
      <xdr:rowOff>65160</xdr:rowOff>
    </xdr:to>
    <xdr:sp>
      <xdr:nvSpPr>
        <xdr:cNvPr id="620" name="Shape 357"/>
        <xdr:cNvSpPr/>
      </xdr:nvSpPr>
      <xdr:spPr>
        <a:xfrm rot="19260000">
          <a:off x="6833520" y="4430520"/>
          <a:ext cx="1330560" cy="124488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81360</xdr:rowOff>
    </xdr:from>
    <xdr:to>
      <xdr:col>12</xdr:col>
      <xdr:colOff>97200</xdr:colOff>
      <xdr:row>39</xdr:row>
      <xdr:rowOff>35280</xdr:rowOff>
    </xdr:to>
    <xdr:grpSp>
      <xdr:nvGrpSpPr>
        <xdr:cNvPr id="621" name="Shape 2"/>
        <xdr:cNvGrpSpPr/>
      </xdr:nvGrpSpPr>
      <xdr:grpSpPr>
        <a:xfrm>
          <a:off x="7258680" y="3996000"/>
          <a:ext cx="448200" cy="2116080"/>
          <a:chOff x="7258680" y="3996000"/>
          <a:chExt cx="448200" cy="2116080"/>
        </a:xfrm>
      </xdr:grpSpPr>
      <xdr:cxnSp>
        <xdr:nvCxnSpPr>
          <xdr:cNvPr id="622" name="Shape 358"/>
          <xdr:cNvCxnSpPr/>
        </xdr:nvCxnSpPr>
        <xdr:spPr>
          <a:xfrm flipV="1">
            <a:off x="7258680" y="3996000"/>
            <a:ext cx="448560" cy="211644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530280</xdr:colOff>
      <xdr:row>34</xdr:row>
      <xdr:rowOff>35280</xdr:rowOff>
    </xdr:to>
    <xdr:sp>
      <xdr:nvSpPr>
        <xdr:cNvPr id="623" name="Shape 359"/>
        <xdr:cNvSpPr/>
      </xdr:nvSpPr>
      <xdr:spPr>
        <a:xfrm>
          <a:off x="8512200" y="4933800"/>
          <a:ext cx="254160" cy="4068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256680</xdr:colOff>
      <xdr:row>33</xdr:row>
      <xdr:rowOff>0</xdr:rowOff>
    </xdr:from>
    <xdr:to>
      <xdr:col>13</xdr:col>
      <xdr:colOff>345240</xdr:colOff>
      <xdr:row>34</xdr:row>
      <xdr:rowOff>50040</xdr:rowOff>
    </xdr:to>
    <xdr:grpSp>
      <xdr:nvGrpSpPr>
        <xdr:cNvPr id="624" name="Shape 2"/>
        <xdr:cNvGrpSpPr/>
      </xdr:nvGrpSpPr>
      <xdr:grpSpPr>
        <a:xfrm>
          <a:off x="8492760" y="5153040"/>
          <a:ext cx="88560" cy="202320"/>
          <a:chOff x="8492760" y="5153040"/>
          <a:chExt cx="88560" cy="202320"/>
        </a:xfrm>
      </xdr:grpSpPr>
      <xdr:cxnSp>
        <xdr:nvCxnSpPr>
          <xdr:cNvPr id="625" name="Shape 360"/>
          <xdr:cNvCxnSpPr/>
        </xdr:nvCxnSpPr>
        <xdr:spPr>
          <a:xfrm flipH="1">
            <a:off x="8492760" y="5153040"/>
            <a:ext cx="88920" cy="20268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268920</xdr:colOff>
      <xdr:row>35</xdr:row>
      <xdr:rowOff>68760</xdr:rowOff>
    </xdr:to>
    <xdr:grpSp>
      <xdr:nvGrpSpPr>
        <xdr:cNvPr id="626" name="Shape 2"/>
        <xdr:cNvGrpSpPr/>
      </xdr:nvGrpSpPr>
      <xdr:grpSpPr>
        <a:xfrm>
          <a:off x="8359560" y="5343120"/>
          <a:ext cx="145440" cy="183600"/>
          <a:chOff x="8359560" y="5343120"/>
          <a:chExt cx="145440" cy="183600"/>
        </a:xfrm>
      </xdr:grpSpPr>
      <xdr:cxnSp>
        <xdr:nvCxnSpPr>
          <xdr:cNvPr id="627" name="Shape 361"/>
          <xdr:cNvCxnSpPr/>
        </xdr:nvCxnSpPr>
        <xdr:spPr>
          <a:xfrm flipH="1">
            <a:off x="8359560" y="5343120"/>
            <a:ext cx="145800" cy="18396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335880</xdr:colOff>
      <xdr:row>31</xdr:row>
      <xdr:rowOff>97560</xdr:rowOff>
    </xdr:to>
    <xdr:grpSp>
      <xdr:nvGrpSpPr>
        <xdr:cNvPr id="628" name="Shape 2"/>
        <xdr:cNvGrpSpPr/>
      </xdr:nvGrpSpPr>
      <xdr:grpSpPr>
        <a:xfrm>
          <a:off x="8521560" y="4733640"/>
          <a:ext cx="50400" cy="212040"/>
          <a:chOff x="8521560" y="4733640"/>
          <a:chExt cx="50400" cy="212040"/>
        </a:xfrm>
      </xdr:grpSpPr>
      <xdr:cxnSp>
        <xdr:nvCxnSpPr>
          <xdr:cNvPr id="629" name="Shape 362"/>
          <xdr:cNvCxnSpPr/>
        </xdr:nvCxnSpPr>
        <xdr:spPr>
          <a:xfrm flipH="1" flipV="1">
            <a:off x="8521560" y="4733640"/>
            <a:ext cx="50760" cy="21240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288000</xdr:colOff>
      <xdr:row>30</xdr:row>
      <xdr:rowOff>50040</xdr:rowOff>
    </xdr:to>
    <xdr:grpSp>
      <xdr:nvGrpSpPr>
        <xdr:cNvPr id="630" name="Shape 2"/>
        <xdr:cNvGrpSpPr/>
      </xdr:nvGrpSpPr>
      <xdr:grpSpPr>
        <a:xfrm>
          <a:off x="8340840" y="4504680"/>
          <a:ext cx="183240" cy="241200"/>
          <a:chOff x="8340840" y="4504680"/>
          <a:chExt cx="183240" cy="241200"/>
        </a:xfrm>
      </xdr:grpSpPr>
      <xdr:cxnSp>
        <xdr:nvCxnSpPr>
          <xdr:cNvPr id="631" name="Shape 363"/>
          <xdr:cNvCxnSpPr/>
        </xdr:nvCxnSpPr>
        <xdr:spPr>
          <a:xfrm flipH="1" flipV="1">
            <a:off x="8340840" y="4504680"/>
            <a:ext cx="183600" cy="24156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522000</xdr:colOff>
      <xdr:row>10</xdr:row>
      <xdr:rowOff>135720</xdr:rowOff>
    </xdr:to>
    <xdr:grpSp>
      <xdr:nvGrpSpPr>
        <xdr:cNvPr id="632" name="Shape 2"/>
        <xdr:cNvGrpSpPr/>
      </xdr:nvGrpSpPr>
      <xdr:grpSpPr>
        <a:xfrm>
          <a:off x="2440440" y="1752480"/>
          <a:ext cx="1212120" cy="2520"/>
          <a:chOff x="2440440" y="1752480"/>
          <a:chExt cx="1212120" cy="2520"/>
        </a:xfrm>
      </xdr:grpSpPr>
      <xdr:cxnSp>
        <xdr:nvCxnSpPr>
          <xdr:cNvPr id="633" name="Shape 364"/>
          <xdr:cNvCxnSpPr/>
        </xdr:nvCxnSpPr>
        <xdr:spPr>
          <a:xfrm flipH="1">
            <a:off x="2440440" y="1752480"/>
            <a:ext cx="1212480" cy="288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502920</xdr:colOff>
      <xdr:row>20</xdr:row>
      <xdr:rowOff>135720</xdr:rowOff>
    </xdr:to>
    <xdr:grpSp>
      <xdr:nvGrpSpPr>
        <xdr:cNvPr id="634" name="Shape 2"/>
        <xdr:cNvGrpSpPr/>
      </xdr:nvGrpSpPr>
      <xdr:grpSpPr>
        <a:xfrm>
          <a:off x="2440440" y="3286080"/>
          <a:ext cx="1193040" cy="2520"/>
          <a:chOff x="2440440" y="3286080"/>
          <a:chExt cx="1193040" cy="2520"/>
        </a:xfrm>
      </xdr:grpSpPr>
      <xdr:cxnSp>
        <xdr:nvCxnSpPr>
          <xdr:cNvPr id="635" name="Shape 365"/>
          <xdr:cNvCxnSpPr/>
        </xdr:nvCxnSpPr>
        <xdr:spPr>
          <a:xfrm flipH="1">
            <a:off x="2440440" y="3286080"/>
            <a:ext cx="1193400" cy="288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609480</xdr:colOff>
      <xdr:row>13</xdr:row>
      <xdr:rowOff>21240</xdr:rowOff>
    </xdr:to>
    <xdr:grpSp>
      <xdr:nvGrpSpPr>
        <xdr:cNvPr id="636" name="Shape 2"/>
        <xdr:cNvGrpSpPr/>
      </xdr:nvGrpSpPr>
      <xdr:grpSpPr>
        <a:xfrm>
          <a:off x="3111480" y="1447560"/>
          <a:ext cx="2520" cy="650160"/>
          <a:chOff x="3111480" y="1447560"/>
          <a:chExt cx="2520" cy="650160"/>
        </a:xfrm>
      </xdr:grpSpPr>
      <xdr:cxnSp>
        <xdr:nvCxnSpPr>
          <xdr:cNvPr id="637" name="Shape 366"/>
          <xdr:cNvCxnSpPr/>
        </xdr:nvCxnSpPr>
        <xdr:spPr>
          <a:xfrm>
            <a:off x="3111480" y="1447560"/>
            <a:ext cx="2880" cy="65052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609480</xdr:colOff>
      <xdr:row>23</xdr:row>
      <xdr:rowOff>21240</xdr:rowOff>
    </xdr:to>
    <xdr:grpSp>
      <xdr:nvGrpSpPr>
        <xdr:cNvPr id="638" name="Shape 2"/>
        <xdr:cNvGrpSpPr/>
      </xdr:nvGrpSpPr>
      <xdr:grpSpPr>
        <a:xfrm>
          <a:off x="3111480" y="2990880"/>
          <a:ext cx="2520" cy="640440"/>
          <a:chOff x="3111480" y="2990880"/>
          <a:chExt cx="2520" cy="640440"/>
        </a:xfrm>
      </xdr:grpSpPr>
      <xdr:cxnSp>
        <xdr:nvCxnSpPr>
          <xdr:cNvPr id="639" name="Shape 367"/>
          <xdr:cNvCxnSpPr/>
        </xdr:nvCxnSpPr>
        <xdr:spPr>
          <a:xfrm>
            <a:off x="3111480" y="2990880"/>
            <a:ext cx="2880" cy="64080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335520</xdr:colOff>
      <xdr:row>12</xdr:row>
      <xdr:rowOff>25560</xdr:rowOff>
    </xdr:to>
    <xdr:sp>
      <xdr:nvSpPr>
        <xdr:cNvPr id="640" name="Shape 368"/>
        <xdr:cNvSpPr/>
      </xdr:nvSpPr>
      <xdr:spPr>
        <a:xfrm>
          <a:off x="1159560" y="1619280"/>
          <a:ext cx="1054440" cy="33048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297360</xdr:colOff>
      <xdr:row>22</xdr:row>
      <xdr:rowOff>25920</xdr:rowOff>
    </xdr:to>
    <xdr:sp>
      <xdr:nvSpPr>
        <xdr:cNvPr id="641" name="Shape 369"/>
        <xdr:cNvSpPr/>
      </xdr:nvSpPr>
      <xdr:spPr>
        <a:xfrm>
          <a:off x="1121400" y="3152880"/>
          <a:ext cx="1054440" cy="33048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81000</xdr:colOff>
      <xdr:row>7</xdr:row>
      <xdr:rowOff>25920</xdr:rowOff>
    </xdr:to>
    <xdr:sp>
      <xdr:nvSpPr>
        <xdr:cNvPr id="642" name="Shape 370"/>
        <xdr:cNvSpPr/>
      </xdr:nvSpPr>
      <xdr:spPr>
        <a:xfrm>
          <a:off x="2011680" y="990720"/>
          <a:ext cx="1825920" cy="1782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493920</xdr:colOff>
      <xdr:row>3</xdr:row>
      <xdr:rowOff>59400</xdr:rowOff>
    </xdr:to>
    <xdr:grpSp>
      <xdr:nvGrpSpPr>
        <xdr:cNvPr id="643" name="Shape 2"/>
        <xdr:cNvGrpSpPr/>
      </xdr:nvGrpSpPr>
      <xdr:grpSpPr>
        <a:xfrm>
          <a:off x="2504520" y="590400"/>
          <a:ext cx="3650400" cy="2520"/>
          <a:chOff x="2504520" y="590400"/>
          <a:chExt cx="3650400" cy="2520"/>
        </a:xfrm>
      </xdr:grpSpPr>
      <xdr:cxnSp>
        <xdr:nvCxnSpPr>
          <xdr:cNvPr id="644" name="Shape 371"/>
          <xdr:cNvCxnSpPr/>
        </xdr:nvCxnSpPr>
        <xdr:spPr>
          <a:xfrm>
            <a:off x="2504520" y="590400"/>
            <a:ext cx="3650760" cy="288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549720</xdr:colOff>
      <xdr:row>5</xdr:row>
      <xdr:rowOff>6480</xdr:rowOff>
    </xdr:to>
    <xdr:sp>
      <xdr:nvSpPr>
        <xdr:cNvPr id="645" name="Shape 372"/>
        <xdr:cNvSpPr/>
      </xdr:nvSpPr>
      <xdr:spPr>
        <a:xfrm>
          <a:off x="2316600" y="380880"/>
          <a:ext cx="111600" cy="46368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52920</xdr:colOff>
      <xdr:row>4</xdr:row>
      <xdr:rowOff>140040</xdr:rowOff>
    </xdr:to>
    <xdr:sp>
      <xdr:nvSpPr>
        <xdr:cNvPr id="646" name="Shape 373"/>
        <xdr:cNvSpPr/>
      </xdr:nvSpPr>
      <xdr:spPr>
        <a:xfrm>
          <a:off x="6289560" y="380880"/>
          <a:ext cx="120960" cy="44496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609480</xdr:colOff>
      <xdr:row>8</xdr:row>
      <xdr:rowOff>78840</xdr:rowOff>
    </xdr:to>
    <xdr:grpSp>
      <xdr:nvGrpSpPr>
        <xdr:cNvPr id="647" name="Shape 2"/>
        <xdr:cNvGrpSpPr/>
      </xdr:nvGrpSpPr>
      <xdr:grpSpPr>
        <a:xfrm>
          <a:off x="3111480" y="1218960"/>
          <a:ext cx="2520" cy="155160"/>
          <a:chOff x="3111480" y="1218960"/>
          <a:chExt cx="2520" cy="155160"/>
        </a:xfrm>
      </xdr:grpSpPr>
      <xdr:cxnSp>
        <xdr:nvCxnSpPr>
          <xdr:cNvPr id="648" name="Shape 4"/>
          <xdr:cNvCxnSpPr/>
        </xdr:nvCxnSpPr>
        <xdr:spPr>
          <a:xfrm>
            <a:off x="3111480" y="1218960"/>
            <a:ext cx="2880" cy="15552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609480</xdr:colOff>
      <xdr:row>18</xdr:row>
      <xdr:rowOff>49680</xdr:rowOff>
    </xdr:to>
    <xdr:grpSp>
      <xdr:nvGrpSpPr>
        <xdr:cNvPr id="649" name="Shape 2"/>
        <xdr:cNvGrpSpPr/>
      </xdr:nvGrpSpPr>
      <xdr:grpSpPr>
        <a:xfrm>
          <a:off x="3111480" y="2171520"/>
          <a:ext cx="2520" cy="716760"/>
          <a:chOff x="3111480" y="2171520"/>
          <a:chExt cx="2520" cy="716760"/>
        </a:xfrm>
      </xdr:grpSpPr>
      <xdr:cxnSp>
        <xdr:nvCxnSpPr>
          <xdr:cNvPr id="650" name="Shape 374"/>
          <xdr:cNvCxnSpPr/>
        </xdr:nvCxnSpPr>
        <xdr:spPr>
          <a:xfrm>
            <a:off x="3111480" y="2171520"/>
            <a:ext cx="2880" cy="71712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553680</xdr:colOff>
      <xdr:row>80</xdr:row>
      <xdr:rowOff>59400</xdr:rowOff>
    </xdr:to>
    <xdr:grpSp>
      <xdr:nvGrpSpPr>
        <xdr:cNvPr id="651" name="Shape 2"/>
        <xdr:cNvGrpSpPr/>
      </xdr:nvGrpSpPr>
      <xdr:grpSpPr>
        <a:xfrm>
          <a:off x="6298920" y="12477600"/>
          <a:ext cx="612360" cy="2520"/>
          <a:chOff x="6298920" y="12477600"/>
          <a:chExt cx="612360" cy="2520"/>
        </a:xfrm>
      </xdr:grpSpPr>
      <xdr:cxnSp>
        <xdr:nvCxnSpPr>
          <xdr:cNvPr id="652" name="Shape 375"/>
          <xdr:cNvCxnSpPr/>
        </xdr:nvCxnSpPr>
        <xdr:spPr>
          <a:xfrm flipH="1">
            <a:off x="6298920" y="12477600"/>
            <a:ext cx="612720" cy="288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754920</xdr:colOff>
      <xdr:row>32</xdr:row>
      <xdr:rowOff>59400</xdr:rowOff>
    </xdr:to>
    <xdr:grpSp>
      <xdr:nvGrpSpPr>
        <xdr:cNvPr id="653" name="Shape 2"/>
        <xdr:cNvGrpSpPr/>
      </xdr:nvGrpSpPr>
      <xdr:grpSpPr>
        <a:xfrm>
          <a:off x="8976240" y="5057640"/>
          <a:ext cx="640800" cy="2520"/>
          <a:chOff x="8976240" y="5057640"/>
          <a:chExt cx="640800" cy="2520"/>
        </a:xfrm>
      </xdr:grpSpPr>
      <xdr:cxnSp>
        <xdr:nvCxnSpPr>
          <xdr:cNvPr id="654" name="Shape 39"/>
          <xdr:cNvCxnSpPr/>
        </xdr:nvCxnSpPr>
        <xdr:spPr>
          <a:xfrm flipH="1">
            <a:off x="8976240" y="5057640"/>
            <a:ext cx="641160" cy="288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273240</xdr:colOff>
      <xdr:row>97</xdr:row>
      <xdr:rowOff>121320</xdr:rowOff>
    </xdr:to>
    <xdr:sp>
      <xdr:nvSpPr>
        <xdr:cNvPr id="655" name="Shape 376"/>
        <xdr:cNvSpPr/>
      </xdr:nvSpPr>
      <xdr:spPr>
        <a:xfrm>
          <a:off x="6395760" y="14706720"/>
          <a:ext cx="235080" cy="42588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564480</xdr:colOff>
      <xdr:row>96</xdr:row>
      <xdr:rowOff>59400</xdr:rowOff>
    </xdr:to>
    <xdr:grpSp>
      <xdr:nvGrpSpPr>
        <xdr:cNvPr id="656" name="Shape 2"/>
        <xdr:cNvGrpSpPr/>
      </xdr:nvGrpSpPr>
      <xdr:grpSpPr>
        <a:xfrm>
          <a:off x="6604920" y="14915880"/>
          <a:ext cx="317160" cy="2520"/>
          <a:chOff x="6604920" y="14915880"/>
          <a:chExt cx="317160" cy="2520"/>
        </a:xfrm>
      </xdr:grpSpPr>
      <xdr:cxnSp>
        <xdr:nvCxnSpPr>
          <xdr:cNvPr id="657" name="Shape 377"/>
          <xdr:cNvCxnSpPr/>
        </xdr:nvCxnSpPr>
        <xdr:spPr>
          <a:xfrm flipH="1">
            <a:off x="6604920" y="14915880"/>
            <a:ext cx="317520" cy="288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273240</xdr:colOff>
      <xdr:row>86</xdr:row>
      <xdr:rowOff>120960</xdr:rowOff>
    </xdr:to>
    <xdr:sp>
      <xdr:nvSpPr>
        <xdr:cNvPr id="658" name="Shape 376"/>
        <xdr:cNvSpPr/>
      </xdr:nvSpPr>
      <xdr:spPr>
        <a:xfrm>
          <a:off x="6395760" y="13030200"/>
          <a:ext cx="235080" cy="42588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288000</xdr:colOff>
      <xdr:row>37</xdr:row>
      <xdr:rowOff>11880</xdr:rowOff>
    </xdr:to>
    <xdr:grpSp>
      <xdr:nvGrpSpPr>
        <xdr:cNvPr id="659" name="Shape 2"/>
        <xdr:cNvGrpSpPr/>
      </xdr:nvGrpSpPr>
      <xdr:grpSpPr>
        <a:xfrm>
          <a:off x="2250720" y="5457600"/>
          <a:ext cx="2520" cy="307440"/>
          <a:chOff x="2250720" y="5457600"/>
          <a:chExt cx="2520" cy="307440"/>
        </a:xfrm>
      </xdr:grpSpPr>
      <xdr:cxnSp>
        <xdr:nvCxnSpPr>
          <xdr:cNvPr id="660" name="Shape 160"/>
          <xdr:cNvCxnSpPr/>
        </xdr:nvCxnSpPr>
        <xdr:spPr>
          <a:xfrm flipV="1">
            <a:off x="2250720" y="5457600"/>
            <a:ext cx="2880" cy="30780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307080</xdr:colOff>
      <xdr:row>50</xdr:row>
      <xdr:rowOff>2520</xdr:rowOff>
    </xdr:to>
    <xdr:grpSp>
      <xdr:nvGrpSpPr>
        <xdr:cNvPr id="661" name="Shape 2"/>
        <xdr:cNvGrpSpPr/>
      </xdr:nvGrpSpPr>
      <xdr:grpSpPr>
        <a:xfrm>
          <a:off x="2231640" y="7439040"/>
          <a:ext cx="40680" cy="297720"/>
          <a:chOff x="2231640" y="7439040"/>
          <a:chExt cx="40680" cy="297720"/>
        </a:xfrm>
      </xdr:grpSpPr>
      <xdr:cxnSp>
        <xdr:nvCxnSpPr>
          <xdr:cNvPr id="662" name="Shape 378"/>
          <xdr:cNvCxnSpPr/>
        </xdr:nvCxnSpPr>
        <xdr:spPr>
          <a:xfrm flipV="1">
            <a:off x="2231640" y="7439040"/>
            <a:ext cx="41040" cy="29808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573840</xdr:colOff>
      <xdr:row>20</xdr:row>
      <xdr:rowOff>69120</xdr:rowOff>
    </xdr:to>
    <xdr:grpSp>
      <xdr:nvGrpSpPr>
        <xdr:cNvPr id="663" name="Shape 2"/>
        <xdr:cNvGrpSpPr/>
      </xdr:nvGrpSpPr>
      <xdr:grpSpPr>
        <a:xfrm>
          <a:off x="2953080" y="3200400"/>
          <a:ext cx="212040" cy="2520"/>
          <a:chOff x="2953080" y="3200400"/>
          <a:chExt cx="212040" cy="2520"/>
        </a:xfrm>
      </xdr:grpSpPr>
      <xdr:cxnSp>
        <xdr:nvCxnSpPr>
          <xdr:cNvPr id="664" name="Shape 379"/>
          <xdr:cNvCxnSpPr/>
        </xdr:nvCxnSpPr>
        <xdr:spPr>
          <a:xfrm flipH="1">
            <a:off x="2953080" y="3200400"/>
            <a:ext cx="212400" cy="288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992880</xdr:colOff>
      <xdr:row>1</xdr:row>
      <xdr:rowOff>30960</xdr:rowOff>
    </xdr:to>
    <xdr:grpSp>
      <xdr:nvGrpSpPr>
        <xdr:cNvPr id="665" name="Shape 2"/>
        <xdr:cNvGrpSpPr/>
      </xdr:nvGrpSpPr>
      <xdr:grpSpPr>
        <a:xfrm>
          <a:off x="6112440" y="257040"/>
          <a:ext cx="212040" cy="2520"/>
          <a:chOff x="6112440" y="257040"/>
          <a:chExt cx="212040" cy="2520"/>
        </a:xfrm>
      </xdr:grpSpPr>
      <xdr:cxnSp>
        <xdr:nvCxnSpPr>
          <xdr:cNvPr id="666" name="Shape 380"/>
          <xdr:cNvCxnSpPr/>
        </xdr:nvCxnSpPr>
        <xdr:spPr>
          <a:xfrm>
            <a:off x="6112440" y="257040"/>
            <a:ext cx="212400" cy="288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992880</xdr:colOff>
      <xdr:row>1</xdr:row>
      <xdr:rowOff>145080</xdr:rowOff>
    </xdr:to>
    <xdr:grpSp>
      <xdr:nvGrpSpPr>
        <xdr:cNvPr id="667" name="Shape 2"/>
        <xdr:cNvGrpSpPr/>
      </xdr:nvGrpSpPr>
      <xdr:grpSpPr>
        <a:xfrm>
          <a:off x="6321960" y="276120"/>
          <a:ext cx="2520" cy="97560"/>
          <a:chOff x="6321960" y="276120"/>
          <a:chExt cx="2520" cy="97560"/>
        </a:xfrm>
      </xdr:grpSpPr>
      <xdr:cxnSp>
        <xdr:nvCxnSpPr>
          <xdr:cNvPr id="668" name="Shape 381"/>
          <xdr:cNvCxnSpPr/>
        </xdr:nvCxnSpPr>
        <xdr:spPr>
          <a:xfrm>
            <a:off x="6321960" y="276120"/>
            <a:ext cx="2880" cy="9792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1002600</xdr:colOff>
      <xdr:row>1</xdr:row>
      <xdr:rowOff>40320</xdr:rowOff>
    </xdr:to>
    <xdr:grpSp>
      <xdr:nvGrpSpPr>
        <xdr:cNvPr id="669" name="Shape 2"/>
        <xdr:cNvGrpSpPr/>
      </xdr:nvGrpSpPr>
      <xdr:grpSpPr>
        <a:xfrm>
          <a:off x="7612920" y="266400"/>
          <a:ext cx="183600" cy="2520"/>
          <a:chOff x="7612920" y="266400"/>
          <a:chExt cx="183600" cy="2520"/>
        </a:xfrm>
      </xdr:grpSpPr>
      <xdr:cxnSp>
        <xdr:nvCxnSpPr>
          <xdr:cNvPr id="670" name="Shape 382"/>
          <xdr:cNvCxnSpPr/>
        </xdr:nvCxnSpPr>
        <xdr:spPr>
          <a:xfrm>
            <a:off x="7612920" y="266400"/>
            <a:ext cx="183960" cy="288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1002600</xdr:colOff>
      <xdr:row>1</xdr:row>
      <xdr:rowOff>145080</xdr:rowOff>
    </xdr:to>
    <xdr:grpSp>
      <xdr:nvGrpSpPr>
        <xdr:cNvPr id="671" name="Shape 2"/>
        <xdr:cNvGrpSpPr/>
      </xdr:nvGrpSpPr>
      <xdr:grpSpPr>
        <a:xfrm>
          <a:off x="7794000" y="285480"/>
          <a:ext cx="2520" cy="88200"/>
          <a:chOff x="7794000" y="285480"/>
          <a:chExt cx="2520" cy="88200"/>
        </a:xfrm>
      </xdr:grpSpPr>
      <xdr:cxnSp>
        <xdr:nvCxnSpPr>
          <xdr:cNvPr id="672" name="Shape 189"/>
          <xdr:cNvCxnSpPr/>
        </xdr:nvCxnSpPr>
        <xdr:spPr>
          <a:xfrm>
            <a:off x="7794000" y="285480"/>
            <a:ext cx="2880" cy="8856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243000</xdr:colOff>
      <xdr:row>1</xdr:row>
      <xdr:rowOff>40320</xdr:rowOff>
    </xdr:to>
    <xdr:grpSp>
      <xdr:nvGrpSpPr>
        <xdr:cNvPr id="673" name="Shape 2"/>
        <xdr:cNvGrpSpPr/>
      </xdr:nvGrpSpPr>
      <xdr:grpSpPr>
        <a:xfrm>
          <a:off x="8915400" y="266400"/>
          <a:ext cx="430920" cy="2520"/>
          <a:chOff x="8915400" y="266400"/>
          <a:chExt cx="430920" cy="2520"/>
        </a:xfrm>
      </xdr:grpSpPr>
      <xdr:cxnSp>
        <xdr:nvCxnSpPr>
          <xdr:cNvPr id="674" name="Shape 383"/>
          <xdr:cNvCxnSpPr/>
        </xdr:nvCxnSpPr>
        <xdr:spPr>
          <a:xfrm>
            <a:off x="8915400" y="266400"/>
            <a:ext cx="431280" cy="288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297720</xdr:colOff>
      <xdr:row>2</xdr:row>
      <xdr:rowOff>2160</xdr:rowOff>
    </xdr:to>
    <xdr:grpSp>
      <xdr:nvGrpSpPr>
        <xdr:cNvPr id="675" name="Shape 2"/>
        <xdr:cNvGrpSpPr/>
      </xdr:nvGrpSpPr>
      <xdr:grpSpPr>
        <a:xfrm>
          <a:off x="9360360" y="285480"/>
          <a:ext cx="40680" cy="107280"/>
          <a:chOff x="9360360" y="285480"/>
          <a:chExt cx="40680" cy="107280"/>
        </a:xfrm>
      </xdr:grpSpPr>
      <xdr:cxnSp>
        <xdr:nvCxnSpPr>
          <xdr:cNvPr id="676" name="Shape 384"/>
          <xdr:cNvCxnSpPr/>
        </xdr:nvCxnSpPr>
        <xdr:spPr>
          <a:xfrm>
            <a:off x="9360360" y="285480"/>
            <a:ext cx="41040" cy="10764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992880</xdr:colOff>
      <xdr:row>28</xdr:row>
      <xdr:rowOff>30960</xdr:rowOff>
    </xdr:to>
    <xdr:grpSp>
      <xdr:nvGrpSpPr>
        <xdr:cNvPr id="677" name="Shape 2"/>
        <xdr:cNvGrpSpPr/>
      </xdr:nvGrpSpPr>
      <xdr:grpSpPr>
        <a:xfrm>
          <a:off x="6112440" y="5248080"/>
          <a:ext cx="212040" cy="2520"/>
          <a:chOff x="6112440" y="5248080"/>
          <a:chExt cx="212040" cy="2520"/>
        </a:xfrm>
      </xdr:grpSpPr>
      <xdr:cxnSp>
        <xdr:nvCxnSpPr>
          <xdr:cNvPr id="678" name="Shape 380"/>
          <xdr:cNvCxnSpPr/>
        </xdr:nvCxnSpPr>
        <xdr:spPr>
          <a:xfrm>
            <a:off x="6112440" y="5248080"/>
            <a:ext cx="212400" cy="288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992880</xdr:colOff>
      <xdr:row>28</xdr:row>
      <xdr:rowOff>145080</xdr:rowOff>
    </xdr:to>
    <xdr:grpSp>
      <xdr:nvGrpSpPr>
        <xdr:cNvPr id="679" name="Shape 2"/>
        <xdr:cNvGrpSpPr/>
      </xdr:nvGrpSpPr>
      <xdr:grpSpPr>
        <a:xfrm>
          <a:off x="6321960" y="5267160"/>
          <a:ext cx="2520" cy="97560"/>
          <a:chOff x="6321960" y="5267160"/>
          <a:chExt cx="2520" cy="97560"/>
        </a:xfrm>
      </xdr:grpSpPr>
      <xdr:cxnSp>
        <xdr:nvCxnSpPr>
          <xdr:cNvPr id="680" name="Shape 381"/>
          <xdr:cNvCxnSpPr/>
        </xdr:nvCxnSpPr>
        <xdr:spPr>
          <a:xfrm>
            <a:off x="6321960" y="5267160"/>
            <a:ext cx="2880" cy="9792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1002600</xdr:colOff>
      <xdr:row>28</xdr:row>
      <xdr:rowOff>40320</xdr:rowOff>
    </xdr:to>
    <xdr:grpSp>
      <xdr:nvGrpSpPr>
        <xdr:cNvPr id="681" name="Shape 2"/>
        <xdr:cNvGrpSpPr/>
      </xdr:nvGrpSpPr>
      <xdr:grpSpPr>
        <a:xfrm>
          <a:off x="7612920" y="5257440"/>
          <a:ext cx="183600" cy="2520"/>
          <a:chOff x="7612920" y="5257440"/>
          <a:chExt cx="183600" cy="2520"/>
        </a:xfrm>
      </xdr:grpSpPr>
      <xdr:cxnSp>
        <xdr:nvCxnSpPr>
          <xdr:cNvPr id="682" name="Shape 382"/>
          <xdr:cNvCxnSpPr/>
        </xdr:nvCxnSpPr>
        <xdr:spPr>
          <a:xfrm>
            <a:off x="7612920" y="5257440"/>
            <a:ext cx="183960" cy="288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1002600</xdr:colOff>
      <xdr:row>28</xdr:row>
      <xdr:rowOff>145080</xdr:rowOff>
    </xdr:to>
    <xdr:grpSp>
      <xdr:nvGrpSpPr>
        <xdr:cNvPr id="683" name="Shape 2"/>
        <xdr:cNvGrpSpPr/>
      </xdr:nvGrpSpPr>
      <xdr:grpSpPr>
        <a:xfrm>
          <a:off x="7794000" y="5276520"/>
          <a:ext cx="2520" cy="88200"/>
          <a:chOff x="7794000" y="5276520"/>
          <a:chExt cx="2520" cy="88200"/>
        </a:xfrm>
      </xdr:grpSpPr>
      <xdr:cxnSp>
        <xdr:nvCxnSpPr>
          <xdr:cNvPr id="684" name="Shape 189"/>
          <xdr:cNvCxnSpPr/>
        </xdr:nvCxnSpPr>
        <xdr:spPr>
          <a:xfrm>
            <a:off x="7794000" y="5276520"/>
            <a:ext cx="2880" cy="8856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243000</xdr:colOff>
      <xdr:row>28</xdr:row>
      <xdr:rowOff>40320</xdr:rowOff>
    </xdr:to>
    <xdr:grpSp>
      <xdr:nvGrpSpPr>
        <xdr:cNvPr id="685" name="Shape 2"/>
        <xdr:cNvGrpSpPr/>
      </xdr:nvGrpSpPr>
      <xdr:grpSpPr>
        <a:xfrm>
          <a:off x="8915400" y="5257440"/>
          <a:ext cx="430920" cy="2520"/>
          <a:chOff x="8915400" y="5257440"/>
          <a:chExt cx="430920" cy="2520"/>
        </a:xfrm>
      </xdr:grpSpPr>
      <xdr:cxnSp>
        <xdr:nvCxnSpPr>
          <xdr:cNvPr id="686" name="Shape 383"/>
          <xdr:cNvCxnSpPr/>
        </xdr:nvCxnSpPr>
        <xdr:spPr>
          <a:xfrm>
            <a:off x="8915400" y="5257440"/>
            <a:ext cx="431280" cy="288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297720</xdr:colOff>
      <xdr:row>29</xdr:row>
      <xdr:rowOff>2160</xdr:rowOff>
    </xdr:to>
    <xdr:grpSp>
      <xdr:nvGrpSpPr>
        <xdr:cNvPr id="687" name="Shape 2"/>
        <xdr:cNvGrpSpPr/>
      </xdr:nvGrpSpPr>
      <xdr:grpSpPr>
        <a:xfrm>
          <a:off x="9360360" y="5276520"/>
          <a:ext cx="40680" cy="107280"/>
          <a:chOff x="9360360" y="5276520"/>
          <a:chExt cx="40680" cy="107280"/>
        </a:xfrm>
      </xdr:grpSpPr>
      <xdr:cxnSp>
        <xdr:nvCxnSpPr>
          <xdr:cNvPr id="688" name="Shape 384"/>
          <xdr:cNvCxnSpPr/>
        </xdr:nvCxnSpPr>
        <xdr:spPr>
          <a:xfrm>
            <a:off x="9360360" y="5276520"/>
            <a:ext cx="41040" cy="10764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4</xdr:col>
      <xdr:colOff>519120</xdr:colOff>
      <xdr:row>51</xdr:row>
      <xdr:rowOff>69120</xdr:rowOff>
    </xdr:to>
    <xdr:grpSp>
      <xdr:nvGrpSpPr>
        <xdr:cNvPr id="689" name="Shape 2"/>
        <xdr:cNvGrpSpPr/>
      </xdr:nvGrpSpPr>
      <xdr:grpSpPr>
        <a:xfrm>
          <a:off x="5038560" y="9629640"/>
          <a:ext cx="812160" cy="2520"/>
          <a:chOff x="5038560" y="9629640"/>
          <a:chExt cx="812160" cy="2520"/>
        </a:xfrm>
      </xdr:grpSpPr>
      <xdr:cxnSp>
        <xdr:nvCxnSpPr>
          <xdr:cNvPr id="690" name="Shape 385"/>
          <xdr:cNvCxnSpPr/>
        </xdr:nvCxnSpPr>
        <xdr:spPr>
          <a:xfrm>
            <a:off x="5038560" y="9629640"/>
            <a:ext cx="812520" cy="288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650160</xdr:colOff>
      <xdr:row>52</xdr:row>
      <xdr:rowOff>11880</xdr:rowOff>
    </xdr:to>
    <xdr:grpSp>
      <xdr:nvGrpSpPr>
        <xdr:cNvPr id="691" name="Shape 2"/>
        <xdr:cNvGrpSpPr/>
      </xdr:nvGrpSpPr>
      <xdr:grpSpPr>
        <a:xfrm>
          <a:off x="5979240" y="9648720"/>
          <a:ext cx="2520" cy="88200"/>
          <a:chOff x="5979240" y="9648720"/>
          <a:chExt cx="2520" cy="88200"/>
        </a:xfrm>
      </xdr:grpSpPr>
      <xdr:cxnSp>
        <xdr:nvCxnSpPr>
          <xdr:cNvPr id="692" name="Shape 386"/>
          <xdr:cNvCxnSpPr/>
        </xdr:nvCxnSpPr>
        <xdr:spPr>
          <a:xfrm>
            <a:off x="5979240" y="9648720"/>
            <a:ext cx="2880" cy="8856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4</xdr:col>
      <xdr:colOff>519120</xdr:colOff>
      <xdr:row>23</xdr:row>
      <xdr:rowOff>69120</xdr:rowOff>
    </xdr:to>
    <xdr:grpSp>
      <xdr:nvGrpSpPr>
        <xdr:cNvPr id="693" name="Shape 2"/>
        <xdr:cNvGrpSpPr/>
      </xdr:nvGrpSpPr>
      <xdr:grpSpPr>
        <a:xfrm>
          <a:off x="5038560" y="4448160"/>
          <a:ext cx="812160" cy="2520"/>
          <a:chOff x="5038560" y="4448160"/>
          <a:chExt cx="812160" cy="2520"/>
        </a:xfrm>
      </xdr:grpSpPr>
      <xdr:cxnSp>
        <xdr:nvCxnSpPr>
          <xdr:cNvPr id="694" name="Shape 385"/>
          <xdr:cNvCxnSpPr/>
        </xdr:nvCxnSpPr>
        <xdr:spPr>
          <a:xfrm>
            <a:off x="5038560" y="4448160"/>
            <a:ext cx="812520" cy="288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650160</xdr:colOff>
      <xdr:row>24</xdr:row>
      <xdr:rowOff>2160</xdr:rowOff>
    </xdr:to>
    <xdr:grpSp>
      <xdr:nvGrpSpPr>
        <xdr:cNvPr id="695" name="Shape 2"/>
        <xdr:cNvGrpSpPr/>
      </xdr:nvGrpSpPr>
      <xdr:grpSpPr>
        <a:xfrm>
          <a:off x="5979240" y="4467240"/>
          <a:ext cx="2520" cy="78480"/>
          <a:chOff x="5979240" y="4467240"/>
          <a:chExt cx="2520" cy="78480"/>
        </a:xfrm>
      </xdr:grpSpPr>
      <xdr:cxnSp>
        <xdr:nvCxnSpPr>
          <xdr:cNvPr id="696" name="Shape 387"/>
          <xdr:cNvCxnSpPr/>
        </xdr:nvCxnSpPr>
        <xdr:spPr>
          <a:xfrm>
            <a:off x="5979240" y="4467240"/>
            <a:ext cx="2880" cy="7884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1059480</xdr:colOff>
      <xdr:row>27</xdr:row>
      <xdr:rowOff>2160</xdr:rowOff>
    </xdr:to>
    <xdr:grpSp>
      <xdr:nvGrpSpPr>
        <xdr:cNvPr id="697" name="Shape 2"/>
        <xdr:cNvGrpSpPr/>
      </xdr:nvGrpSpPr>
      <xdr:grpSpPr>
        <a:xfrm>
          <a:off x="2309040" y="4885920"/>
          <a:ext cx="2520" cy="183600"/>
          <a:chOff x="2309040" y="4885920"/>
          <a:chExt cx="2520" cy="183600"/>
        </a:xfrm>
      </xdr:grpSpPr>
      <xdr:cxnSp>
        <xdr:nvCxnSpPr>
          <xdr:cNvPr id="698" name="Shape 388"/>
          <xdr:cNvCxnSpPr/>
        </xdr:nvCxnSpPr>
        <xdr:spPr>
          <a:xfrm flipV="1">
            <a:off x="2309040" y="4885920"/>
            <a:ext cx="2880" cy="18396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1126440</xdr:colOff>
      <xdr:row>27</xdr:row>
      <xdr:rowOff>2160</xdr:rowOff>
    </xdr:to>
    <xdr:grpSp>
      <xdr:nvGrpSpPr>
        <xdr:cNvPr id="699" name="Shape 2"/>
        <xdr:cNvGrpSpPr/>
      </xdr:nvGrpSpPr>
      <xdr:grpSpPr>
        <a:xfrm>
          <a:off x="6455520" y="4885920"/>
          <a:ext cx="2520" cy="183600"/>
          <a:chOff x="6455520" y="4885920"/>
          <a:chExt cx="2520" cy="183600"/>
        </a:xfrm>
      </xdr:grpSpPr>
      <xdr:cxnSp>
        <xdr:nvCxnSpPr>
          <xdr:cNvPr id="700" name="Shape 389"/>
          <xdr:cNvCxnSpPr/>
        </xdr:nvCxnSpPr>
        <xdr:spPr>
          <a:xfrm>
            <a:off x="6455520" y="4885920"/>
            <a:ext cx="2880" cy="18396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5</xdr:col>
      <xdr:colOff>389160</xdr:colOff>
      <xdr:row>87</xdr:row>
      <xdr:rowOff>73440</xdr:rowOff>
    </xdr:to>
    <xdr:sp>
      <xdr:nvSpPr>
        <xdr:cNvPr id="701" name="Shape 390"/>
        <xdr:cNvSpPr/>
      </xdr:nvSpPr>
      <xdr:spPr>
        <a:xfrm>
          <a:off x="1299600" y="10725120"/>
          <a:ext cx="5883480" cy="445500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1663920</xdr:colOff>
      <xdr:row>92</xdr:row>
      <xdr:rowOff>44640</xdr:rowOff>
    </xdr:to>
    <xdr:sp>
      <xdr:nvSpPr>
        <xdr:cNvPr id="702" name="Shape 261"/>
        <xdr:cNvSpPr/>
      </xdr:nvSpPr>
      <xdr:spPr>
        <a:xfrm>
          <a:off x="4295880" y="15716160"/>
          <a:ext cx="82800" cy="19728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1797480</xdr:colOff>
      <xdr:row>90</xdr:row>
      <xdr:rowOff>25560</xdr:rowOff>
    </xdr:to>
    <xdr:sp>
      <xdr:nvSpPr>
        <xdr:cNvPr id="703" name="Shape 391"/>
        <xdr:cNvSpPr/>
      </xdr:nvSpPr>
      <xdr:spPr>
        <a:xfrm>
          <a:off x="3876840" y="15335280"/>
          <a:ext cx="635400" cy="2541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1183320</xdr:colOff>
      <xdr:row>46</xdr:row>
      <xdr:rowOff>59400</xdr:rowOff>
    </xdr:to>
    <xdr:grpSp>
      <xdr:nvGrpSpPr>
        <xdr:cNvPr id="704" name="Shape 2"/>
        <xdr:cNvGrpSpPr/>
      </xdr:nvGrpSpPr>
      <xdr:grpSpPr>
        <a:xfrm>
          <a:off x="4591080" y="7219800"/>
          <a:ext cx="1183320" cy="2520"/>
          <a:chOff x="4591080" y="7219800"/>
          <a:chExt cx="1183320" cy="2520"/>
        </a:xfrm>
      </xdr:grpSpPr>
      <xdr:cxnSp>
        <xdr:nvCxnSpPr>
          <xdr:cNvPr id="705" name="Shape 392"/>
          <xdr:cNvCxnSpPr/>
        </xdr:nvCxnSpPr>
        <xdr:spPr>
          <a:xfrm flipH="1">
            <a:off x="4591080" y="7219800"/>
            <a:ext cx="1183680" cy="288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1035360</xdr:colOff>
      <xdr:row>1</xdr:row>
      <xdr:rowOff>178200</xdr:rowOff>
    </xdr:to>
    <xdr:sp>
      <xdr:nvSpPr>
        <xdr:cNvPr id="706" name="Shape 393"/>
        <xdr:cNvSpPr/>
      </xdr:nvSpPr>
      <xdr:spPr>
        <a:xfrm>
          <a:off x="3762360" y="209520"/>
          <a:ext cx="92520" cy="17820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659160</xdr:colOff>
      <xdr:row>15</xdr:row>
      <xdr:rowOff>6840</xdr:rowOff>
    </xdr:to>
    <xdr:sp>
      <xdr:nvSpPr>
        <xdr:cNvPr id="707" name="Shape 394"/>
        <xdr:cNvSpPr/>
      </xdr:nvSpPr>
      <xdr:spPr>
        <a:xfrm>
          <a:off x="1533960" y="1819440"/>
          <a:ext cx="1302120" cy="6447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554760</xdr:colOff>
      <xdr:row>21</xdr:row>
      <xdr:rowOff>16200</xdr:rowOff>
    </xdr:to>
    <xdr:sp>
      <xdr:nvSpPr>
        <xdr:cNvPr id="708" name="Shape 395"/>
        <xdr:cNvSpPr/>
      </xdr:nvSpPr>
      <xdr:spPr>
        <a:xfrm>
          <a:off x="1515240" y="2762280"/>
          <a:ext cx="1216440" cy="6256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564120</xdr:colOff>
      <xdr:row>27</xdr:row>
      <xdr:rowOff>16200</xdr:rowOff>
    </xdr:to>
    <xdr:sp>
      <xdr:nvSpPr>
        <xdr:cNvPr id="709" name="Shape 396"/>
        <xdr:cNvSpPr/>
      </xdr:nvSpPr>
      <xdr:spPr>
        <a:xfrm>
          <a:off x="1524600" y="3676680"/>
          <a:ext cx="1216440" cy="6256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335520</xdr:colOff>
      <xdr:row>39</xdr:row>
      <xdr:rowOff>130320</xdr:rowOff>
    </xdr:to>
    <xdr:sp>
      <xdr:nvSpPr>
        <xdr:cNvPr id="710" name="Shape 397"/>
        <xdr:cNvSpPr/>
      </xdr:nvSpPr>
      <xdr:spPr>
        <a:xfrm>
          <a:off x="1753200" y="5657760"/>
          <a:ext cx="759240" cy="58752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430560</xdr:colOff>
      <xdr:row>46</xdr:row>
      <xdr:rowOff>140040</xdr:rowOff>
    </xdr:to>
    <xdr:sp>
      <xdr:nvSpPr>
        <xdr:cNvPr id="711" name="Shape 398"/>
        <xdr:cNvSpPr/>
      </xdr:nvSpPr>
      <xdr:spPr>
        <a:xfrm>
          <a:off x="1629360" y="6562800"/>
          <a:ext cx="978120" cy="75924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545040</xdr:colOff>
      <xdr:row>33</xdr:row>
      <xdr:rowOff>16200</xdr:rowOff>
    </xdr:to>
    <xdr:sp>
      <xdr:nvSpPr>
        <xdr:cNvPr id="712" name="Shape 399"/>
        <xdr:cNvSpPr/>
      </xdr:nvSpPr>
      <xdr:spPr>
        <a:xfrm>
          <a:off x="1515240" y="4591080"/>
          <a:ext cx="1206720" cy="6256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668880</xdr:colOff>
      <xdr:row>54</xdr:row>
      <xdr:rowOff>6840</xdr:rowOff>
    </xdr:to>
    <xdr:sp>
      <xdr:nvSpPr>
        <xdr:cNvPr id="713" name="Shape 400"/>
        <xdr:cNvSpPr/>
      </xdr:nvSpPr>
      <xdr:spPr>
        <a:xfrm>
          <a:off x="1515240" y="7915320"/>
          <a:ext cx="1330560" cy="492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585720</xdr:colOff>
      <xdr:row>59</xdr:row>
      <xdr:rowOff>16200</xdr:rowOff>
    </xdr:to>
    <xdr:sp>
      <xdr:nvSpPr>
        <xdr:cNvPr id="714" name="Shape 401"/>
        <xdr:cNvSpPr/>
      </xdr:nvSpPr>
      <xdr:spPr>
        <a:xfrm>
          <a:off x="1432080" y="8696520"/>
          <a:ext cx="1330560" cy="482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345240</xdr:colOff>
      <xdr:row>65</xdr:row>
      <xdr:rowOff>15840</xdr:rowOff>
    </xdr:to>
    <xdr:sp>
      <xdr:nvSpPr>
        <xdr:cNvPr id="715" name="Shape 402"/>
        <xdr:cNvSpPr/>
      </xdr:nvSpPr>
      <xdr:spPr>
        <a:xfrm>
          <a:off x="1724760" y="9401040"/>
          <a:ext cx="797400" cy="69228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621360</xdr:colOff>
      <xdr:row>65</xdr:row>
      <xdr:rowOff>11880</xdr:rowOff>
    </xdr:to>
    <xdr:grpSp>
      <xdr:nvGrpSpPr>
        <xdr:cNvPr id="716" name="Shape 2"/>
        <xdr:cNvGrpSpPr/>
      </xdr:nvGrpSpPr>
      <xdr:grpSpPr>
        <a:xfrm>
          <a:off x="2105280" y="9172080"/>
          <a:ext cx="40680" cy="917280"/>
          <a:chOff x="2105280" y="9172080"/>
          <a:chExt cx="40680" cy="917280"/>
        </a:xfrm>
      </xdr:grpSpPr>
      <xdr:cxnSp>
        <xdr:nvCxnSpPr>
          <xdr:cNvPr id="717" name="Shape 403"/>
          <xdr:cNvCxnSpPr/>
        </xdr:nvCxnSpPr>
        <xdr:spPr>
          <a:xfrm flipH="1" flipV="1">
            <a:off x="2105280" y="9172080"/>
            <a:ext cx="41040" cy="91764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635760</xdr:colOff>
      <xdr:row>11</xdr:row>
      <xdr:rowOff>2160</xdr:rowOff>
    </xdr:to>
    <xdr:grpSp>
      <xdr:nvGrpSpPr>
        <xdr:cNvPr id="718" name="Shape 2"/>
        <xdr:cNvGrpSpPr/>
      </xdr:nvGrpSpPr>
      <xdr:grpSpPr>
        <a:xfrm>
          <a:off x="2157840" y="1657080"/>
          <a:ext cx="2520" cy="173880"/>
          <a:chOff x="2157840" y="1657080"/>
          <a:chExt cx="2520" cy="173880"/>
        </a:xfrm>
      </xdr:grpSpPr>
      <xdr:cxnSp>
        <xdr:nvCxnSpPr>
          <xdr:cNvPr id="719" name="Shape 404"/>
          <xdr:cNvCxnSpPr/>
        </xdr:nvCxnSpPr>
        <xdr:spPr>
          <a:xfrm flipV="1">
            <a:off x="2157840" y="1657080"/>
            <a:ext cx="2880" cy="17424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635760</xdr:colOff>
      <xdr:row>17</xdr:row>
      <xdr:rowOff>2520</xdr:rowOff>
    </xdr:to>
    <xdr:grpSp>
      <xdr:nvGrpSpPr>
        <xdr:cNvPr id="720" name="Shape 2"/>
        <xdr:cNvGrpSpPr/>
      </xdr:nvGrpSpPr>
      <xdr:grpSpPr>
        <a:xfrm>
          <a:off x="2157840" y="2438280"/>
          <a:ext cx="2520" cy="326520"/>
          <a:chOff x="2157840" y="2438280"/>
          <a:chExt cx="2520" cy="326520"/>
        </a:xfrm>
      </xdr:grpSpPr>
      <xdr:cxnSp>
        <xdr:nvCxnSpPr>
          <xdr:cNvPr id="721" name="Shape 405"/>
          <xdr:cNvCxnSpPr/>
        </xdr:nvCxnSpPr>
        <xdr:spPr>
          <a:xfrm>
            <a:off x="2157840" y="2438280"/>
            <a:ext cx="2880" cy="32688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635760</xdr:colOff>
      <xdr:row>36</xdr:row>
      <xdr:rowOff>11880</xdr:rowOff>
    </xdr:to>
    <xdr:grpSp>
      <xdr:nvGrpSpPr>
        <xdr:cNvPr id="722" name="Shape 2"/>
        <xdr:cNvGrpSpPr/>
      </xdr:nvGrpSpPr>
      <xdr:grpSpPr>
        <a:xfrm>
          <a:off x="2157840" y="5209920"/>
          <a:ext cx="2520" cy="459720"/>
          <a:chOff x="2157840" y="5209920"/>
          <a:chExt cx="2520" cy="459720"/>
        </a:xfrm>
      </xdr:grpSpPr>
      <xdr:cxnSp>
        <xdr:nvCxnSpPr>
          <xdr:cNvPr id="723" name="Shape 406"/>
          <xdr:cNvCxnSpPr/>
        </xdr:nvCxnSpPr>
        <xdr:spPr>
          <a:xfrm>
            <a:off x="2157840" y="5209920"/>
            <a:ext cx="2880" cy="46008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645120</xdr:colOff>
      <xdr:row>29</xdr:row>
      <xdr:rowOff>2160</xdr:rowOff>
    </xdr:to>
    <xdr:grpSp>
      <xdr:nvGrpSpPr>
        <xdr:cNvPr id="724" name="Shape 2"/>
        <xdr:cNvGrpSpPr/>
      </xdr:nvGrpSpPr>
      <xdr:grpSpPr>
        <a:xfrm>
          <a:off x="2167200" y="4295520"/>
          <a:ext cx="2520" cy="297720"/>
          <a:chOff x="2167200" y="4295520"/>
          <a:chExt cx="2520" cy="297720"/>
        </a:xfrm>
      </xdr:grpSpPr>
      <xdr:cxnSp>
        <xdr:nvCxnSpPr>
          <xdr:cNvPr id="725" name="Shape 407"/>
          <xdr:cNvCxnSpPr/>
        </xdr:nvCxnSpPr>
        <xdr:spPr>
          <a:xfrm>
            <a:off x="2167200" y="4295520"/>
            <a:ext cx="2880" cy="29808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635760</xdr:colOff>
      <xdr:row>23</xdr:row>
      <xdr:rowOff>21240</xdr:rowOff>
    </xdr:to>
    <xdr:grpSp>
      <xdr:nvGrpSpPr>
        <xdr:cNvPr id="726" name="Shape 2"/>
        <xdr:cNvGrpSpPr/>
      </xdr:nvGrpSpPr>
      <xdr:grpSpPr>
        <a:xfrm>
          <a:off x="2157840" y="3381120"/>
          <a:ext cx="2520" cy="316800"/>
          <a:chOff x="2157840" y="3381120"/>
          <a:chExt cx="2520" cy="316800"/>
        </a:xfrm>
      </xdr:grpSpPr>
      <xdr:cxnSp>
        <xdr:nvCxnSpPr>
          <xdr:cNvPr id="727" name="Shape 408"/>
          <xdr:cNvCxnSpPr/>
        </xdr:nvCxnSpPr>
        <xdr:spPr>
          <a:xfrm>
            <a:off x="2157840" y="3381120"/>
            <a:ext cx="2880" cy="31716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573840</xdr:colOff>
      <xdr:row>42</xdr:row>
      <xdr:rowOff>2520</xdr:rowOff>
    </xdr:to>
    <xdr:grpSp>
      <xdr:nvGrpSpPr>
        <xdr:cNvPr id="728" name="Shape 2"/>
        <xdr:cNvGrpSpPr/>
      </xdr:nvGrpSpPr>
      <xdr:grpSpPr>
        <a:xfrm>
          <a:off x="2095920" y="6238440"/>
          <a:ext cx="2520" cy="336240"/>
          <a:chOff x="2095920" y="6238440"/>
          <a:chExt cx="2520" cy="336240"/>
        </a:xfrm>
      </xdr:grpSpPr>
      <xdr:cxnSp>
        <xdr:nvCxnSpPr>
          <xdr:cNvPr id="729" name="Shape 409"/>
          <xdr:cNvCxnSpPr/>
        </xdr:nvCxnSpPr>
        <xdr:spPr>
          <a:xfrm>
            <a:off x="2095920" y="6238440"/>
            <a:ext cx="2880" cy="33660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635760</xdr:colOff>
      <xdr:row>50</xdr:row>
      <xdr:rowOff>135720</xdr:rowOff>
    </xdr:to>
    <xdr:grpSp>
      <xdr:nvGrpSpPr>
        <xdr:cNvPr id="730" name="Shape 2"/>
        <xdr:cNvGrpSpPr/>
      </xdr:nvGrpSpPr>
      <xdr:grpSpPr>
        <a:xfrm>
          <a:off x="2157840" y="7315200"/>
          <a:ext cx="2520" cy="612000"/>
          <a:chOff x="2157840" y="7315200"/>
          <a:chExt cx="2520" cy="612000"/>
        </a:xfrm>
      </xdr:grpSpPr>
      <xdr:cxnSp>
        <xdr:nvCxnSpPr>
          <xdr:cNvPr id="731" name="Shape 410"/>
          <xdr:cNvCxnSpPr/>
        </xdr:nvCxnSpPr>
        <xdr:spPr>
          <a:xfrm>
            <a:off x="2157840" y="7315200"/>
            <a:ext cx="2880" cy="61236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635760</xdr:colOff>
      <xdr:row>55</xdr:row>
      <xdr:rowOff>135360</xdr:rowOff>
    </xdr:to>
    <xdr:grpSp>
      <xdr:nvGrpSpPr>
        <xdr:cNvPr id="732" name="Shape 2"/>
        <xdr:cNvGrpSpPr/>
      </xdr:nvGrpSpPr>
      <xdr:grpSpPr>
        <a:xfrm>
          <a:off x="2157840" y="8410320"/>
          <a:ext cx="2520" cy="278640"/>
          <a:chOff x="2157840" y="8410320"/>
          <a:chExt cx="2520" cy="278640"/>
        </a:xfrm>
      </xdr:grpSpPr>
      <xdr:cxnSp>
        <xdr:nvCxnSpPr>
          <xdr:cNvPr id="733" name="Shape 411"/>
          <xdr:cNvCxnSpPr/>
        </xdr:nvCxnSpPr>
        <xdr:spPr>
          <a:xfrm>
            <a:off x="2157840" y="8410320"/>
            <a:ext cx="2880" cy="279000"/>
          </a:xfrm>
          <a:prstGeom prst="straightConnector1">
            <a:avLst/>
          </a:prstGeom>
          <a:ln w="19050">
            <a:solidFill>
              <a:srgbClr val="000000"/>
            </a:solidFill>
            <a:miter/>
          </a:ln>
        </xdr:spPr>
      </xdr:cxnSp>
    </xdr:grpSp>
    <xdr:clientData/>
  </xdr:twoCellAnchor>
  <xdr:twoCellAnchor editAs="oneCell">
    <xdr:from>
      <xdr:col>2</xdr:col>
      <xdr:colOff>212400</xdr:colOff>
      <xdr:row>75</xdr:row>
      <xdr:rowOff>126720</xdr:rowOff>
    </xdr:from>
    <xdr:to>
      <xdr:col>3</xdr:col>
      <xdr:colOff>357480</xdr:colOff>
      <xdr:row>80</xdr:row>
      <xdr:rowOff>56880</xdr:rowOff>
    </xdr:to>
    <xdr:sp>
      <xdr:nvSpPr>
        <xdr:cNvPr id="734" name="Shape 412"/>
        <xdr:cNvSpPr/>
      </xdr:nvSpPr>
      <xdr:spPr>
        <a:xfrm rot="10800000">
          <a:off x="1737000" y="11728080"/>
          <a:ext cx="797400" cy="69228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635760</xdr:colOff>
      <xdr:row>85</xdr:row>
      <xdr:rowOff>11520</xdr:rowOff>
    </xdr:to>
    <xdr:grpSp>
      <xdr:nvGrpSpPr>
        <xdr:cNvPr id="735" name="Shape 2"/>
        <xdr:cNvGrpSpPr/>
      </xdr:nvGrpSpPr>
      <xdr:grpSpPr>
        <a:xfrm>
          <a:off x="2157840" y="11734560"/>
          <a:ext cx="2520" cy="1402560"/>
          <a:chOff x="2157840" y="11734560"/>
          <a:chExt cx="2520" cy="1402560"/>
        </a:xfrm>
      </xdr:grpSpPr>
      <xdr:cxnSp>
        <xdr:nvCxnSpPr>
          <xdr:cNvPr id="736" name="Shape 413"/>
          <xdr:cNvCxnSpPr/>
        </xdr:nvCxnSpPr>
        <xdr:spPr>
          <a:xfrm>
            <a:off x="2157840" y="11734560"/>
            <a:ext cx="2880" cy="140292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668880</xdr:colOff>
      <xdr:row>88</xdr:row>
      <xdr:rowOff>16200</xdr:rowOff>
    </xdr:to>
    <xdr:sp>
      <xdr:nvSpPr>
        <xdr:cNvPr id="737" name="Shape 414"/>
        <xdr:cNvSpPr/>
      </xdr:nvSpPr>
      <xdr:spPr>
        <a:xfrm>
          <a:off x="1515240" y="13125600"/>
          <a:ext cx="1330560" cy="473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678240</xdr:colOff>
      <xdr:row>93</xdr:row>
      <xdr:rowOff>25560</xdr:rowOff>
    </xdr:to>
    <xdr:sp>
      <xdr:nvSpPr>
        <xdr:cNvPr id="738" name="Shape 415"/>
        <xdr:cNvSpPr/>
      </xdr:nvSpPr>
      <xdr:spPr>
        <a:xfrm>
          <a:off x="1524600" y="13887360"/>
          <a:ext cx="1330560" cy="482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635760</xdr:colOff>
      <xdr:row>90</xdr:row>
      <xdr:rowOff>12240</xdr:rowOff>
    </xdr:to>
    <xdr:grpSp>
      <xdr:nvGrpSpPr>
        <xdr:cNvPr id="739" name="Shape 2"/>
        <xdr:cNvGrpSpPr/>
      </xdr:nvGrpSpPr>
      <xdr:grpSpPr>
        <a:xfrm>
          <a:off x="2157840" y="13601520"/>
          <a:ext cx="2520" cy="298080"/>
          <a:chOff x="2157840" y="13601520"/>
          <a:chExt cx="2520" cy="298080"/>
        </a:xfrm>
      </xdr:grpSpPr>
      <xdr:cxnSp>
        <xdr:nvCxnSpPr>
          <xdr:cNvPr id="740" name="Shape 407"/>
          <xdr:cNvCxnSpPr/>
        </xdr:nvCxnSpPr>
        <xdr:spPr>
          <a:xfrm>
            <a:off x="2157840" y="13601520"/>
            <a:ext cx="2880" cy="29844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459000</xdr:colOff>
      <xdr:row>99</xdr:row>
      <xdr:rowOff>140400</xdr:rowOff>
    </xdr:to>
    <xdr:sp>
      <xdr:nvSpPr>
        <xdr:cNvPr id="741" name="Shape 416"/>
        <xdr:cNvSpPr/>
      </xdr:nvSpPr>
      <xdr:spPr>
        <a:xfrm>
          <a:off x="1657800" y="14621040"/>
          <a:ext cx="978120" cy="77832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528840</xdr:colOff>
      <xdr:row>105</xdr:row>
      <xdr:rowOff>16200</xdr:rowOff>
    </xdr:to>
    <xdr:sp>
      <xdr:nvSpPr>
        <xdr:cNvPr id="742" name="Shape 417"/>
        <xdr:cNvSpPr/>
      </xdr:nvSpPr>
      <xdr:spPr>
        <a:xfrm>
          <a:off x="1451160" y="15706800"/>
          <a:ext cx="1254600" cy="482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621360</xdr:colOff>
      <xdr:row>94</xdr:row>
      <xdr:rowOff>135360</xdr:rowOff>
    </xdr:to>
    <xdr:grpSp>
      <xdr:nvGrpSpPr>
        <xdr:cNvPr id="743" name="Shape 2"/>
        <xdr:cNvGrpSpPr/>
      </xdr:nvGrpSpPr>
      <xdr:grpSpPr>
        <a:xfrm>
          <a:off x="2105280" y="14353920"/>
          <a:ext cx="40680" cy="278640"/>
          <a:chOff x="2105280" y="14353920"/>
          <a:chExt cx="40680" cy="278640"/>
        </a:xfrm>
      </xdr:grpSpPr>
      <xdr:cxnSp>
        <xdr:nvCxnSpPr>
          <xdr:cNvPr id="744" name="Shape 418"/>
          <xdr:cNvCxnSpPr/>
        </xdr:nvCxnSpPr>
        <xdr:spPr>
          <a:xfrm>
            <a:off x="2105280" y="14353920"/>
            <a:ext cx="41040" cy="27900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635760</xdr:colOff>
      <xdr:row>101</xdr:row>
      <xdr:rowOff>135720</xdr:rowOff>
    </xdr:to>
    <xdr:grpSp>
      <xdr:nvGrpSpPr>
        <xdr:cNvPr id="745" name="Shape 2"/>
        <xdr:cNvGrpSpPr/>
      </xdr:nvGrpSpPr>
      <xdr:grpSpPr>
        <a:xfrm>
          <a:off x="2157840" y="15420960"/>
          <a:ext cx="2520" cy="278640"/>
          <a:chOff x="2157840" y="15420960"/>
          <a:chExt cx="2520" cy="278640"/>
        </a:xfrm>
      </xdr:grpSpPr>
      <xdr:cxnSp>
        <xdr:nvCxnSpPr>
          <xdr:cNvPr id="746" name="Shape 411"/>
          <xdr:cNvCxnSpPr/>
        </xdr:nvCxnSpPr>
        <xdr:spPr>
          <a:xfrm>
            <a:off x="2157840" y="15420960"/>
            <a:ext cx="2880" cy="27900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573840</xdr:colOff>
      <xdr:row>108</xdr:row>
      <xdr:rowOff>11520</xdr:rowOff>
    </xdr:to>
    <xdr:grpSp>
      <xdr:nvGrpSpPr>
        <xdr:cNvPr id="747" name="Shape 2"/>
        <xdr:cNvGrpSpPr/>
      </xdr:nvGrpSpPr>
      <xdr:grpSpPr>
        <a:xfrm>
          <a:off x="2095920" y="16182720"/>
          <a:ext cx="2520" cy="488160"/>
          <a:chOff x="2095920" y="16182720"/>
          <a:chExt cx="2520" cy="488160"/>
        </a:xfrm>
      </xdr:grpSpPr>
      <xdr:cxnSp>
        <xdr:nvCxnSpPr>
          <xdr:cNvPr id="748" name="Shape 419"/>
          <xdr:cNvCxnSpPr/>
        </xdr:nvCxnSpPr>
        <xdr:spPr>
          <a:xfrm flipV="1">
            <a:off x="2095920" y="16182720"/>
            <a:ext cx="2880" cy="48852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11520</xdr:colOff>
      <xdr:row>75</xdr:row>
      <xdr:rowOff>73440</xdr:rowOff>
    </xdr:to>
    <xdr:sp>
      <xdr:nvSpPr>
        <xdr:cNvPr id="749" name="Shape 420"/>
        <xdr:cNvSpPr/>
      </xdr:nvSpPr>
      <xdr:spPr>
        <a:xfrm>
          <a:off x="2067480" y="10144080"/>
          <a:ext cx="120960" cy="153072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145080</xdr:colOff>
      <xdr:row>71</xdr:row>
      <xdr:rowOff>25560</xdr:rowOff>
    </xdr:to>
    <xdr:sp>
      <xdr:nvSpPr>
        <xdr:cNvPr id="750" name="Shape 421"/>
        <xdr:cNvSpPr/>
      </xdr:nvSpPr>
      <xdr:spPr>
        <a:xfrm>
          <a:off x="1915200" y="10868040"/>
          <a:ext cx="406800" cy="14940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406800</xdr:colOff>
      <xdr:row>70</xdr:row>
      <xdr:rowOff>149400</xdr:rowOff>
    </xdr:to>
    <xdr:sp>
      <xdr:nvSpPr>
        <xdr:cNvPr id="751" name="Shape 422"/>
        <xdr:cNvSpPr/>
      </xdr:nvSpPr>
      <xdr:spPr>
        <a:xfrm>
          <a:off x="1848600" y="10848960"/>
          <a:ext cx="82800" cy="14004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235080</xdr:colOff>
      <xdr:row>71</xdr:row>
      <xdr:rowOff>25920</xdr:rowOff>
    </xdr:to>
    <xdr:sp>
      <xdr:nvSpPr>
        <xdr:cNvPr id="752" name="Shape 422"/>
        <xdr:cNvSpPr/>
      </xdr:nvSpPr>
      <xdr:spPr>
        <a:xfrm>
          <a:off x="2329200" y="10877760"/>
          <a:ext cx="82800" cy="14004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230760</xdr:colOff>
      <xdr:row>39</xdr:row>
      <xdr:rowOff>73440</xdr:rowOff>
    </xdr:to>
    <xdr:sp>
      <xdr:nvSpPr>
        <xdr:cNvPr id="753" name="Shape 423"/>
        <xdr:cNvSpPr/>
      </xdr:nvSpPr>
      <xdr:spPr>
        <a:xfrm>
          <a:off x="1877040" y="5857920"/>
          <a:ext cx="530640" cy="330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240120</xdr:colOff>
      <xdr:row>26</xdr:row>
      <xdr:rowOff>73080</xdr:rowOff>
    </xdr:to>
    <xdr:sp>
      <xdr:nvSpPr>
        <xdr:cNvPr id="754" name="Shape 424"/>
        <xdr:cNvSpPr/>
      </xdr:nvSpPr>
      <xdr:spPr>
        <a:xfrm>
          <a:off x="1838880" y="3724200"/>
          <a:ext cx="578160" cy="4827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440280</xdr:colOff>
      <xdr:row>19</xdr:row>
      <xdr:rowOff>73080</xdr:rowOff>
    </xdr:to>
    <xdr:sp>
      <xdr:nvSpPr>
        <xdr:cNvPr id="755" name="Shape 425"/>
        <xdr:cNvSpPr/>
      </xdr:nvSpPr>
      <xdr:spPr>
        <a:xfrm>
          <a:off x="1610280" y="2962080"/>
          <a:ext cx="1006920" cy="178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478440</xdr:colOff>
      <xdr:row>13</xdr:row>
      <xdr:rowOff>15840</xdr:rowOff>
    </xdr:to>
    <xdr:sp>
      <xdr:nvSpPr>
        <xdr:cNvPr id="756" name="Shape 426"/>
        <xdr:cNvSpPr/>
      </xdr:nvSpPr>
      <xdr:spPr>
        <a:xfrm>
          <a:off x="1667520" y="2000160"/>
          <a:ext cx="98784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89280</xdr:colOff>
      <xdr:row>65</xdr:row>
      <xdr:rowOff>25560</xdr:rowOff>
    </xdr:to>
    <xdr:sp>
      <xdr:nvSpPr>
        <xdr:cNvPr id="757" name="Shape 427"/>
        <xdr:cNvSpPr/>
      </xdr:nvSpPr>
      <xdr:spPr>
        <a:xfrm>
          <a:off x="476280" y="1828800"/>
          <a:ext cx="511560" cy="82742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244440</xdr:colOff>
      <xdr:row>105</xdr:row>
      <xdr:rowOff>16200</xdr:rowOff>
    </xdr:to>
    <xdr:sp>
      <xdr:nvSpPr>
        <xdr:cNvPr id="758" name="Shape 428"/>
        <xdr:cNvSpPr/>
      </xdr:nvSpPr>
      <xdr:spPr>
        <a:xfrm>
          <a:off x="907920" y="13134960"/>
          <a:ext cx="235080" cy="30546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311400</xdr:colOff>
      <xdr:row>38</xdr:row>
      <xdr:rowOff>130680</xdr:rowOff>
    </xdr:to>
    <xdr:sp>
      <xdr:nvSpPr>
        <xdr:cNvPr id="759" name="Shape 429"/>
        <xdr:cNvSpPr/>
      </xdr:nvSpPr>
      <xdr:spPr>
        <a:xfrm>
          <a:off x="104760" y="5924880"/>
          <a:ext cx="20664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425880</xdr:colOff>
      <xdr:row>96</xdr:row>
      <xdr:rowOff>25920</xdr:rowOff>
    </xdr:to>
    <xdr:sp>
      <xdr:nvSpPr>
        <xdr:cNvPr id="760" name="Shape 430"/>
        <xdr:cNvSpPr/>
      </xdr:nvSpPr>
      <xdr:spPr>
        <a:xfrm>
          <a:off x="0" y="14497200"/>
          <a:ext cx="42588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650160</xdr:colOff>
      <xdr:row>4</xdr:row>
      <xdr:rowOff>50040</xdr:rowOff>
    </xdr:to>
    <xdr:grpSp>
      <xdr:nvGrpSpPr>
        <xdr:cNvPr id="761" name="Shape 2"/>
        <xdr:cNvGrpSpPr/>
      </xdr:nvGrpSpPr>
      <xdr:grpSpPr>
        <a:xfrm>
          <a:off x="2176920" y="780840"/>
          <a:ext cx="650160" cy="2520"/>
          <a:chOff x="2176920" y="780840"/>
          <a:chExt cx="650160" cy="2520"/>
        </a:xfrm>
      </xdr:grpSpPr>
      <xdr:cxnSp>
        <xdr:nvCxnSpPr>
          <xdr:cNvPr id="762" name="Shape 431"/>
          <xdr:cNvCxnSpPr/>
        </xdr:nvCxnSpPr>
        <xdr:spPr>
          <a:xfrm>
            <a:off x="2176920" y="780840"/>
            <a:ext cx="650520" cy="288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659520</xdr:colOff>
      <xdr:row>6</xdr:row>
      <xdr:rowOff>69120</xdr:rowOff>
    </xdr:to>
    <xdr:grpSp>
      <xdr:nvGrpSpPr>
        <xdr:cNvPr id="763" name="Shape 2"/>
        <xdr:cNvGrpSpPr/>
      </xdr:nvGrpSpPr>
      <xdr:grpSpPr>
        <a:xfrm>
          <a:off x="2186280" y="1123920"/>
          <a:ext cx="650160" cy="2520"/>
          <a:chOff x="2186280" y="1123920"/>
          <a:chExt cx="650160" cy="2520"/>
        </a:xfrm>
      </xdr:grpSpPr>
      <xdr:cxnSp>
        <xdr:nvCxnSpPr>
          <xdr:cNvPr id="764" name="Shape 431"/>
          <xdr:cNvCxnSpPr/>
        </xdr:nvCxnSpPr>
        <xdr:spPr>
          <a:xfrm>
            <a:off x="2186280" y="1123920"/>
            <a:ext cx="650520" cy="288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740160</xdr:colOff>
      <xdr:row>72</xdr:row>
      <xdr:rowOff>35280</xdr:rowOff>
    </xdr:to>
    <xdr:sp>
      <xdr:nvSpPr>
        <xdr:cNvPr id="765" name="Shape 432"/>
        <xdr:cNvSpPr/>
      </xdr:nvSpPr>
      <xdr:spPr>
        <a:xfrm>
          <a:off x="343080" y="10848960"/>
          <a:ext cx="397080" cy="330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627840</xdr:colOff>
      <xdr:row>9</xdr:row>
      <xdr:rowOff>6480</xdr:rowOff>
    </xdr:to>
    <xdr:sp>
      <xdr:nvSpPr>
        <xdr:cNvPr id="766" name="Shape 433"/>
        <xdr:cNvSpPr/>
      </xdr:nvSpPr>
      <xdr:spPr>
        <a:xfrm>
          <a:off x="6397920" y="1028520"/>
          <a:ext cx="1368720" cy="50184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212400</xdr:colOff>
      <xdr:row>11</xdr:row>
      <xdr:rowOff>2880</xdr:rowOff>
    </xdr:from>
    <xdr:to>
      <xdr:col>11</xdr:col>
      <xdr:colOff>439920</xdr:colOff>
      <xdr:row>16</xdr:row>
      <xdr:rowOff>19080</xdr:rowOff>
    </xdr:to>
    <xdr:sp>
      <xdr:nvSpPr>
        <xdr:cNvPr id="767" name="Shape 434"/>
        <xdr:cNvSpPr/>
      </xdr:nvSpPr>
      <xdr:spPr>
        <a:xfrm rot="10800000">
          <a:off x="6619680" y="1831680"/>
          <a:ext cx="959040" cy="79740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570600</xdr:colOff>
      <xdr:row>26</xdr:row>
      <xdr:rowOff>92520</xdr:rowOff>
    </xdr:to>
    <xdr:sp>
      <xdr:nvSpPr>
        <xdr:cNvPr id="768" name="Shape 435"/>
        <xdr:cNvSpPr/>
      </xdr:nvSpPr>
      <xdr:spPr>
        <a:xfrm>
          <a:off x="6407280" y="3667320"/>
          <a:ext cx="1302120" cy="5590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618120</xdr:colOff>
      <xdr:row>21</xdr:row>
      <xdr:rowOff>16200</xdr:rowOff>
    </xdr:to>
    <xdr:sp>
      <xdr:nvSpPr>
        <xdr:cNvPr id="769" name="Shape 436"/>
        <xdr:cNvSpPr/>
      </xdr:nvSpPr>
      <xdr:spPr>
        <a:xfrm>
          <a:off x="6416640" y="2914560"/>
          <a:ext cx="1340280" cy="473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714960</xdr:colOff>
      <xdr:row>23</xdr:row>
      <xdr:rowOff>11880</xdr:rowOff>
    </xdr:to>
    <xdr:grpSp>
      <xdr:nvGrpSpPr>
        <xdr:cNvPr id="770" name="Shape 2"/>
        <xdr:cNvGrpSpPr/>
      </xdr:nvGrpSpPr>
      <xdr:grpSpPr>
        <a:xfrm>
          <a:off x="7119720" y="3390480"/>
          <a:ext cx="2520" cy="298080"/>
          <a:chOff x="7119720" y="3390480"/>
          <a:chExt cx="2520" cy="298080"/>
        </a:xfrm>
      </xdr:grpSpPr>
      <xdr:cxnSp>
        <xdr:nvCxnSpPr>
          <xdr:cNvPr id="771" name="Shape 407"/>
          <xdr:cNvCxnSpPr/>
        </xdr:nvCxnSpPr>
        <xdr:spPr>
          <a:xfrm>
            <a:off x="7119720" y="3390480"/>
            <a:ext cx="2880" cy="29844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714960</xdr:colOff>
      <xdr:row>18</xdr:row>
      <xdr:rowOff>12240</xdr:rowOff>
    </xdr:to>
    <xdr:grpSp>
      <xdr:nvGrpSpPr>
        <xdr:cNvPr id="772" name="Shape 2"/>
        <xdr:cNvGrpSpPr/>
      </xdr:nvGrpSpPr>
      <xdr:grpSpPr>
        <a:xfrm>
          <a:off x="7119720" y="2628720"/>
          <a:ext cx="2520" cy="298080"/>
          <a:chOff x="7119720" y="2628720"/>
          <a:chExt cx="2520" cy="298080"/>
        </a:xfrm>
      </xdr:grpSpPr>
      <xdr:cxnSp>
        <xdr:nvCxnSpPr>
          <xdr:cNvPr id="773" name="Shape 407"/>
          <xdr:cNvCxnSpPr/>
        </xdr:nvCxnSpPr>
        <xdr:spPr>
          <a:xfrm>
            <a:off x="7119720" y="2628720"/>
            <a:ext cx="2880" cy="29844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714960</xdr:colOff>
      <xdr:row>11</xdr:row>
      <xdr:rowOff>2160</xdr:rowOff>
    </xdr:to>
    <xdr:grpSp>
      <xdr:nvGrpSpPr>
        <xdr:cNvPr id="774" name="Shape 2"/>
        <xdr:cNvGrpSpPr/>
      </xdr:nvGrpSpPr>
      <xdr:grpSpPr>
        <a:xfrm>
          <a:off x="7119720" y="1523880"/>
          <a:ext cx="2520" cy="307080"/>
          <a:chOff x="7119720" y="1523880"/>
          <a:chExt cx="2520" cy="307080"/>
        </a:xfrm>
      </xdr:grpSpPr>
      <xdr:cxnSp>
        <xdr:nvCxnSpPr>
          <xdr:cNvPr id="775" name="Shape 437"/>
          <xdr:cNvCxnSpPr/>
        </xdr:nvCxnSpPr>
        <xdr:spPr>
          <a:xfrm>
            <a:off x="7119720" y="1523880"/>
            <a:ext cx="2880" cy="30744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303840</xdr:colOff>
      <xdr:row>9</xdr:row>
      <xdr:rowOff>16200</xdr:rowOff>
    </xdr:to>
    <xdr:sp>
      <xdr:nvSpPr>
        <xdr:cNvPr id="776" name="Shape 438"/>
        <xdr:cNvSpPr/>
      </xdr:nvSpPr>
      <xdr:spPr>
        <a:xfrm>
          <a:off x="6435720" y="1057320"/>
          <a:ext cx="1006920" cy="4827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714960</xdr:colOff>
      <xdr:row>6</xdr:row>
      <xdr:rowOff>2160</xdr:rowOff>
    </xdr:to>
    <xdr:grpSp>
      <xdr:nvGrpSpPr>
        <xdr:cNvPr id="777" name="Shape 2"/>
        <xdr:cNvGrpSpPr/>
      </xdr:nvGrpSpPr>
      <xdr:grpSpPr>
        <a:xfrm>
          <a:off x="7119720" y="895320"/>
          <a:ext cx="2520" cy="164160"/>
          <a:chOff x="7119720" y="895320"/>
          <a:chExt cx="2520" cy="164160"/>
        </a:xfrm>
      </xdr:grpSpPr>
      <xdr:cxnSp>
        <xdr:nvCxnSpPr>
          <xdr:cNvPr id="778" name="Shape 439"/>
          <xdr:cNvCxnSpPr/>
        </xdr:nvCxnSpPr>
        <xdr:spPr>
          <a:xfrm>
            <a:off x="7119720" y="895320"/>
            <a:ext cx="2880" cy="16452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351360</xdr:colOff>
      <xdr:row>36</xdr:row>
      <xdr:rowOff>6840</xdr:rowOff>
    </xdr:to>
    <xdr:sp>
      <xdr:nvSpPr>
        <xdr:cNvPr id="779" name="Shape 440"/>
        <xdr:cNvSpPr/>
      </xdr:nvSpPr>
      <xdr:spPr>
        <a:xfrm>
          <a:off x="6702480" y="4981680"/>
          <a:ext cx="787680" cy="68292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714960</xdr:colOff>
      <xdr:row>36</xdr:row>
      <xdr:rowOff>2520</xdr:rowOff>
    </xdr:to>
    <xdr:grpSp>
      <xdr:nvGrpSpPr>
        <xdr:cNvPr id="780" name="Shape 2"/>
        <xdr:cNvGrpSpPr/>
      </xdr:nvGrpSpPr>
      <xdr:grpSpPr>
        <a:xfrm>
          <a:off x="7119720" y="4209840"/>
          <a:ext cx="2520" cy="1450440"/>
          <a:chOff x="7119720" y="4209840"/>
          <a:chExt cx="2520" cy="1450440"/>
        </a:xfrm>
      </xdr:grpSpPr>
      <xdr:cxnSp>
        <xdr:nvCxnSpPr>
          <xdr:cNvPr id="781" name="Shape 441"/>
          <xdr:cNvCxnSpPr/>
        </xdr:nvCxnSpPr>
        <xdr:spPr>
          <a:xfrm flipV="1">
            <a:off x="7119720" y="4209840"/>
            <a:ext cx="2880" cy="1450800"/>
          </a:xfrm>
          <a:prstGeom prst="straightConnector1">
            <a:avLst/>
          </a:prstGeom>
          <a:ln w="19050">
            <a:solidFill>
              <a:srgbClr val="000000"/>
            </a:solidFill>
            <a:miter/>
          </a:ln>
        </xdr:spPr>
      </xdr:cxnSp>
    </xdr:grpSp>
    <xdr:clientData/>
  </xdr:twoCellAnchor>
  <xdr:twoCellAnchor editAs="oneCell">
    <xdr:from>
      <xdr:col>10</xdr:col>
      <xdr:colOff>298080</xdr:colOff>
      <xdr:row>45</xdr:row>
      <xdr:rowOff>145800</xdr:rowOff>
    </xdr:from>
    <xdr:to>
      <xdr:col>11</xdr:col>
      <xdr:colOff>354240</xdr:colOff>
      <xdr:row>50</xdr:row>
      <xdr:rowOff>57240</xdr:rowOff>
    </xdr:to>
    <xdr:sp>
      <xdr:nvSpPr>
        <xdr:cNvPr id="782" name="Shape 442"/>
        <xdr:cNvSpPr/>
      </xdr:nvSpPr>
      <xdr:spPr>
        <a:xfrm rot="10800000">
          <a:off x="6705360" y="7175160"/>
          <a:ext cx="787680" cy="67356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714960</xdr:colOff>
      <xdr:row>55</xdr:row>
      <xdr:rowOff>21240</xdr:rowOff>
    </xdr:to>
    <xdr:grpSp>
      <xdr:nvGrpSpPr>
        <xdr:cNvPr id="783" name="Shape 2"/>
        <xdr:cNvGrpSpPr/>
      </xdr:nvGrpSpPr>
      <xdr:grpSpPr>
        <a:xfrm>
          <a:off x="7119720" y="7182000"/>
          <a:ext cx="2520" cy="1392840"/>
          <a:chOff x="7119720" y="7182000"/>
          <a:chExt cx="2520" cy="1392840"/>
        </a:xfrm>
      </xdr:grpSpPr>
      <xdr:cxnSp>
        <xdr:nvCxnSpPr>
          <xdr:cNvPr id="784" name="Shape 443"/>
          <xdr:cNvCxnSpPr/>
        </xdr:nvCxnSpPr>
        <xdr:spPr>
          <a:xfrm>
            <a:off x="7119720" y="7182000"/>
            <a:ext cx="2880" cy="139320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627840</xdr:colOff>
      <xdr:row>58</xdr:row>
      <xdr:rowOff>16200</xdr:rowOff>
    </xdr:to>
    <xdr:sp>
      <xdr:nvSpPr>
        <xdr:cNvPr id="785" name="Shape 444"/>
        <xdr:cNvSpPr/>
      </xdr:nvSpPr>
      <xdr:spPr>
        <a:xfrm>
          <a:off x="6407280" y="8544240"/>
          <a:ext cx="1359360" cy="482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570600</xdr:colOff>
      <xdr:row>63</xdr:row>
      <xdr:rowOff>16200</xdr:rowOff>
    </xdr:to>
    <xdr:sp>
      <xdr:nvSpPr>
        <xdr:cNvPr id="786" name="Shape 445"/>
        <xdr:cNvSpPr/>
      </xdr:nvSpPr>
      <xdr:spPr>
        <a:xfrm>
          <a:off x="6407280" y="9315360"/>
          <a:ext cx="1302120" cy="473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714960</xdr:colOff>
      <xdr:row>60</xdr:row>
      <xdr:rowOff>12240</xdr:rowOff>
    </xdr:to>
    <xdr:grpSp>
      <xdr:nvGrpSpPr>
        <xdr:cNvPr id="787" name="Shape 2"/>
        <xdr:cNvGrpSpPr/>
      </xdr:nvGrpSpPr>
      <xdr:grpSpPr>
        <a:xfrm>
          <a:off x="7119720" y="9020160"/>
          <a:ext cx="2520" cy="307440"/>
          <a:chOff x="7119720" y="9020160"/>
          <a:chExt cx="2520" cy="307440"/>
        </a:xfrm>
      </xdr:grpSpPr>
      <xdr:cxnSp>
        <xdr:nvCxnSpPr>
          <xdr:cNvPr id="788" name="Shape 437"/>
          <xdr:cNvCxnSpPr/>
        </xdr:nvCxnSpPr>
        <xdr:spPr>
          <a:xfrm>
            <a:off x="7119720" y="9020160"/>
            <a:ext cx="2880" cy="30780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714960</xdr:colOff>
      <xdr:row>66</xdr:row>
      <xdr:rowOff>2520</xdr:rowOff>
    </xdr:to>
    <xdr:grpSp>
      <xdr:nvGrpSpPr>
        <xdr:cNvPr id="789" name="Shape 2"/>
        <xdr:cNvGrpSpPr/>
      </xdr:nvGrpSpPr>
      <xdr:grpSpPr>
        <a:xfrm>
          <a:off x="7119720" y="9781920"/>
          <a:ext cx="2520" cy="450360"/>
          <a:chOff x="7119720" y="9781920"/>
          <a:chExt cx="2520" cy="450360"/>
        </a:xfrm>
      </xdr:grpSpPr>
      <xdr:cxnSp>
        <xdr:nvCxnSpPr>
          <xdr:cNvPr id="790" name="Shape 446"/>
          <xdr:cNvCxnSpPr/>
        </xdr:nvCxnSpPr>
        <xdr:spPr>
          <a:xfrm>
            <a:off x="7119720" y="9781920"/>
            <a:ext cx="2880" cy="450720"/>
          </a:xfrm>
          <a:prstGeom prst="straightConnector1">
            <a:avLst/>
          </a:prstGeom>
          <a:ln w="19050">
            <a:solidFill>
              <a:srgbClr val="000000"/>
            </a:solidFill>
            <a:miter/>
          </a:ln>
        </xdr:spPr>
      </xdr:cxnSp>
    </xdr:grpSp>
    <xdr:clientData/>
  </xdr:twoCellAnchor>
  <xdr:twoCellAnchor editAs="oneCell">
    <xdr:from>
      <xdr:col>10</xdr:col>
      <xdr:colOff>212400</xdr:colOff>
      <xdr:row>65</xdr:row>
      <xdr:rowOff>145440</xdr:rowOff>
    </xdr:from>
    <xdr:to>
      <xdr:col>11</xdr:col>
      <xdr:colOff>439920</xdr:colOff>
      <xdr:row>70</xdr:row>
      <xdr:rowOff>142560</xdr:rowOff>
    </xdr:to>
    <xdr:sp>
      <xdr:nvSpPr>
        <xdr:cNvPr id="791" name="Shape 447"/>
        <xdr:cNvSpPr/>
      </xdr:nvSpPr>
      <xdr:spPr>
        <a:xfrm rot="10800000">
          <a:off x="6619680" y="10222920"/>
          <a:ext cx="959040" cy="75924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631440</xdr:colOff>
      <xdr:row>36</xdr:row>
      <xdr:rowOff>117000</xdr:rowOff>
    </xdr:from>
    <xdr:to>
      <xdr:col>11</xdr:col>
      <xdr:colOff>20880</xdr:colOff>
      <xdr:row>45</xdr:row>
      <xdr:rowOff>47520</xdr:rowOff>
    </xdr:to>
    <xdr:sp>
      <xdr:nvSpPr>
        <xdr:cNvPr id="792" name="Shape 448"/>
        <xdr:cNvSpPr/>
      </xdr:nvSpPr>
      <xdr:spPr>
        <a:xfrm rot="10800000">
          <a:off x="7038720" y="5774760"/>
          <a:ext cx="120960" cy="130212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478440</xdr:colOff>
      <xdr:row>40</xdr:row>
      <xdr:rowOff>88560</xdr:rowOff>
    </xdr:from>
    <xdr:to>
      <xdr:col>11</xdr:col>
      <xdr:colOff>153720</xdr:colOff>
      <xdr:row>41</xdr:row>
      <xdr:rowOff>123840</xdr:rowOff>
    </xdr:to>
    <xdr:sp>
      <xdr:nvSpPr>
        <xdr:cNvPr id="793" name="Shape 449"/>
        <xdr:cNvSpPr/>
      </xdr:nvSpPr>
      <xdr:spPr>
        <a:xfrm rot="11220000">
          <a:off x="6885720" y="6356160"/>
          <a:ext cx="406800" cy="18756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412560</xdr:colOff>
      <xdr:row>40</xdr:row>
      <xdr:rowOff>79920</xdr:rowOff>
    </xdr:from>
    <xdr:to>
      <xdr:col>10</xdr:col>
      <xdr:colOff>514440</xdr:colOff>
      <xdr:row>41</xdr:row>
      <xdr:rowOff>77040</xdr:rowOff>
    </xdr:to>
    <xdr:sp>
      <xdr:nvSpPr>
        <xdr:cNvPr id="794" name="Shape 450"/>
        <xdr:cNvSpPr/>
      </xdr:nvSpPr>
      <xdr:spPr>
        <a:xfrm rot="11340000">
          <a:off x="6819840" y="6347160"/>
          <a:ext cx="101880" cy="14940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146160</xdr:colOff>
      <xdr:row>40</xdr:row>
      <xdr:rowOff>126360</xdr:rowOff>
    </xdr:from>
    <xdr:to>
      <xdr:col>11</xdr:col>
      <xdr:colOff>228960</xdr:colOff>
      <xdr:row>41</xdr:row>
      <xdr:rowOff>95040</xdr:rowOff>
    </xdr:to>
    <xdr:sp>
      <xdr:nvSpPr>
        <xdr:cNvPr id="795" name="Shape 451"/>
        <xdr:cNvSpPr/>
      </xdr:nvSpPr>
      <xdr:spPr>
        <a:xfrm rot="11340000">
          <a:off x="7284600" y="6393960"/>
          <a:ext cx="82800" cy="1209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317160</xdr:colOff>
      <xdr:row>73</xdr:row>
      <xdr:rowOff>2880</xdr:rowOff>
    </xdr:from>
    <xdr:to>
      <xdr:col>11</xdr:col>
      <xdr:colOff>325800</xdr:colOff>
      <xdr:row>76</xdr:row>
      <xdr:rowOff>114480</xdr:rowOff>
    </xdr:to>
    <xdr:sp>
      <xdr:nvSpPr>
        <xdr:cNvPr id="796" name="Shape 452"/>
        <xdr:cNvSpPr/>
      </xdr:nvSpPr>
      <xdr:spPr>
        <a:xfrm rot="10800000">
          <a:off x="6724440" y="11299680"/>
          <a:ext cx="740160" cy="56880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2880</xdr:colOff>
      <xdr:row>80</xdr:row>
      <xdr:rowOff>2880</xdr:rowOff>
    </xdr:from>
    <xdr:to>
      <xdr:col>11</xdr:col>
      <xdr:colOff>621000</xdr:colOff>
      <xdr:row>84</xdr:row>
      <xdr:rowOff>19080</xdr:rowOff>
    </xdr:to>
    <xdr:sp>
      <xdr:nvSpPr>
        <xdr:cNvPr id="797" name="Shape 453"/>
        <xdr:cNvSpPr/>
      </xdr:nvSpPr>
      <xdr:spPr>
        <a:xfrm rot="10800000">
          <a:off x="6410160" y="12366360"/>
          <a:ext cx="1349640" cy="6256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707040</xdr:colOff>
      <xdr:row>80</xdr:row>
      <xdr:rowOff>2520</xdr:rowOff>
    </xdr:to>
    <xdr:grpSp>
      <xdr:nvGrpSpPr>
        <xdr:cNvPr id="798" name="Shape 2"/>
        <xdr:cNvGrpSpPr/>
      </xdr:nvGrpSpPr>
      <xdr:grpSpPr>
        <a:xfrm>
          <a:off x="7074000" y="11887200"/>
          <a:ext cx="40320" cy="478800"/>
          <a:chOff x="7074000" y="11887200"/>
          <a:chExt cx="40320" cy="478800"/>
        </a:xfrm>
      </xdr:grpSpPr>
      <xdr:cxnSp>
        <xdr:nvCxnSpPr>
          <xdr:cNvPr id="799" name="Shape 454"/>
          <xdr:cNvCxnSpPr/>
        </xdr:nvCxnSpPr>
        <xdr:spPr>
          <a:xfrm flipV="1">
            <a:off x="7074000" y="11887200"/>
            <a:ext cx="40680" cy="47916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714960</xdr:colOff>
      <xdr:row>86</xdr:row>
      <xdr:rowOff>30960</xdr:rowOff>
    </xdr:to>
    <xdr:grpSp>
      <xdr:nvGrpSpPr>
        <xdr:cNvPr id="800" name="Shape 2"/>
        <xdr:cNvGrpSpPr/>
      </xdr:nvGrpSpPr>
      <xdr:grpSpPr>
        <a:xfrm>
          <a:off x="7119720" y="12982320"/>
          <a:ext cx="2520" cy="326520"/>
          <a:chOff x="7119720" y="12982320"/>
          <a:chExt cx="2520" cy="326520"/>
        </a:xfrm>
      </xdr:grpSpPr>
      <xdr:cxnSp>
        <xdr:nvCxnSpPr>
          <xdr:cNvPr id="801" name="Shape 455"/>
          <xdr:cNvCxnSpPr/>
        </xdr:nvCxnSpPr>
        <xdr:spPr>
          <a:xfrm flipV="1">
            <a:off x="7119720" y="12982320"/>
            <a:ext cx="2880" cy="32688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275400</xdr:colOff>
      <xdr:row>75</xdr:row>
      <xdr:rowOff>45000</xdr:rowOff>
    </xdr:to>
    <xdr:sp>
      <xdr:nvSpPr>
        <xdr:cNvPr id="802" name="Shape 456"/>
        <xdr:cNvSpPr/>
      </xdr:nvSpPr>
      <xdr:spPr>
        <a:xfrm>
          <a:off x="6778800" y="11296800"/>
          <a:ext cx="635400" cy="3495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132840</xdr:rowOff>
    </xdr:from>
    <xdr:to>
      <xdr:col>10</xdr:col>
      <xdr:colOff>714960</xdr:colOff>
      <xdr:row>73</xdr:row>
      <xdr:rowOff>2520</xdr:rowOff>
    </xdr:to>
    <xdr:grpSp>
      <xdr:nvGrpSpPr>
        <xdr:cNvPr id="803" name="Shape 2"/>
        <xdr:cNvGrpSpPr/>
      </xdr:nvGrpSpPr>
      <xdr:grpSpPr>
        <a:xfrm>
          <a:off x="7119720" y="10972440"/>
          <a:ext cx="2520" cy="326880"/>
          <a:chOff x="7119720" y="10972440"/>
          <a:chExt cx="2520" cy="326880"/>
        </a:xfrm>
      </xdr:grpSpPr>
      <xdr:cxnSp>
        <xdr:nvCxnSpPr>
          <xdr:cNvPr id="804" name="Shape 455"/>
          <xdr:cNvCxnSpPr/>
        </xdr:nvCxnSpPr>
        <xdr:spPr>
          <a:xfrm flipV="1">
            <a:off x="7119720" y="10972440"/>
            <a:ext cx="2880" cy="32724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570600</xdr:colOff>
      <xdr:row>90</xdr:row>
      <xdr:rowOff>6840</xdr:rowOff>
    </xdr:to>
    <xdr:sp>
      <xdr:nvSpPr>
        <xdr:cNvPr id="805" name="Shape 457"/>
        <xdr:cNvSpPr/>
      </xdr:nvSpPr>
      <xdr:spPr>
        <a:xfrm>
          <a:off x="6407280" y="13268520"/>
          <a:ext cx="1302120" cy="6256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570600</xdr:colOff>
      <xdr:row>96</xdr:row>
      <xdr:rowOff>16200</xdr:rowOff>
    </xdr:to>
    <xdr:sp>
      <xdr:nvSpPr>
        <xdr:cNvPr id="806" name="Shape 457"/>
        <xdr:cNvSpPr/>
      </xdr:nvSpPr>
      <xdr:spPr>
        <a:xfrm>
          <a:off x="6407280" y="14192280"/>
          <a:ext cx="1302120" cy="6256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560880</xdr:colOff>
      <xdr:row>102</xdr:row>
      <xdr:rowOff>6840</xdr:rowOff>
    </xdr:to>
    <xdr:sp>
      <xdr:nvSpPr>
        <xdr:cNvPr id="807" name="Shape 458"/>
        <xdr:cNvSpPr/>
      </xdr:nvSpPr>
      <xdr:spPr>
        <a:xfrm>
          <a:off x="6416640" y="15106680"/>
          <a:ext cx="1283040" cy="6163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714960</xdr:colOff>
      <xdr:row>92</xdr:row>
      <xdr:rowOff>11880</xdr:rowOff>
    </xdr:to>
    <xdr:grpSp>
      <xdr:nvGrpSpPr>
        <xdr:cNvPr id="808" name="Shape 2"/>
        <xdr:cNvGrpSpPr/>
      </xdr:nvGrpSpPr>
      <xdr:grpSpPr>
        <a:xfrm>
          <a:off x="7119720" y="13896720"/>
          <a:ext cx="2520" cy="307440"/>
          <a:chOff x="7119720" y="13896720"/>
          <a:chExt cx="2520" cy="307440"/>
        </a:xfrm>
      </xdr:grpSpPr>
      <xdr:cxnSp>
        <xdr:nvCxnSpPr>
          <xdr:cNvPr id="809" name="Shape 437"/>
          <xdr:cNvCxnSpPr/>
        </xdr:nvCxnSpPr>
        <xdr:spPr>
          <a:xfrm>
            <a:off x="7119720" y="13896720"/>
            <a:ext cx="2880" cy="30780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714960</xdr:colOff>
      <xdr:row>104</xdr:row>
      <xdr:rowOff>11880</xdr:rowOff>
    </xdr:to>
    <xdr:grpSp>
      <xdr:nvGrpSpPr>
        <xdr:cNvPr id="810" name="Shape 2"/>
        <xdr:cNvGrpSpPr/>
      </xdr:nvGrpSpPr>
      <xdr:grpSpPr>
        <a:xfrm>
          <a:off x="7119720" y="15716160"/>
          <a:ext cx="2520" cy="316800"/>
          <a:chOff x="7119720" y="15716160"/>
          <a:chExt cx="2520" cy="316800"/>
        </a:xfrm>
      </xdr:grpSpPr>
      <xdr:cxnSp>
        <xdr:nvCxnSpPr>
          <xdr:cNvPr id="811" name="Shape 459"/>
          <xdr:cNvCxnSpPr/>
        </xdr:nvCxnSpPr>
        <xdr:spPr>
          <a:xfrm>
            <a:off x="7119720" y="15716160"/>
            <a:ext cx="2880" cy="31716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714960</xdr:colOff>
      <xdr:row>98</xdr:row>
      <xdr:rowOff>21240</xdr:rowOff>
    </xdr:to>
    <xdr:grpSp>
      <xdr:nvGrpSpPr>
        <xdr:cNvPr id="812" name="Shape 2"/>
        <xdr:cNvGrpSpPr/>
      </xdr:nvGrpSpPr>
      <xdr:grpSpPr>
        <a:xfrm>
          <a:off x="7119720" y="14811120"/>
          <a:ext cx="2520" cy="316800"/>
          <a:chOff x="7119720" y="14811120"/>
          <a:chExt cx="2520" cy="316800"/>
        </a:xfrm>
      </xdr:grpSpPr>
      <xdr:cxnSp>
        <xdr:nvCxnSpPr>
          <xdr:cNvPr id="813" name="Shape 408"/>
          <xdr:cNvCxnSpPr/>
        </xdr:nvCxnSpPr>
        <xdr:spPr>
          <a:xfrm>
            <a:off x="7119720" y="14811120"/>
            <a:ext cx="2880" cy="31716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256320</xdr:colOff>
      <xdr:row>89</xdr:row>
      <xdr:rowOff>34920</xdr:rowOff>
    </xdr:to>
    <xdr:sp>
      <xdr:nvSpPr>
        <xdr:cNvPr id="814" name="Shape 460"/>
        <xdr:cNvSpPr/>
      </xdr:nvSpPr>
      <xdr:spPr>
        <a:xfrm>
          <a:off x="6816960" y="13287240"/>
          <a:ext cx="578160" cy="4827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456120</xdr:colOff>
      <xdr:row>94</xdr:row>
      <xdr:rowOff>73080</xdr:rowOff>
    </xdr:to>
    <xdr:sp>
      <xdr:nvSpPr>
        <xdr:cNvPr id="815" name="Shape 461"/>
        <xdr:cNvSpPr/>
      </xdr:nvSpPr>
      <xdr:spPr>
        <a:xfrm>
          <a:off x="6578640" y="14392080"/>
          <a:ext cx="1016280" cy="178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427680</xdr:colOff>
      <xdr:row>100</xdr:row>
      <xdr:rowOff>54000</xdr:rowOff>
    </xdr:to>
    <xdr:sp>
      <xdr:nvSpPr>
        <xdr:cNvPr id="816" name="Shape 462"/>
        <xdr:cNvSpPr/>
      </xdr:nvSpPr>
      <xdr:spPr>
        <a:xfrm>
          <a:off x="6578640" y="15297120"/>
          <a:ext cx="98784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688320</xdr:colOff>
      <xdr:row>106</xdr:row>
      <xdr:rowOff>69120</xdr:rowOff>
    </xdr:to>
    <xdr:grpSp>
      <xdr:nvGrpSpPr>
        <xdr:cNvPr id="817" name="Shape 2"/>
        <xdr:cNvGrpSpPr/>
      </xdr:nvGrpSpPr>
      <xdr:grpSpPr>
        <a:xfrm>
          <a:off x="7825680" y="16401960"/>
          <a:ext cx="688320" cy="2520"/>
          <a:chOff x="7825680" y="16401960"/>
          <a:chExt cx="688320" cy="2520"/>
        </a:xfrm>
      </xdr:grpSpPr>
      <xdr:cxnSp>
        <xdr:nvCxnSpPr>
          <xdr:cNvPr id="818" name="Shape 463"/>
          <xdr:cNvCxnSpPr/>
        </xdr:nvCxnSpPr>
        <xdr:spPr>
          <a:xfrm>
            <a:off x="7825680" y="16401960"/>
            <a:ext cx="688680" cy="288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697680</xdr:colOff>
      <xdr:row>108</xdr:row>
      <xdr:rowOff>50040</xdr:rowOff>
    </xdr:to>
    <xdr:grpSp>
      <xdr:nvGrpSpPr>
        <xdr:cNvPr id="819" name="Shape 2"/>
        <xdr:cNvGrpSpPr/>
      </xdr:nvGrpSpPr>
      <xdr:grpSpPr>
        <a:xfrm>
          <a:off x="7835040" y="16706880"/>
          <a:ext cx="688320" cy="2520"/>
          <a:chOff x="7835040" y="16706880"/>
          <a:chExt cx="688320" cy="2520"/>
        </a:xfrm>
      </xdr:grpSpPr>
      <xdr:cxnSp>
        <xdr:nvCxnSpPr>
          <xdr:cNvPr id="820" name="Shape 463"/>
          <xdr:cNvCxnSpPr/>
        </xdr:nvCxnSpPr>
        <xdr:spPr>
          <a:xfrm>
            <a:off x="7835040" y="16706880"/>
            <a:ext cx="688680" cy="288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606600</xdr:colOff>
      <xdr:row>102</xdr:row>
      <xdr:rowOff>35280</xdr:rowOff>
    </xdr:to>
    <xdr:sp>
      <xdr:nvSpPr>
        <xdr:cNvPr id="821" name="Shape 464"/>
        <xdr:cNvSpPr/>
      </xdr:nvSpPr>
      <xdr:spPr>
        <a:xfrm>
          <a:off x="5983920" y="7153200"/>
          <a:ext cx="368640" cy="85982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171360</xdr:colOff>
      <xdr:row>75</xdr:row>
      <xdr:rowOff>64080</xdr:rowOff>
    </xdr:to>
    <xdr:sp>
      <xdr:nvSpPr>
        <xdr:cNvPr id="822" name="Shape 465"/>
        <xdr:cNvSpPr/>
      </xdr:nvSpPr>
      <xdr:spPr>
        <a:xfrm>
          <a:off x="5491440" y="11334960"/>
          <a:ext cx="42588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559080</xdr:colOff>
      <xdr:row>36</xdr:row>
      <xdr:rowOff>45000</xdr:rowOff>
    </xdr:to>
    <xdr:sp>
      <xdr:nvSpPr>
        <xdr:cNvPr id="823" name="Shape 466"/>
        <xdr:cNvSpPr/>
      </xdr:nvSpPr>
      <xdr:spPr>
        <a:xfrm>
          <a:off x="6069960" y="1057320"/>
          <a:ext cx="235080" cy="46454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263880</xdr:colOff>
      <xdr:row>21</xdr:row>
      <xdr:rowOff>111600</xdr:rowOff>
    </xdr:to>
    <xdr:sp>
      <xdr:nvSpPr>
        <xdr:cNvPr id="824" name="Shape 467"/>
        <xdr:cNvSpPr/>
      </xdr:nvSpPr>
      <xdr:spPr>
        <a:xfrm>
          <a:off x="5812560" y="3305160"/>
          <a:ext cx="1972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30960</xdr:colOff>
      <xdr:row>41</xdr:row>
      <xdr:rowOff>101880</xdr:rowOff>
    </xdr:to>
    <xdr:sp>
      <xdr:nvSpPr>
        <xdr:cNvPr id="825" name="Shape 468"/>
        <xdr:cNvSpPr/>
      </xdr:nvSpPr>
      <xdr:spPr>
        <a:xfrm>
          <a:off x="6041160" y="6191280"/>
          <a:ext cx="397080" cy="330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70920</xdr:colOff>
      <xdr:row>133</xdr:row>
      <xdr:rowOff>44640</xdr:rowOff>
    </xdr:to>
    <xdr:graphicFrame>
      <xdr:nvGraphicFramePr>
        <xdr:cNvPr id="826" name="Chart 3"/>
        <xdr:cNvGraphicFramePr/>
      </xdr:nvGraphicFramePr>
      <xdr:xfrm>
        <a:off x="6679080" y="14716080"/>
        <a:ext cx="8836200" cy="5835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527040</xdr:colOff>
      <xdr:row>248</xdr:row>
      <xdr:rowOff>6480</xdr:rowOff>
    </xdr:to>
    <xdr:graphicFrame>
      <xdr:nvGraphicFramePr>
        <xdr:cNvPr id="827" name="Chart 4"/>
        <xdr:cNvGraphicFramePr/>
      </xdr:nvGraphicFramePr>
      <xdr:xfrm>
        <a:off x="6688440" y="32708520"/>
        <a:ext cx="6778800" cy="53503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199800</xdr:colOff>
      <xdr:row>179</xdr:row>
      <xdr:rowOff>149760</xdr:rowOff>
    </xdr:to>
    <xdr:sp>
      <xdr:nvSpPr>
        <xdr:cNvPr id="828" name="Shape 469"/>
        <xdr:cNvSpPr/>
      </xdr:nvSpPr>
      <xdr:spPr>
        <a:xfrm>
          <a:off x="9052560" y="27451080"/>
          <a:ext cx="330480" cy="21636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474120</xdr:colOff>
      <xdr:row>233</xdr:row>
      <xdr:rowOff>88200</xdr:rowOff>
    </xdr:to>
    <xdr:grpSp>
      <xdr:nvGrpSpPr>
        <xdr:cNvPr id="829" name="Shape 2"/>
        <xdr:cNvGrpSpPr/>
      </xdr:nvGrpSpPr>
      <xdr:grpSpPr>
        <a:xfrm>
          <a:off x="8159760" y="34947360"/>
          <a:ext cx="1497600" cy="897840"/>
          <a:chOff x="8159760" y="34947360"/>
          <a:chExt cx="1497600" cy="897840"/>
        </a:xfrm>
      </xdr:grpSpPr>
      <xdr:cxnSp>
        <xdr:nvCxnSpPr>
          <xdr:cNvPr id="830" name="Shape 470"/>
          <xdr:cNvCxnSpPr/>
        </xdr:nvCxnSpPr>
        <xdr:spPr>
          <a:xfrm flipH="1" flipV="1">
            <a:off x="8159760" y="34947360"/>
            <a:ext cx="1497960" cy="89820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181440</xdr:colOff>
      <xdr:row>233</xdr:row>
      <xdr:rowOff>88200</xdr:rowOff>
    </xdr:to>
    <xdr:grpSp>
      <xdr:nvGrpSpPr>
        <xdr:cNvPr id="831" name="Shape 2"/>
        <xdr:cNvGrpSpPr/>
      </xdr:nvGrpSpPr>
      <xdr:grpSpPr>
        <a:xfrm>
          <a:off x="9716400" y="34947360"/>
          <a:ext cx="1526760" cy="897840"/>
          <a:chOff x="9716400" y="34947360"/>
          <a:chExt cx="1526760" cy="897840"/>
        </a:xfrm>
      </xdr:grpSpPr>
      <xdr:cxnSp>
        <xdr:nvCxnSpPr>
          <xdr:cNvPr id="832" name="Shape 471"/>
          <xdr:cNvCxnSpPr/>
        </xdr:nvCxnSpPr>
        <xdr:spPr>
          <a:xfrm flipV="1">
            <a:off x="9716400" y="34947360"/>
            <a:ext cx="1527120" cy="89820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305280</xdr:colOff>
      <xdr:row>186</xdr:row>
      <xdr:rowOff>145080</xdr:rowOff>
    </xdr:to>
    <xdr:grpSp>
      <xdr:nvGrpSpPr>
        <xdr:cNvPr id="833" name="Shape 2"/>
        <xdr:cNvGrpSpPr/>
      </xdr:nvGrpSpPr>
      <xdr:grpSpPr>
        <a:xfrm>
          <a:off x="6821640" y="28631880"/>
          <a:ext cx="2040840" cy="97560"/>
          <a:chOff x="6821640" y="28631880"/>
          <a:chExt cx="2040840" cy="97560"/>
        </a:xfrm>
      </xdr:grpSpPr>
      <xdr:cxnSp>
        <xdr:nvCxnSpPr>
          <xdr:cNvPr id="834" name="Shape 472"/>
          <xdr:cNvCxnSpPr/>
        </xdr:nvCxnSpPr>
        <xdr:spPr>
          <a:xfrm flipH="1" flipV="1">
            <a:off x="6821640" y="28631880"/>
            <a:ext cx="2041200" cy="9792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141840</xdr:rowOff>
    </xdr:from>
    <xdr:to>
      <xdr:col>11</xdr:col>
      <xdr:colOff>562320</xdr:colOff>
      <xdr:row>186</xdr:row>
      <xdr:rowOff>145080</xdr:rowOff>
    </xdr:to>
    <xdr:grpSp>
      <xdr:nvGrpSpPr>
        <xdr:cNvPr id="835" name="Shape 2"/>
        <xdr:cNvGrpSpPr/>
      </xdr:nvGrpSpPr>
      <xdr:grpSpPr>
        <a:xfrm>
          <a:off x="8957160" y="28573920"/>
          <a:ext cx="2040840" cy="155520"/>
          <a:chOff x="8957160" y="28573920"/>
          <a:chExt cx="2040840" cy="155520"/>
        </a:xfrm>
      </xdr:grpSpPr>
      <xdr:cxnSp>
        <xdr:nvCxnSpPr>
          <xdr:cNvPr id="836" name="Shape 473"/>
          <xdr:cNvCxnSpPr/>
        </xdr:nvCxnSpPr>
        <xdr:spPr>
          <a:xfrm flipV="1">
            <a:off x="8957160" y="28573920"/>
            <a:ext cx="2041200" cy="15588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178560</xdr:colOff>
      <xdr:row>194</xdr:row>
      <xdr:rowOff>73080</xdr:rowOff>
    </xdr:to>
    <xdr:sp>
      <xdr:nvSpPr>
        <xdr:cNvPr id="837" name="Shape 474"/>
        <xdr:cNvSpPr/>
      </xdr:nvSpPr>
      <xdr:spPr>
        <a:xfrm>
          <a:off x="7790760" y="27565200"/>
          <a:ext cx="2197440" cy="231156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407160</xdr:colOff>
      <xdr:row>242</xdr:row>
      <xdr:rowOff>45000</xdr:rowOff>
    </xdr:to>
    <xdr:sp>
      <xdr:nvSpPr>
        <xdr:cNvPr id="838" name="Shape 475"/>
        <xdr:cNvSpPr/>
      </xdr:nvSpPr>
      <xdr:spPr>
        <a:xfrm>
          <a:off x="8493120" y="34490160"/>
          <a:ext cx="2349720" cy="269280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18360</xdr:colOff>
      <xdr:row>242</xdr:row>
      <xdr:rowOff>111600</xdr:rowOff>
    </xdr:to>
    <xdr:sp>
      <xdr:nvSpPr>
        <xdr:cNvPr id="839" name="Shape 476"/>
        <xdr:cNvSpPr/>
      </xdr:nvSpPr>
      <xdr:spPr>
        <a:xfrm>
          <a:off x="9516600" y="37071360"/>
          <a:ext cx="311400" cy="17820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9360</xdr:colOff>
      <xdr:row>24</xdr:row>
      <xdr:rowOff>111240</xdr:rowOff>
    </xdr:to>
    <xdr:sp>
      <xdr:nvSpPr>
        <xdr:cNvPr id="840" name="Shape 261"/>
        <xdr:cNvSpPr/>
      </xdr:nvSpPr>
      <xdr:spPr>
        <a:xfrm>
          <a:off x="9577080" y="3857400"/>
          <a:ext cx="83160" cy="19728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73440</xdr:colOff>
      <xdr:row>19</xdr:row>
      <xdr:rowOff>130680</xdr:rowOff>
    </xdr:to>
    <xdr:sp>
      <xdr:nvSpPr>
        <xdr:cNvPr id="841" name="Shape 244"/>
        <xdr:cNvSpPr/>
      </xdr:nvSpPr>
      <xdr:spPr>
        <a:xfrm>
          <a:off x="9650880" y="3114720"/>
          <a:ext cx="73440" cy="19728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297720</xdr:colOff>
      <xdr:row>14</xdr:row>
      <xdr:rowOff>12240</xdr:rowOff>
    </xdr:to>
    <xdr:grpSp>
      <xdr:nvGrpSpPr>
        <xdr:cNvPr id="842" name="Shape 2"/>
        <xdr:cNvGrpSpPr/>
      </xdr:nvGrpSpPr>
      <xdr:grpSpPr>
        <a:xfrm>
          <a:off x="1502280" y="2257560"/>
          <a:ext cx="2520" cy="173880"/>
          <a:chOff x="1502280" y="2257560"/>
          <a:chExt cx="2520" cy="173880"/>
        </a:xfrm>
      </xdr:grpSpPr>
      <xdr:cxnSp>
        <xdr:nvCxnSpPr>
          <xdr:cNvPr id="843" name="Shape 477"/>
          <xdr:cNvCxnSpPr/>
        </xdr:nvCxnSpPr>
        <xdr:spPr>
          <a:xfrm>
            <a:off x="1502280" y="2257560"/>
            <a:ext cx="2880" cy="17424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297720</xdr:colOff>
      <xdr:row>14</xdr:row>
      <xdr:rowOff>12240</xdr:rowOff>
    </xdr:to>
    <xdr:grpSp>
      <xdr:nvGrpSpPr>
        <xdr:cNvPr id="844" name="Shape 2"/>
        <xdr:cNvGrpSpPr/>
      </xdr:nvGrpSpPr>
      <xdr:grpSpPr>
        <a:xfrm>
          <a:off x="2136600" y="2257560"/>
          <a:ext cx="2520" cy="173880"/>
          <a:chOff x="2136600" y="2257560"/>
          <a:chExt cx="2520" cy="173880"/>
        </a:xfrm>
      </xdr:grpSpPr>
      <xdr:cxnSp>
        <xdr:nvCxnSpPr>
          <xdr:cNvPr id="845" name="Shape 477"/>
          <xdr:cNvCxnSpPr/>
        </xdr:nvCxnSpPr>
        <xdr:spPr>
          <a:xfrm>
            <a:off x="2136600" y="2257560"/>
            <a:ext cx="2880" cy="17424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335880</xdr:colOff>
      <xdr:row>14</xdr:row>
      <xdr:rowOff>12240</xdr:rowOff>
    </xdr:to>
    <xdr:grpSp>
      <xdr:nvGrpSpPr>
        <xdr:cNvPr id="846" name="Shape 2"/>
        <xdr:cNvGrpSpPr/>
      </xdr:nvGrpSpPr>
      <xdr:grpSpPr>
        <a:xfrm>
          <a:off x="3038400" y="2257560"/>
          <a:ext cx="2520" cy="173880"/>
          <a:chOff x="3038400" y="2257560"/>
          <a:chExt cx="2520" cy="173880"/>
        </a:xfrm>
      </xdr:grpSpPr>
      <xdr:cxnSp>
        <xdr:nvCxnSpPr>
          <xdr:cNvPr id="847" name="Shape 477"/>
          <xdr:cNvCxnSpPr/>
        </xdr:nvCxnSpPr>
        <xdr:spPr>
          <a:xfrm>
            <a:off x="3038400" y="2257560"/>
            <a:ext cx="2880" cy="17424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478440</xdr:colOff>
      <xdr:row>14</xdr:row>
      <xdr:rowOff>12240</xdr:rowOff>
    </xdr:to>
    <xdr:grpSp>
      <xdr:nvGrpSpPr>
        <xdr:cNvPr id="848" name="Shape 2"/>
        <xdr:cNvGrpSpPr/>
      </xdr:nvGrpSpPr>
      <xdr:grpSpPr>
        <a:xfrm>
          <a:off x="3948120" y="2257560"/>
          <a:ext cx="2520" cy="173880"/>
          <a:chOff x="3948120" y="2257560"/>
          <a:chExt cx="2520" cy="173880"/>
        </a:xfrm>
      </xdr:grpSpPr>
      <xdr:cxnSp>
        <xdr:nvCxnSpPr>
          <xdr:cNvPr id="849" name="Shape 477"/>
          <xdr:cNvCxnSpPr/>
        </xdr:nvCxnSpPr>
        <xdr:spPr>
          <a:xfrm>
            <a:off x="3948120" y="2257560"/>
            <a:ext cx="2880" cy="17424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898200</xdr:colOff>
      <xdr:row>29</xdr:row>
      <xdr:rowOff>149400</xdr:rowOff>
    </xdr:to>
    <xdr:graphicFrame>
      <xdr:nvGraphicFramePr>
        <xdr:cNvPr id="850" name="Chart 5"/>
        <xdr:cNvGraphicFramePr/>
      </xdr:nvGraphicFramePr>
      <xdr:xfrm>
        <a:off x="0" y="0"/>
        <a:ext cx="9722160" cy="4569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525960</xdr:colOff>
      <xdr:row>20</xdr:row>
      <xdr:rowOff>149400</xdr:rowOff>
    </xdr:to>
    <xdr:sp>
      <xdr:nvSpPr>
        <xdr:cNvPr id="851" name="Shape 478"/>
        <xdr:cNvSpPr/>
      </xdr:nvSpPr>
      <xdr:spPr>
        <a:xfrm>
          <a:off x="1814040" y="2666880"/>
          <a:ext cx="1216440" cy="6066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612000</xdr:colOff>
      <xdr:row>22</xdr:row>
      <xdr:rowOff>30960</xdr:rowOff>
    </xdr:to>
    <xdr:grpSp>
      <xdr:nvGrpSpPr>
        <xdr:cNvPr id="852" name="Shape 2"/>
        <xdr:cNvGrpSpPr/>
      </xdr:nvGrpSpPr>
      <xdr:grpSpPr>
        <a:xfrm>
          <a:off x="5056560" y="3105000"/>
          <a:ext cx="564480" cy="354960"/>
          <a:chOff x="5056560" y="3105000"/>
          <a:chExt cx="564480" cy="354960"/>
        </a:xfrm>
      </xdr:grpSpPr>
      <xdr:cxnSp>
        <xdr:nvCxnSpPr>
          <xdr:cNvPr id="853" name="Shape 479"/>
          <xdr:cNvCxnSpPr/>
        </xdr:nvCxnSpPr>
        <xdr:spPr>
          <a:xfrm>
            <a:off x="5056560" y="3105000"/>
            <a:ext cx="564840" cy="35532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82800</xdr:colOff>
      <xdr:row>21</xdr:row>
      <xdr:rowOff>25560</xdr:rowOff>
    </xdr:to>
    <xdr:sp>
      <xdr:nvSpPr>
        <xdr:cNvPr id="854" name="Shape 480"/>
        <xdr:cNvSpPr/>
      </xdr:nvSpPr>
      <xdr:spPr>
        <a:xfrm>
          <a:off x="5009040" y="2666880"/>
          <a:ext cx="82800" cy="6354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621360</xdr:colOff>
      <xdr:row>18</xdr:row>
      <xdr:rowOff>21240</xdr:rowOff>
    </xdr:to>
    <xdr:grpSp>
      <xdr:nvGrpSpPr>
        <xdr:cNvPr id="855" name="Shape 2"/>
        <xdr:cNvGrpSpPr/>
      </xdr:nvGrpSpPr>
      <xdr:grpSpPr>
        <a:xfrm>
          <a:off x="5065920" y="2476440"/>
          <a:ext cx="564480" cy="364320"/>
          <a:chOff x="5065920" y="2476440"/>
          <a:chExt cx="564480" cy="364320"/>
        </a:xfrm>
      </xdr:grpSpPr>
      <xdr:cxnSp>
        <xdr:nvCxnSpPr>
          <xdr:cNvPr id="856" name="Shape 481"/>
          <xdr:cNvCxnSpPr/>
        </xdr:nvCxnSpPr>
        <xdr:spPr>
          <a:xfrm flipV="1">
            <a:off x="5065920" y="2476440"/>
            <a:ext cx="564840" cy="36468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409320</xdr:colOff>
      <xdr:row>20</xdr:row>
      <xdr:rowOff>6840</xdr:rowOff>
    </xdr:to>
    <xdr:sp>
      <xdr:nvSpPr>
        <xdr:cNvPr id="857" name="Shape 482"/>
        <xdr:cNvSpPr/>
      </xdr:nvSpPr>
      <xdr:spPr>
        <a:xfrm>
          <a:off x="4185360" y="2790720"/>
          <a:ext cx="606600" cy="3402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564480</xdr:colOff>
      <xdr:row>18</xdr:row>
      <xdr:rowOff>135720</xdr:rowOff>
    </xdr:to>
    <xdr:grpSp>
      <xdr:nvGrpSpPr>
        <xdr:cNvPr id="858" name="Shape 2"/>
        <xdr:cNvGrpSpPr/>
      </xdr:nvGrpSpPr>
      <xdr:grpSpPr>
        <a:xfrm>
          <a:off x="4830120" y="2952720"/>
          <a:ext cx="117000" cy="2520"/>
          <a:chOff x="4830120" y="2952720"/>
          <a:chExt cx="117000" cy="2520"/>
        </a:xfrm>
      </xdr:grpSpPr>
      <xdr:cxnSp>
        <xdr:nvCxnSpPr>
          <xdr:cNvPr id="859" name="Shape 483"/>
          <xdr:cNvCxnSpPr/>
        </xdr:nvCxnSpPr>
        <xdr:spPr>
          <a:xfrm flipH="1">
            <a:off x="4830120" y="2952720"/>
            <a:ext cx="117360" cy="288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395640</xdr:colOff>
      <xdr:row>18</xdr:row>
      <xdr:rowOff>116640</xdr:rowOff>
    </xdr:to>
    <xdr:grpSp>
      <xdr:nvGrpSpPr>
        <xdr:cNvPr id="860" name="Shape 2"/>
        <xdr:cNvGrpSpPr/>
      </xdr:nvGrpSpPr>
      <xdr:grpSpPr>
        <a:xfrm>
          <a:off x="3396960" y="2933640"/>
          <a:ext cx="755280" cy="2520"/>
          <a:chOff x="3396960" y="2933640"/>
          <a:chExt cx="755280" cy="2520"/>
        </a:xfrm>
      </xdr:grpSpPr>
      <xdr:cxnSp>
        <xdr:nvCxnSpPr>
          <xdr:cNvPr id="861" name="Shape 484"/>
          <xdr:cNvCxnSpPr/>
        </xdr:nvCxnSpPr>
        <xdr:spPr>
          <a:xfrm flipH="1">
            <a:off x="3396960" y="2933640"/>
            <a:ext cx="755640" cy="288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69480</xdr:rowOff>
    </xdr:from>
    <xdr:to>
      <xdr:col>5</xdr:col>
      <xdr:colOff>273240</xdr:colOff>
      <xdr:row>19</xdr:row>
      <xdr:rowOff>38160</xdr:rowOff>
    </xdr:to>
    <xdr:sp>
      <xdr:nvSpPr>
        <xdr:cNvPr id="862" name="Shape 485"/>
        <xdr:cNvSpPr/>
      </xdr:nvSpPr>
      <xdr:spPr>
        <a:xfrm rot="16200000">
          <a:off x="3301920" y="2908080"/>
          <a:ext cx="120960" cy="82800"/>
        </a:xfrm>
        <a:custGeom>
          <a:avLst/>
          <a:gdLst>
            <a:gd name="textAreaLeft" fmla="*/ 0 w 120960"/>
            <a:gd name="textAreaRight" fmla="*/ 123840 w 120960"/>
            <a:gd name="textAreaTop" fmla="*/ 0 h 82800"/>
            <a:gd name="textAreaBottom" fmla="*/ 85680 h 8280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82800</xdr:colOff>
      <xdr:row>19</xdr:row>
      <xdr:rowOff>16200</xdr:rowOff>
    </xdr:to>
    <xdr:sp>
      <xdr:nvSpPr>
        <xdr:cNvPr id="863" name="Shape 486"/>
        <xdr:cNvSpPr/>
      </xdr:nvSpPr>
      <xdr:spPr>
        <a:xfrm>
          <a:off x="3139920" y="2905200"/>
          <a:ext cx="73440" cy="8280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209520</xdr:colOff>
      <xdr:row>19</xdr:row>
      <xdr:rowOff>73440</xdr:rowOff>
    </xdr:to>
    <xdr:sp>
      <xdr:nvSpPr>
        <xdr:cNvPr id="864" name="Shape 487"/>
        <xdr:cNvSpPr/>
      </xdr:nvSpPr>
      <xdr:spPr>
        <a:xfrm>
          <a:off x="5399640" y="2867040"/>
          <a:ext cx="444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285480</xdr:colOff>
      <xdr:row>20</xdr:row>
      <xdr:rowOff>6840</xdr:rowOff>
    </xdr:to>
    <xdr:sp>
      <xdr:nvSpPr>
        <xdr:cNvPr id="865" name="Shape 488"/>
        <xdr:cNvSpPr/>
      </xdr:nvSpPr>
      <xdr:spPr>
        <a:xfrm>
          <a:off x="4166280" y="2790720"/>
          <a:ext cx="501840" cy="340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592920</xdr:colOff>
      <xdr:row>11</xdr:row>
      <xdr:rowOff>59400</xdr:rowOff>
    </xdr:to>
    <xdr:grpSp>
      <xdr:nvGrpSpPr>
        <xdr:cNvPr id="866" name="Shape 2"/>
        <xdr:cNvGrpSpPr/>
      </xdr:nvGrpSpPr>
      <xdr:grpSpPr>
        <a:xfrm>
          <a:off x="5644440" y="1809360"/>
          <a:ext cx="583560" cy="2520"/>
          <a:chOff x="5644440" y="1809360"/>
          <a:chExt cx="583560" cy="2520"/>
        </a:xfrm>
      </xdr:grpSpPr>
      <xdr:cxnSp>
        <xdr:nvCxnSpPr>
          <xdr:cNvPr id="867" name="Shape 489"/>
          <xdr:cNvCxnSpPr/>
        </xdr:nvCxnSpPr>
        <xdr:spPr>
          <a:xfrm>
            <a:off x="5644440" y="1809360"/>
            <a:ext cx="583920" cy="288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180720</xdr:colOff>
      <xdr:row>19</xdr:row>
      <xdr:rowOff>54360</xdr:rowOff>
    </xdr:to>
    <xdr:sp>
      <xdr:nvSpPr>
        <xdr:cNvPr id="868" name="Shape 490"/>
        <xdr:cNvSpPr/>
      </xdr:nvSpPr>
      <xdr:spPr>
        <a:xfrm>
          <a:off x="2088000" y="2857680"/>
          <a:ext cx="59724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169200</xdr:colOff>
      <xdr:row>25</xdr:row>
      <xdr:rowOff>6840</xdr:rowOff>
    </xdr:to>
    <xdr:sp>
      <xdr:nvSpPr>
        <xdr:cNvPr id="869" name="Shape 491"/>
        <xdr:cNvSpPr/>
      </xdr:nvSpPr>
      <xdr:spPr>
        <a:xfrm>
          <a:off x="4194720" y="3552840"/>
          <a:ext cx="2235600" cy="34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366840</xdr:colOff>
      <xdr:row>23</xdr:row>
      <xdr:rowOff>50040</xdr:rowOff>
    </xdr:to>
    <xdr:grpSp>
      <xdr:nvGrpSpPr>
        <xdr:cNvPr id="870" name="Shape 2"/>
        <xdr:cNvGrpSpPr/>
      </xdr:nvGrpSpPr>
      <xdr:grpSpPr>
        <a:xfrm>
          <a:off x="3368520" y="3009600"/>
          <a:ext cx="754920" cy="621720"/>
          <a:chOff x="3368520" y="3009600"/>
          <a:chExt cx="754920" cy="621720"/>
        </a:xfrm>
      </xdr:grpSpPr>
      <xdr:cxnSp>
        <xdr:nvCxnSpPr>
          <xdr:cNvPr id="871" name="Shape 492"/>
          <xdr:cNvCxnSpPr/>
        </xdr:nvCxnSpPr>
        <xdr:spPr>
          <a:xfrm flipH="1" flipV="1">
            <a:off x="3368520" y="3009600"/>
            <a:ext cx="755280" cy="62208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64440</xdr:colOff>
      <xdr:row>27</xdr:row>
      <xdr:rowOff>111240</xdr:rowOff>
    </xdr:to>
    <xdr:sp>
      <xdr:nvSpPr>
        <xdr:cNvPr id="872" name="Shape 493"/>
        <xdr:cNvSpPr/>
      </xdr:nvSpPr>
      <xdr:spPr>
        <a:xfrm>
          <a:off x="3540240" y="3971880"/>
          <a:ext cx="2159280" cy="33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297720</xdr:colOff>
      <xdr:row>26</xdr:row>
      <xdr:rowOff>59760</xdr:rowOff>
    </xdr:to>
    <xdr:grpSp>
      <xdr:nvGrpSpPr>
        <xdr:cNvPr id="873" name="Shape 2"/>
        <xdr:cNvGrpSpPr/>
      </xdr:nvGrpSpPr>
      <xdr:grpSpPr>
        <a:xfrm>
          <a:off x="3187440" y="3038400"/>
          <a:ext cx="240840" cy="1059840"/>
          <a:chOff x="3187440" y="3038400"/>
          <a:chExt cx="240840" cy="1059840"/>
        </a:xfrm>
      </xdr:grpSpPr>
      <xdr:cxnSp>
        <xdr:nvCxnSpPr>
          <xdr:cNvPr id="874" name="Shape 494"/>
          <xdr:cNvCxnSpPr/>
        </xdr:nvCxnSpPr>
        <xdr:spPr>
          <a:xfrm flipH="1" flipV="1">
            <a:off x="3187440" y="3038400"/>
            <a:ext cx="241200" cy="106020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402480</xdr:colOff>
      <xdr:row>26</xdr:row>
      <xdr:rowOff>30960</xdr:rowOff>
    </xdr:to>
    <xdr:grpSp>
      <xdr:nvGrpSpPr>
        <xdr:cNvPr id="875" name="Shape 2"/>
        <xdr:cNvGrpSpPr/>
      </xdr:nvGrpSpPr>
      <xdr:grpSpPr>
        <a:xfrm>
          <a:off x="3425760" y="4066920"/>
          <a:ext cx="107280" cy="2520"/>
          <a:chOff x="3425760" y="4066920"/>
          <a:chExt cx="107280" cy="2520"/>
        </a:xfrm>
      </xdr:grpSpPr>
      <xdr:cxnSp>
        <xdr:nvCxnSpPr>
          <xdr:cNvPr id="876" name="Shape 495"/>
          <xdr:cNvCxnSpPr/>
        </xdr:nvCxnSpPr>
        <xdr:spPr>
          <a:xfrm>
            <a:off x="3425760" y="4066920"/>
            <a:ext cx="107640" cy="288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192240</xdr:colOff>
      <xdr:row>36</xdr:row>
      <xdr:rowOff>140040</xdr:rowOff>
    </xdr:to>
    <xdr:sp>
      <xdr:nvSpPr>
        <xdr:cNvPr id="877" name="Shape 496"/>
        <xdr:cNvSpPr/>
      </xdr:nvSpPr>
      <xdr:spPr>
        <a:xfrm>
          <a:off x="1490040" y="5105520"/>
          <a:ext cx="1206720" cy="5972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437400</xdr:colOff>
      <xdr:row>35</xdr:row>
      <xdr:rowOff>64080</xdr:rowOff>
    </xdr:to>
    <xdr:sp>
      <xdr:nvSpPr>
        <xdr:cNvPr id="878" name="Shape 497"/>
        <xdr:cNvSpPr/>
      </xdr:nvSpPr>
      <xdr:spPr>
        <a:xfrm>
          <a:off x="1728360" y="5295960"/>
          <a:ext cx="58752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482760</xdr:colOff>
      <xdr:row>37</xdr:row>
      <xdr:rowOff>25920</xdr:rowOff>
    </xdr:to>
    <xdr:sp>
      <xdr:nvSpPr>
        <xdr:cNvPr id="879" name="Shape 480"/>
        <xdr:cNvSpPr/>
      </xdr:nvSpPr>
      <xdr:spPr>
        <a:xfrm>
          <a:off x="6035040" y="5105520"/>
          <a:ext cx="82800" cy="6354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405000</xdr:colOff>
      <xdr:row>38</xdr:row>
      <xdr:rowOff>40680</xdr:rowOff>
    </xdr:to>
    <xdr:grpSp>
      <xdr:nvGrpSpPr>
        <xdr:cNvPr id="880" name="Shape 2"/>
        <xdr:cNvGrpSpPr/>
      </xdr:nvGrpSpPr>
      <xdr:grpSpPr>
        <a:xfrm>
          <a:off x="6092280" y="5553000"/>
          <a:ext cx="573840" cy="354960"/>
          <a:chOff x="6092280" y="5553000"/>
          <a:chExt cx="573840" cy="354960"/>
        </a:xfrm>
      </xdr:grpSpPr>
      <xdr:cxnSp>
        <xdr:nvCxnSpPr>
          <xdr:cNvPr id="881" name="Shape 498"/>
          <xdr:cNvCxnSpPr/>
        </xdr:nvCxnSpPr>
        <xdr:spPr>
          <a:xfrm>
            <a:off x="6092280" y="5553000"/>
            <a:ext cx="574200" cy="35532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414360</xdr:colOff>
      <xdr:row>34</xdr:row>
      <xdr:rowOff>30960</xdr:rowOff>
    </xdr:to>
    <xdr:grpSp>
      <xdr:nvGrpSpPr>
        <xdr:cNvPr id="882" name="Shape 2"/>
        <xdr:cNvGrpSpPr/>
      </xdr:nvGrpSpPr>
      <xdr:grpSpPr>
        <a:xfrm>
          <a:off x="6101640" y="4914720"/>
          <a:ext cx="573840" cy="374040"/>
          <a:chOff x="6101640" y="4914720"/>
          <a:chExt cx="573840" cy="374040"/>
        </a:xfrm>
      </xdr:grpSpPr>
      <xdr:cxnSp>
        <xdr:nvCxnSpPr>
          <xdr:cNvPr id="883" name="Shape 499"/>
          <xdr:cNvCxnSpPr/>
        </xdr:nvCxnSpPr>
        <xdr:spPr>
          <a:xfrm flipV="1">
            <a:off x="6101640" y="4914720"/>
            <a:ext cx="574200" cy="37440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237600</xdr:colOff>
      <xdr:row>36</xdr:row>
      <xdr:rowOff>16200</xdr:rowOff>
    </xdr:to>
    <xdr:sp>
      <xdr:nvSpPr>
        <xdr:cNvPr id="884" name="Shape 500"/>
        <xdr:cNvSpPr/>
      </xdr:nvSpPr>
      <xdr:spPr>
        <a:xfrm>
          <a:off x="5266080" y="5257800"/>
          <a:ext cx="606600" cy="3211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402480</xdr:colOff>
      <xdr:row>34</xdr:row>
      <xdr:rowOff>145080</xdr:rowOff>
    </xdr:to>
    <xdr:grpSp>
      <xdr:nvGrpSpPr>
        <xdr:cNvPr id="885" name="Shape 2"/>
        <xdr:cNvGrpSpPr/>
      </xdr:nvGrpSpPr>
      <xdr:grpSpPr>
        <a:xfrm>
          <a:off x="5920560" y="5400360"/>
          <a:ext cx="117000" cy="2520"/>
          <a:chOff x="5920560" y="5400360"/>
          <a:chExt cx="117000" cy="2520"/>
        </a:xfrm>
      </xdr:grpSpPr>
      <xdr:cxnSp>
        <xdr:nvCxnSpPr>
          <xdr:cNvPr id="886" name="Shape 483"/>
          <xdr:cNvCxnSpPr/>
        </xdr:nvCxnSpPr>
        <xdr:spPr>
          <a:xfrm flipH="1">
            <a:off x="5920560" y="5400360"/>
            <a:ext cx="117360" cy="288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214200</xdr:colOff>
      <xdr:row>34</xdr:row>
      <xdr:rowOff>135720</xdr:rowOff>
    </xdr:to>
    <xdr:grpSp>
      <xdr:nvGrpSpPr>
        <xdr:cNvPr id="887" name="Shape 2"/>
        <xdr:cNvGrpSpPr/>
      </xdr:nvGrpSpPr>
      <xdr:grpSpPr>
        <a:xfrm>
          <a:off x="4468320" y="5391000"/>
          <a:ext cx="754920" cy="2520"/>
          <a:chOff x="4468320" y="5391000"/>
          <a:chExt cx="754920" cy="2520"/>
        </a:xfrm>
      </xdr:grpSpPr>
      <xdr:cxnSp>
        <xdr:nvCxnSpPr>
          <xdr:cNvPr id="888" name="Shape 484"/>
          <xdr:cNvCxnSpPr/>
        </xdr:nvCxnSpPr>
        <xdr:spPr>
          <a:xfrm flipH="1">
            <a:off x="4468320" y="5391000"/>
            <a:ext cx="755280" cy="288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88560</xdr:rowOff>
    </xdr:from>
    <xdr:to>
      <xdr:col>7</xdr:col>
      <xdr:colOff>101880</xdr:colOff>
      <xdr:row>35</xdr:row>
      <xdr:rowOff>57240</xdr:rowOff>
    </xdr:to>
    <xdr:sp>
      <xdr:nvSpPr>
        <xdr:cNvPr id="889" name="Shape 485"/>
        <xdr:cNvSpPr/>
      </xdr:nvSpPr>
      <xdr:spPr>
        <a:xfrm rot="16200000">
          <a:off x="4382640" y="5365440"/>
          <a:ext cx="120960" cy="82800"/>
        </a:xfrm>
        <a:custGeom>
          <a:avLst/>
          <a:gdLst>
            <a:gd name="textAreaLeft" fmla="*/ 0 w 120960"/>
            <a:gd name="textAreaRight" fmla="*/ 123840 w 120960"/>
            <a:gd name="textAreaTop" fmla="*/ 0 h 82800"/>
            <a:gd name="textAreaBottom" fmla="*/ 85680 h 8280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664200</xdr:colOff>
      <xdr:row>35</xdr:row>
      <xdr:rowOff>92520</xdr:rowOff>
    </xdr:to>
    <xdr:sp>
      <xdr:nvSpPr>
        <xdr:cNvPr id="890" name="Shape 501"/>
        <xdr:cNvSpPr/>
      </xdr:nvSpPr>
      <xdr:spPr>
        <a:xfrm>
          <a:off x="6480360" y="5324400"/>
          <a:ext cx="4449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113760</xdr:colOff>
      <xdr:row>36</xdr:row>
      <xdr:rowOff>25560</xdr:rowOff>
    </xdr:to>
    <xdr:sp>
      <xdr:nvSpPr>
        <xdr:cNvPr id="891" name="Shape 502"/>
        <xdr:cNvSpPr/>
      </xdr:nvSpPr>
      <xdr:spPr>
        <a:xfrm>
          <a:off x="5247000" y="5257800"/>
          <a:ext cx="501840" cy="330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597240</xdr:colOff>
      <xdr:row>39</xdr:row>
      <xdr:rowOff>149400</xdr:rowOff>
    </xdr:to>
    <xdr:sp>
      <xdr:nvSpPr>
        <xdr:cNvPr id="892" name="Shape 503"/>
        <xdr:cNvSpPr/>
      </xdr:nvSpPr>
      <xdr:spPr>
        <a:xfrm>
          <a:off x="3756600" y="5105520"/>
          <a:ext cx="597240" cy="10638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501840</xdr:colOff>
      <xdr:row>36</xdr:row>
      <xdr:rowOff>44640</xdr:rowOff>
    </xdr:to>
    <xdr:sp>
      <xdr:nvSpPr>
        <xdr:cNvPr id="893" name="Shape 504"/>
        <xdr:cNvSpPr/>
      </xdr:nvSpPr>
      <xdr:spPr>
        <a:xfrm>
          <a:off x="3823200" y="5191200"/>
          <a:ext cx="435240" cy="41616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259560</xdr:colOff>
      <xdr:row>35</xdr:row>
      <xdr:rowOff>97560</xdr:rowOff>
    </xdr:to>
    <xdr:grpSp>
      <xdr:nvGrpSpPr>
        <xdr:cNvPr id="894" name="Shape 2"/>
        <xdr:cNvGrpSpPr/>
      </xdr:nvGrpSpPr>
      <xdr:grpSpPr>
        <a:xfrm>
          <a:off x="3908880" y="5333760"/>
          <a:ext cx="107280" cy="173880"/>
          <a:chOff x="3908880" y="5333760"/>
          <a:chExt cx="107280" cy="173880"/>
        </a:xfrm>
      </xdr:grpSpPr>
      <xdr:cxnSp>
        <xdr:nvCxnSpPr>
          <xdr:cNvPr id="895" name="Shape 505"/>
          <xdr:cNvCxnSpPr/>
        </xdr:nvCxnSpPr>
        <xdr:spPr>
          <a:xfrm flipH="1" flipV="1">
            <a:off x="3908880" y="5333760"/>
            <a:ext cx="107640" cy="17424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460080</xdr:colOff>
      <xdr:row>34</xdr:row>
      <xdr:rowOff>104760</xdr:rowOff>
    </xdr:from>
    <xdr:to>
      <xdr:col>5</xdr:col>
      <xdr:colOff>609480</xdr:colOff>
      <xdr:row>35</xdr:row>
      <xdr:rowOff>35280</xdr:rowOff>
    </xdr:to>
    <xdr:sp>
      <xdr:nvSpPr>
        <xdr:cNvPr id="896" name="Shape 506"/>
        <xdr:cNvSpPr/>
      </xdr:nvSpPr>
      <xdr:spPr>
        <a:xfrm rot="5400000">
          <a:off x="3623760" y="5329080"/>
          <a:ext cx="82800" cy="149400"/>
        </a:xfrm>
        <a:custGeom>
          <a:avLst/>
          <a:gdLst>
            <a:gd name="textAreaLeft" fmla="*/ 0 w 82800"/>
            <a:gd name="textAreaRight" fmla="*/ 85680 w 82800"/>
            <a:gd name="textAreaTop" fmla="*/ 0 h 149400"/>
            <a:gd name="textAreaBottom" fmla="*/ 152280 h 14940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88560</xdr:rowOff>
    </xdr:from>
    <xdr:to>
      <xdr:col>4</xdr:col>
      <xdr:colOff>387720</xdr:colOff>
      <xdr:row>35</xdr:row>
      <xdr:rowOff>57240</xdr:rowOff>
    </xdr:to>
    <xdr:sp>
      <xdr:nvSpPr>
        <xdr:cNvPr id="897" name="Shape 485"/>
        <xdr:cNvSpPr/>
      </xdr:nvSpPr>
      <xdr:spPr>
        <a:xfrm rot="16200000">
          <a:off x="2790360" y="5365440"/>
          <a:ext cx="120960" cy="82800"/>
        </a:xfrm>
        <a:custGeom>
          <a:avLst/>
          <a:gdLst>
            <a:gd name="textAreaLeft" fmla="*/ 0 w 120960"/>
            <a:gd name="textAreaRight" fmla="*/ 123840 w 120960"/>
            <a:gd name="textAreaTop" fmla="*/ 0 h 82800"/>
            <a:gd name="textAreaBottom" fmla="*/ 85680 h 8280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424080</xdr:colOff>
      <xdr:row>34</xdr:row>
      <xdr:rowOff>135720</xdr:rowOff>
    </xdr:to>
    <xdr:grpSp>
      <xdr:nvGrpSpPr>
        <xdr:cNvPr id="898" name="Shape 2"/>
        <xdr:cNvGrpSpPr/>
      </xdr:nvGrpSpPr>
      <xdr:grpSpPr>
        <a:xfrm>
          <a:off x="2923560" y="5391000"/>
          <a:ext cx="631080" cy="2520"/>
          <a:chOff x="2923560" y="5391000"/>
          <a:chExt cx="631080" cy="2520"/>
        </a:xfrm>
      </xdr:grpSpPr>
      <xdr:cxnSp>
        <xdr:nvCxnSpPr>
          <xdr:cNvPr id="899" name="Shape 507"/>
          <xdr:cNvCxnSpPr/>
        </xdr:nvCxnSpPr>
        <xdr:spPr>
          <a:xfrm>
            <a:off x="2923560" y="5391000"/>
            <a:ext cx="631440" cy="288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30960</xdr:colOff>
      <xdr:row>32</xdr:row>
      <xdr:rowOff>54360</xdr:rowOff>
    </xdr:to>
    <xdr:sp>
      <xdr:nvSpPr>
        <xdr:cNvPr id="900" name="Shape 508"/>
        <xdr:cNvSpPr/>
      </xdr:nvSpPr>
      <xdr:spPr>
        <a:xfrm>
          <a:off x="3463920" y="4829040"/>
          <a:ext cx="94968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402480</xdr:colOff>
      <xdr:row>45</xdr:row>
      <xdr:rowOff>25560</xdr:rowOff>
    </xdr:to>
    <xdr:sp>
      <xdr:nvSpPr>
        <xdr:cNvPr id="901" name="Shape 509"/>
        <xdr:cNvSpPr/>
      </xdr:nvSpPr>
      <xdr:spPr>
        <a:xfrm>
          <a:off x="3330720" y="6781680"/>
          <a:ext cx="145440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387720</xdr:colOff>
      <xdr:row>38</xdr:row>
      <xdr:rowOff>149760</xdr:rowOff>
    </xdr:to>
    <xdr:sp>
      <xdr:nvSpPr>
        <xdr:cNvPr id="902" name="Shape 510"/>
        <xdr:cNvSpPr/>
      </xdr:nvSpPr>
      <xdr:spPr>
        <a:xfrm>
          <a:off x="3918600" y="5800680"/>
          <a:ext cx="225720" cy="21636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345240</xdr:colOff>
      <xdr:row>38</xdr:row>
      <xdr:rowOff>30960</xdr:rowOff>
    </xdr:to>
    <xdr:grpSp>
      <xdr:nvGrpSpPr>
        <xdr:cNvPr id="903" name="Shape 2"/>
        <xdr:cNvGrpSpPr/>
      </xdr:nvGrpSpPr>
      <xdr:grpSpPr>
        <a:xfrm>
          <a:off x="3966120" y="5895720"/>
          <a:ext cx="135720" cy="2520"/>
          <a:chOff x="3966120" y="5895720"/>
          <a:chExt cx="135720" cy="2520"/>
        </a:xfrm>
      </xdr:grpSpPr>
      <xdr:cxnSp>
        <xdr:nvCxnSpPr>
          <xdr:cNvPr id="904" name="Shape 511"/>
          <xdr:cNvCxnSpPr/>
        </xdr:nvCxnSpPr>
        <xdr:spPr>
          <a:xfrm>
            <a:off x="3966120" y="5895720"/>
            <a:ext cx="136080" cy="288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75240</xdr:colOff>
      <xdr:row>38</xdr:row>
      <xdr:rowOff>149760</xdr:rowOff>
    </xdr:to>
    <xdr:sp>
      <xdr:nvSpPr>
        <xdr:cNvPr id="905" name="Shape 512"/>
        <xdr:cNvSpPr/>
      </xdr:nvSpPr>
      <xdr:spPr>
        <a:xfrm>
          <a:off x="4849200" y="5800680"/>
          <a:ext cx="235080" cy="21636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23760</xdr:colOff>
      <xdr:row>38</xdr:row>
      <xdr:rowOff>30960</xdr:rowOff>
    </xdr:to>
    <xdr:grpSp>
      <xdr:nvGrpSpPr>
        <xdr:cNvPr id="906" name="Shape 2"/>
        <xdr:cNvGrpSpPr/>
      </xdr:nvGrpSpPr>
      <xdr:grpSpPr>
        <a:xfrm>
          <a:off x="4887360" y="5895720"/>
          <a:ext cx="145440" cy="2520"/>
          <a:chOff x="4887360" y="5895720"/>
          <a:chExt cx="145440" cy="2520"/>
        </a:xfrm>
      </xdr:grpSpPr>
      <xdr:cxnSp>
        <xdr:nvCxnSpPr>
          <xdr:cNvPr id="907" name="Shape 513"/>
          <xdr:cNvCxnSpPr/>
        </xdr:nvCxnSpPr>
        <xdr:spPr>
          <a:xfrm>
            <a:off x="4887360" y="5895720"/>
            <a:ext cx="145800" cy="288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378000</xdr:colOff>
      <xdr:row>38</xdr:row>
      <xdr:rowOff>130680</xdr:rowOff>
    </xdr:to>
    <xdr:sp>
      <xdr:nvSpPr>
        <xdr:cNvPr id="908" name="Shape 514"/>
        <xdr:cNvSpPr/>
      </xdr:nvSpPr>
      <xdr:spPr>
        <a:xfrm>
          <a:off x="4506480" y="5819760"/>
          <a:ext cx="254160" cy="178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380880</xdr:colOff>
      <xdr:row>39</xdr:row>
      <xdr:rowOff>6480</xdr:rowOff>
    </xdr:to>
    <xdr:sp>
      <xdr:nvSpPr>
        <xdr:cNvPr id="909" name="Shape 515"/>
        <xdr:cNvSpPr/>
      </xdr:nvSpPr>
      <xdr:spPr>
        <a:xfrm>
          <a:off x="2933280" y="5838840"/>
          <a:ext cx="57816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116640</xdr:colOff>
      <xdr:row>38</xdr:row>
      <xdr:rowOff>130680</xdr:rowOff>
    </xdr:to>
    <xdr:sp>
      <xdr:nvSpPr>
        <xdr:cNvPr id="910" name="Shape 516"/>
        <xdr:cNvSpPr/>
      </xdr:nvSpPr>
      <xdr:spPr>
        <a:xfrm>
          <a:off x="5142240" y="5829480"/>
          <a:ext cx="1235520" cy="168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573840</xdr:colOff>
      <xdr:row>13</xdr:row>
      <xdr:rowOff>59400</xdr:rowOff>
    </xdr:to>
    <xdr:grpSp>
      <xdr:nvGrpSpPr>
        <xdr:cNvPr id="911" name="Shape 2"/>
        <xdr:cNvGrpSpPr/>
      </xdr:nvGrpSpPr>
      <xdr:grpSpPr>
        <a:xfrm>
          <a:off x="5711040" y="2114280"/>
          <a:ext cx="497880" cy="2520"/>
          <a:chOff x="5711040" y="2114280"/>
          <a:chExt cx="497880" cy="2520"/>
        </a:xfrm>
      </xdr:grpSpPr>
      <xdr:cxnSp>
        <xdr:nvCxnSpPr>
          <xdr:cNvPr id="912" name="Shape 517"/>
          <xdr:cNvCxnSpPr/>
        </xdr:nvCxnSpPr>
        <xdr:spPr>
          <a:xfrm flipH="1">
            <a:off x="5711040" y="2114280"/>
            <a:ext cx="498240" cy="288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231120</xdr:colOff>
      <xdr:row>35</xdr:row>
      <xdr:rowOff>78840</xdr:rowOff>
    </xdr:to>
    <xdr:grpSp>
      <xdr:nvGrpSpPr>
        <xdr:cNvPr id="913" name="Shape 2"/>
        <xdr:cNvGrpSpPr/>
      </xdr:nvGrpSpPr>
      <xdr:grpSpPr>
        <a:xfrm>
          <a:off x="10616040" y="1123920"/>
          <a:ext cx="2520" cy="4365000"/>
          <a:chOff x="10616040" y="1123920"/>
          <a:chExt cx="2520" cy="4365000"/>
        </a:xfrm>
      </xdr:grpSpPr>
      <xdr:cxnSp>
        <xdr:nvCxnSpPr>
          <xdr:cNvPr id="914" name="Shape 518"/>
          <xdr:cNvCxnSpPr/>
        </xdr:nvCxnSpPr>
        <xdr:spPr>
          <a:xfrm flipV="1">
            <a:off x="10616040" y="1123920"/>
            <a:ext cx="2880" cy="4365360"/>
          </a:xfrm>
          <a:prstGeom prst="straightConnector1">
            <a:avLst/>
          </a:prstGeom>
          <a:ln w="9525">
            <a:solidFill>
              <a:srgbClr val="000000"/>
            </a:solidFill>
            <a:miter/>
          </a:ln>
        </xdr:spPr>
      </xdr:cxnSp>
    </xdr:grpSp>
    <xdr:clientData/>
  </xdr:twoCellAnchor>
  <xdr:twoCellAnchor editAs="oneCell">
    <xdr:from>
      <xdr:col>9</xdr:col>
      <xdr:colOff>236880</xdr:colOff>
      <xdr:row>6</xdr:row>
      <xdr:rowOff>114120</xdr:rowOff>
    </xdr:from>
    <xdr:to>
      <xdr:col>16</xdr:col>
      <xdr:colOff>760680</xdr:colOff>
      <xdr:row>6</xdr:row>
      <xdr:rowOff>116640</xdr:rowOff>
    </xdr:to>
    <xdr:grpSp>
      <xdr:nvGrpSpPr>
        <xdr:cNvPr id="915" name="Shape 2"/>
        <xdr:cNvGrpSpPr/>
      </xdr:nvGrpSpPr>
      <xdr:grpSpPr>
        <a:xfrm>
          <a:off x="5871960" y="1104840"/>
          <a:ext cx="4509000" cy="2520"/>
          <a:chOff x="5871960" y="1104840"/>
          <a:chExt cx="4509000" cy="2520"/>
        </a:xfrm>
      </xdr:grpSpPr>
      <xdr:cxnSp>
        <xdr:nvCxnSpPr>
          <xdr:cNvPr id="916" name="Shape 519"/>
          <xdr:cNvCxnSpPr/>
        </xdr:nvCxnSpPr>
        <xdr:spPr>
          <a:xfrm flipH="1">
            <a:off x="5871960" y="1104840"/>
            <a:ext cx="4509360" cy="288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249840</xdr:colOff>
      <xdr:row>35</xdr:row>
      <xdr:rowOff>59400</xdr:rowOff>
    </xdr:to>
    <xdr:grpSp>
      <xdr:nvGrpSpPr>
        <xdr:cNvPr id="917" name="Shape 2"/>
        <xdr:cNvGrpSpPr/>
      </xdr:nvGrpSpPr>
      <xdr:grpSpPr>
        <a:xfrm>
          <a:off x="10387440" y="5466960"/>
          <a:ext cx="249840" cy="2520"/>
          <a:chOff x="10387440" y="5466960"/>
          <a:chExt cx="249840" cy="2520"/>
        </a:xfrm>
      </xdr:grpSpPr>
      <xdr:cxnSp>
        <xdr:nvCxnSpPr>
          <xdr:cNvPr id="918" name="Shape 156"/>
          <xdr:cNvCxnSpPr/>
        </xdr:nvCxnSpPr>
        <xdr:spPr>
          <a:xfrm>
            <a:off x="10387440" y="5466960"/>
            <a:ext cx="250200" cy="2880"/>
          </a:xfrm>
          <a:prstGeom prst="straightConnector1">
            <a:avLst/>
          </a:prstGeom>
          <a:ln w="9525">
            <a:solidFill>
              <a:srgbClr val="000000"/>
            </a:solidFill>
            <a:miter/>
            <a:tailEnd len="med" type="triangle" w="med"/>
          </a:ln>
        </xdr:spPr>
      </xdr:cxnSp>
    </xdr:grpSp>
    <xdr:clientData/>
  </xdr:twoCellAnchor>
  <xdr:twoCellAnchor editAs="oneCell">
    <xdr:from>
      <xdr:col>9</xdr:col>
      <xdr:colOff>-360</xdr:colOff>
      <xdr:row>6</xdr:row>
      <xdr:rowOff>123480</xdr:rowOff>
    </xdr:from>
    <xdr:to>
      <xdr:col>9</xdr:col>
      <xdr:colOff>240480</xdr:colOff>
      <xdr:row>7</xdr:row>
      <xdr:rowOff>88200</xdr:rowOff>
    </xdr:to>
    <xdr:grpSp>
      <xdr:nvGrpSpPr>
        <xdr:cNvPr id="919" name="Shape 2"/>
        <xdr:cNvGrpSpPr/>
      </xdr:nvGrpSpPr>
      <xdr:grpSpPr>
        <a:xfrm>
          <a:off x="5634720" y="1114200"/>
          <a:ext cx="240840" cy="117000"/>
          <a:chOff x="5634720" y="1114200"/>
          <a:chExt cx="240840" cy="117000"/>
        </a:xfrm>
      </xdr:grpSpPr>
      <xdr:cxnSp>
        <xdr:nvCxnSpPr>
          <xdr:cNvPr id="920" name="Shape 520"/>
          <xdr:cNvCxnSpPr/>
        </xdr:nvCxnSpPr>
        <xdr:spPr>
          <a:xfrm flipH="1">
            <a:off x="5634720" y="1114200"/>
            <a:ext cx="241200" cy="11736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316800</xdr:colOff>
      <xdr:row>29</xdr:row>
      <xdr:rowOff>6840</xdr:rowOff>
    </xdr:to>
    <xdr:sp>
      <xdr:nvSpPr>
        <xdr:cNvPr id="921" name="Shape 521"/>
        <xdr:cNvSpPr/>
      </xdr:nvSpPr>
      <xdr:spPr>
        <a:xfrm>
          <a:off x="3273480" y="4314960"/>
          <a:ext cx="1425960" cy="187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198000</xdr:colOff>
      <xdr:row>22</xdr:row>
      <xdr:rowOff>59400</xdr:rowOff>
    </xdr:to>
    <xdr:grpSp>
      <xdr:nvGrpSpPr>
        <xdr:cNvPr id="922" name="Shape 2"/>
        <xdr:cNvGrpSpPr/>
      </xdr:nvGrpSpPr>
      <xdr:grpSpPr>
        <a:xfrm>
          <a:off x="9497160" y="3485880"/>
          <a:ext cx="1088280" cy="2520"/>
          <a:chOff x="9497160" y="3485880"/>
          <a:chExt cx="1088280" cy="2520"/>
        </a:xfrm>
      </xdr:grpSpPr>
      <xdr:cxnSp>
        <xdr:nvCxnSpPr>
          <xdr:cNvPr id="923" name="Shape 522"/>
          <xdr:cNvCxnSpPr/>
        </xdr:nvCxnSpPr>
        <xdr:spPr>
          <a:xfrm>
            <a:off x="9497160" y="3485880"/>
            <a:ext cx="1088640" cy="288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549720</xdr:colOff>
      <xdr:row>34</xdr:row>
      <xdr:rowOff>35280</xdr:rowOff>
    </xdr:to>
    <xdr:sp>
      <xdr:nvSpPr>
        <xdr:cNvPr id="924" name="Shape 510"/>
        <xdr:cNvSpPr/>
      </xdr:nvSpPr>
      <xdr:spPr>
        <a:xfrm>
          <a:off x="9195120" y="5076720"/>
          <a:ext cx="225720" cy="21636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530640</xdr:colOff>
      <xdr:row>32</xdr:row>
      <xdr:rowOff>45000</xdr:rowOff>
    </xdr:to>
    <xdr:sp>
      <xdr:nvSpPr>
        <xdr:cNvPr id="925" name="Shape 523"/>
        <xdr:cNvSpPr/>
      </xdr:nvSpPr>
      <xdr:spPr>
        <a:xfrm>
          <a:off x="9176040" y="4772160"/>
          <a:ext cx="225720" cy="22572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497520</xdr:colOff>
      <xdr:row>31</xdr:row>
      <xdr:rowOff>59400</xdr:rowOff>
    </xdr:to>
    <xdr:grpSp>
      <xdr:nvGrpSpPr>
        <xdr:cNvPr id="926" name="Shape 2"/>
        <xdr:cNvGrpSpPr/>
      </xdr:nvGrpSpPr>
      <xdr:grpSpPr>
        <a:xfrm>
          <a:off x="9232920" y="4857480"/>
          <a:ext cx="135720" cy="2520"/>
          <a:chOff x="9232920" y="4857480"/>
          <a:chExt cx="135720" cy="2520"/>
        </a:xfrm>
      </xdr:grpSpPr>
      <xdr:cxnSp>
        <xdr:nvCxnSpPr>
          <xdr:cNvPr id="927" name="Shape 511"/>
          <xdr:cNvCxnSpPr/>
        </xdr:nvCxnSpPr>
        <xdr:spPr>
          <a:xfrm>
            <a:off x="9232920" y="4857480"/>
            <a:ext cx="136080" cy="288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497520</xdr:colOff>
      <xdr:row>33</xdr:row>
      <xdr:rowOff>59400</xdr:rowOff>
    </xdr:to>
    <xdr:grpSp>
      <xdr:nvGrpSpPr>
        <xdr:cNvPr id="928" name="Shape 2"/>
        <xdr:cNvGrpSpPr/>
      </xdr:nvGrpSpPr>
      <xdr:grpSpPr>
        <a:xfrm>
          <a:off x="9232920" y="5162400"/>
          <a:ext cx="135720" cy="2520"/>
          <a:chOff x="9232920" y="5162400"/>
          <a:chExt cx="135720" cy="2520"/>
        </a:xfrm>
      </xdr:grpSpPr>
      <xdr:cxnSp>
        <xdr:nvCxnSpPr>
          <xdr:cNvPr id="929" name="Shape 524"/>
          <xdr:cNvCxnSpPr/>
        </xdr:nvCxnSpPr>
        <xdr:spPr>
          <a:xfrm>
            <a:off x="9232920" y="5162400"/>
            <a:ext cx="136080" cy="288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573840</xdr:colOff>
      <xdr:row>9</xdr:row>
      <xdr:rowOff>59400</xdr:rowOff>
    </xdr:to>
    <xdr:grpSp>
      <xdr:nvGrpSpPr>
        <xdr:cNvPr id="930" name="Shape 2"/>
        <xdr:cNvGrpSpPr/>
      </xdr:nvGrpSpPr>
      <xdr:grpSpPr>
        <a:xfrm>
          <a:off x="5635080" y="1504800"/>
          <a:ext cx="573840" cy="2520"/>
          <a:chOff x="5635080" y="1504800"/>
          <a:chExt cx="573840" cy="2520"/>
        </a:xfrm>
      </xdr:grpSpPr>
      <xdr:cxnSp>
        <xdr:nvCxnSpPr>
          <xdr:cNvPr id="931" name="Shape 525"/>
          <xdr:cNvCxnSpPr/>
        </xdr:nvCxnSpPr>
        <xdr:spPr>
          <a:xfrm>
            <a:off x="5635080" y="1504800"/>
            <a:ext cx="574200" cy="288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false" showOutlineSymbols="true" defaultGridColor="true" view="normal" topLeftCell="E1" colorId="64" zoomScale="120" zoomScaleNormal="120" zoomScalePageLayoutView="100" workbookViewId="0">
      <selection pane="topLeft" activeCell="F21" activeCellId="0" sqref="F2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t="s">
        <v>13</v>
      </c>
      <c r="G7" s="19"/>
      <c r="H7" s="19"/>
      <c r="I7" s="25"/>
      <c r="J7" s="19"/>
      <c r="K7" s="19" t="s">
        <v>14</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15</v>
      </c>
      <c r="C9" s="19"/>
      <c r="D9" s="19"/>
      <c r="E9" s="19"/>
      <c r="F9" s="27" t="s">
        <v>16</v>
      </c>
      <c r="G9" s="19"/>
      <c r="H9" s="19"/>
      <c r="I9" s="19"/>
      <c r="J9" s="19"/>
      <c r="K9" s="19"/>
      <c r="L9" s="19"/>
      <c r="M9" s="19"/>
      <c r="N9" s="19"/>
      <c r="O9" s="19"/>
      <c r="P9" s="19"/>
    </row>
    <row r="10" customFormat="false" ht="15.75" hidden="false" customHeight="true" outlineLevel="0" collapsed="false">
      <c r="A10" s="19"/>
      <c r="B10" s="19"/>
      <c r="C10" s="19"/>
      <c r="D10" s="21" t="s">
        <v>17</v>
      </c>
      <c r="E10" s="19"/>
      <c r="F10" s="24" t="s">
        <v>18</v>
      </c>
      <c r="G10" s="19"/>
      <c r="H10" s="19"/>
      <c r="I10" s="25" t="s">
        <v>0</v>
      </c>
      <c r="J10" s="19"/>
      <c r="K10" s="27" t="s">
        <v>19</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20</v>
      </c>
      <c r="C13" s="19"/>
      <c r="D13" s="21" t="s">
        <v>21</v>
      </c>
      <c r="E13" s="19"/>
      <c r="F13" s="29" t="s">
        <v>22</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23</v>
      </c>
      <c r="C16" s="19"/>
      <c r="D16" s="21" t="s">
        <v>24</v>
      </c>
      <c r="E16" s="19"/>
      <c r="F16" s="31" t="s">
        <v>25</v>
      </c>
      <c r="G16" s="19"/>
      <c r="H16" s="19"/>
      <c r="I16" s="19"/>
      <c r="J16" s="19"/>
      <c r="K16" s="19"/>
      <c r="L16" s="19"/>
      <c r="M16" s="19"/>
      <c r="N16" s="19"/>
      <c r="O16" s="19"/>
      <c r="P16" s="19"/>
    </row>
    <row r="17" customFormat="false" ht="15.75" hidden="false" customHeight="true" outlineLevel="0" collapsed="false">
      <c r="A17" s="19"/>
      <c r="B17" s="19"/>
      <c r="C17" s="19"/>
      <c r="D17" s="21" t="s">
        <v>26</v>
      </c>
      <c r="E17" s="19"/>
      <c r="F17" s="32" t="s">
        <v>27</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28</v>
      </c>
      <c r="C20" s="19"/>
      <c r="D20" s="21" t="s">
        <v>29</v>
      </c>
      <c r="E20" s="19"/>
      <c r="F20" s="24" t="s">
        <v>30</v>
      </c>
      <c r="G20" s="19"/>
      <c r="H20" s="19"/>
      <c r="I20" s="25" t="s">
        <v>0</v>
      </c>
      <c r="J20" s="19"/>
      <c r="K20" s="19" t="s">
        <v>31</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32</v>
      </c>
      <c r="E23" s="19"/>
      <c r="F23" s="33" t="s">
        <v>33</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34</v>
      </c>
      <c r="J24" s="19"/>
      <c r="K24" s="19"/>
      <c r="L24" s="19"/>
      <c r="M24" s="19"/>
      <c r="N24" s="19"/>
      <c r="O24" s="19"/>
      <c r="P24" s="19"/>
    </row>
    <row r="25" customFormat="false" ht="12.75" hidden="false" customHeight="true" outlineLevel="0" collapsed="false">
      <c r="A25" s="19"/>
      <c r="B25" s="23" t="s">
        <v>35</v>
      </c>
      <c r="C25" s="19"/>
      <c r="D25" s="19"/>
      <c r="E25" s="19"/>
      <c r="F25" s="35"/>
      <c r="G25" s="19"/>
      <c r="H25" s="19"/>
      <c r="I25" s="36" t="s">
        <v>36</v>
      </c>
      <c r="J25" s="19"/>
      <c r="K25" s="19"/>
      <c r="L25" s="19"/>
      <c r="M25" s="19"/>
      <c r="N25" s="19"/>
      <c r="O25" s="19"/>
      <c r="P25" s="19"/>
    </row>
    <row r="26" customFormat="false" ht="15.75" hidden="false" customHeight="true" outlineLevel="0" collapsed="false">
      <c r="A26" s="19"/>
      <c r="B26" s="19"/>
      <c r="C26" s="19"/>
      <c r="D26" s="21" t="s">
        <v>37</v>
      </c>
      <c r="E26" s="19"/>
      <c r="F26" s="24" t="s">
        <v>38</v>
      </c>
      <c r="G26" s="19"/>
      <c r="H26" s="19"/>
      <c r="I26" s="19"/>
      <c r="J26" s="37"/>
      <c r="K26" s="23" t="s">
        <v>39</v>
      </c>
      <c r="L26" s="19"/>
      <c r="M26" s="19"/>
      <c r="N26" s="19"/>
      <c r="O26" s="19"/>
      <c r="P26" s="19"/>
    </row>
    <row r="27" customFormat="false" ht="12" hidden="false" customHeight="true" outlineLevel="0" collapsed="false">
      <c r="A27" s="19"/>
      <c r="B27" s="19"/>
      <c r="C27" s="19"/>
      <c r="D27" s="21" t="s">
        <v>40</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41</v>
      </c>
      <c r="B1" s="10"/>
      <c r="C1" s="10"/>
      <c r="D1" s="10"/>
      <c r="E1" s="10"/>
      <c r="F1" s="10"/>
      <c r="G1" s="10"/>
      <c r="H1" s="10"/>
      <c r="I1" s="10"/>
      <c r="J1" s="40" t="str">
        <f aca="false">'Title Page'!F3</f>
        <v>Coconut Cubesat</v>
      </c>
      <c r="K1" s="10"/>
      <c r="L1" s="10"/>
      <c r="M1" s="41" t="str">
        <f aca="false">'Title Page'!F23</f>
        <v>2025 June 08</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42</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43</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44</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45</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46</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47</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48</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49</v>
      </c>
      <c r="D15" s="42" t="s">
        <v>50</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51</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52</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53</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54</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55</v>
      </c>
      <c r="H20" s="19"/>
      <c r="I20" s="38" t="s">
        <v>56</v>
      </c>
      <c r="J20" s="48"/>
      <c r="K20" s="38" t="s">
        <v>57</v>
      </c>
      <c r="L20" s="49"/>
      <c r="M20" s="42" t="s">
        <v>58</v>
      </c>
      <c r="N20" s="42"/>
      <c r="O20" s="42"/>
      <c r="P20" s="42"/>
      <c r="Q20" s="42"/>
      <c r="R20" s="42"/>
      <c r="S20" s="42"/>
    </row>
    <row r="21" customFormat="false" ht="12" hidden="false" customHeight="true" outlineLevel="0" collapsed="false">
      <c r="A21" s="42"/>
      <c r="B21" s="42"/>
      <c r="C21" s="42" t="s">
        <v>59</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60</v>
      </c>
      <c r="E23" s="42" t="s">
        <v>61</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62</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63</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64</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65</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66</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67</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68</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69</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70</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71</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72</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73</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74</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75</v>
      </c>
      <c r="E38" s="42" t="s">
        <v>76</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77</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78</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75</v>
      </c>
      <c r="E42" s="42" t="s">
        <v>79</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80</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75</v>
      </c>
      <c r="E45" s="42" t="s">
        <v>81</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82</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75</v>
      </c>
      <c r="E48" s="55" t="s">
        <v>83</v>
      </c>
      <c r="F48" s="56" t="s">
        <v>75</v>
      </c>
      <c r="G48" s="42" t="s">
        <v>84</v>
      </c>
      <c r="H48" s="42"/>
      <c r="I48" s="42"/>
      <c r="J48" s="42"/>
      <c r="K48" s="42"/>
      <c r="L48" s="42"/>
      <c r="M48" s="42"/>
      <c r="N48" s="42"/>
      <c r="O48" s="42"/>
      <c r="P48" s="42"/>
      <c r="Q48" s="42"/>
      <c r="R48" s="42"/>
      <c r="S48" s="42"/>
    </row>
    <row r="49" customFormat="false" ht="12" hidden="false" customHeight="true" outlineLevel="0" collapsed="false">
      <c r="A49" s="42"/>
      <c r="B49" s="42"/>
      <c r="C49" s="42"/>
      <c r="D49" s="42" t="s">
        <v>85</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75</v>
      </c>
      <c r="E51" s="42" t="s">
        <v>86</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87</v>
      </c>
      <c r="E53" s="55" t="s">
        <v>83</v>
      </c>
      <c r="F53" s="59" t="s">
        <v>87</v>
      </c>
      <c r="G53" s="43" t="s">
        <v>83</v>
      </c>
      <c r="H53" s="60" t="s">
        <v>87</v>
      </c>
      <c r="I53" s="38" t="s">
        <v>88</v>
      </c>
      <c r="Q53" s="42"/>
      <c r="R53" s="42"/>
      <c r="S53" s="42"/>
    </row>
    <row r="54" customFormat="false" ht="12" hidden="false" customHeight="true" outlineLevel="0" collapsed="false">
      <c r="A54" s="42"/>
      <c r="B54" s="42"/>
      <c r="C54" s="42"/>
      <c r="D54" s="42" t="s">
        <v>89</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90</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91</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92</v>
      </c>
      <c r="E58" s="62"/>
      <c r="F58" s="38" t="s">
        <v>93</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75</v>
      </c>
      <c r="E60" s="42" t="s">
        <v>94</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95</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96</v>
      </c>
      <c r="E63" s="42" t="s">
        <v>97</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98</v>
      </c>
      <c r="E65" s="66"/>
      <c r="F65" s="42" t="s">
        <v>99</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100</v>
      </c>
      <c r="D70" s="68"/>
      <c r="E70" s="42" t="s">
        <v>101</v>
      </c>
      <c r="F70" s="42"/>
      <c r="G70" s="42"/>
      <c r="H70" s="42"/>
      <c r="I70" s="42"/>
      <c r="J70" s="42"/>
      <c r="K70" s="42"/>
      <c r="L70" s="42"/>
      <c r="M70" s="42"/>
      <c r="N70" s="42"/>
      <c r="O70" s="42"/>
      <c r="P70" s="42"/>
      <c r="Q70" s="42"/>
      <c r="R70" s="42"/>
    </row>
    <row r="71" customFormat="false" ht="12" hidden="false" customHeight="true" outlineLevel="0" collapsed="false">
      <c r="A71" s="42"/>
      <c r="B71" s="42"/>
      <c r="C71" s="42" t="s">
        <v>102</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103</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104</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105</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106</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107</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108</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109</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110</v>
      </c>
      <c r="D83" s="69"/>
      <c r="E83" s="68"/>
      <c r="F83" s="42" t="s">
        <v>111</v>
      </c>
      <c r="G83" s="42"/>
      <c r="H83" s="42"/>
      <c r="I83" s="42"/>
      <c r="J83" s="42"/>
      <c r="K83" s="42"/>
      <c r="L83" s="42"/>
      <c r="M83" s="42"/>
      <c r="N83" s="42"/>
      <c r="O83" s="42"/>
      <c r="P83" s="42"/>
      <c r="Q83" s="42"/>
      <c r="R83" s="42"/>
    </row>
    <row r="84" customFormat="false" ht="12" hidden="false" customHeight="true" outlineLevel="0" collapsed="false">
      <c r="A84" s="42"/>
      <c r="B84" s="42"/>
      <c r="C84" s="42" t="s">
        <v>112</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113</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114</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115</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116</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117</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118</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119</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120</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121</v>
      </c>
      <c r="D98" s="70"/>
      <c r="E98" s="70"/>
      <c r="F98" s="68"/>
      <c r="G98" s="42" t="s">
        <v>122</v>
      </c>
      <c r="H98" s="42"/>
      <c r="I98" s="42"/>
      <c r="J98" s="42"/>
      <c r="K98" s="42"/>
      <c r="L98" s="42"/>
      <c r="M98" s="42"/>
      <c r="N98" s="42"/>
      <c r="O98" s="42"/>
      <c r="P98" s="42"/>
      <c r="Q98" s="42"/>
      <c r="R98" s="42"/>
    </row>
    <row r="99" customFormat="false" ht="12" hidden="false" customHeight="true" outlineLevel="0" collapsed="false">
      <c r="A99" s="42"/>
      <c r="B99" s="42"/>
      <c r="C99" s="42" t="s">
        <v>123</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124</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125</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126</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127</v>
      </c>
      <c r="C107" s="45"/>
      <c r="D107" s="42" t="s">
        <v>128</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129</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130</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131</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132</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133</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134</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135</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136</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137</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138</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139</v>
      </c>
      <c r="C129" s="45"/>
      <c r="D129" s="42" t="s">
        <v>140</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141</v>
      </c>
      <c r="C131" s="72" t="s">
        <v>142</v>
      </c>
      <c r="D131" s="73" t="s">
        <v>143</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144</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145</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146</v>
      </c>
      <c r="C134" s="78" t="n">
        <v>38395</v>
      </c>
      <c r="D134" s="81" t="s">
        <v>147</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148</v>
      </c>
      <c r="C135" s="78" t="n">
        <v>38404</v>
      </c>
      <c r="D135" s="81" t="s">
        <v>149</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150</v>
      </c>
      <c r="C136" s="78" t="n">
        <v>38409</v>
      </c>
      <c r="D136" s="81" t="s">
        <v>151</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152</v>
      </c>
      <c r="C137" s="78" t="n">
        <v>38410</v>
      </c>
      <c r="D137" s="81" t="s">
        <v>153</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154</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155</v>
      </c>
      <c r="C139" s="78" t="n">
        <v>38487</v>
      </c>
      <c r="D139" s="81" t="s">
        <v>156</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157</v>
      </c>
      <c r="C140" s="78" t="n">
        <v>38526</v>
      </c>
      <c r="D140" s="81" t="s">
        <v>158</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159</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160</v>
      </c>
      <c r="C142" s="78" t="n">
        <v>38623</v>
      </c>
      <c r="D142" s="81" t="s">
        <v>161</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162</v>
      </c>
      <c r="C143" s="78" t="n">
        <v>38629</v>
      </c>
      <c r="D143" s="81" t="s">
        <v>163</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164</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165</v>
      </c>
      <c r="D145" s="81" t="s">
        <v>166</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167</v>
      </c>
      <c r="C146" s="78" t="n">
        <v>39513</v>
      </c>
      <c r="D146" s="81" t="s">
        <v>168</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169</v>
      </c>
      <c r="C147" s="78" t="n">
        <v>39525</v>
      </c>
      <c r="D147" s="81" t="s">
        <v>170</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171</v>
      </c>
      <c r="C148" s="78" t="n">
        <v>39799</v>
      </c>
      <c r="D148" s="81" t="s">
        <v>172</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173</v>
      </c>
      <c r="C149" s="78" t="n">
        <v>41709</v>
      </c>
      <c r="D149" s="81" t="s">
        <v>174</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175</v>
      </c>
      <c r="C150" s="84" t="n">
        <v>42663</v>
      </c>
      <c r="D150" s="81" t="s">
        <v>176</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177</v>
      </c>
      <c r="B1" s="8"/>
      <c r="C1" s="8"/>
      <c r="D1" s="8"/>
      <c r="E1" s="86" t="str">
        <f aca="false">'Title Page'!F3</f>
        <v>Coconut Cubesat</v>
      </c>
      <c r="F1" s="8"/>
      <c r="G1" s="87" t="s">
        <v>0</v>
      </c>
      <c r="H1" s="8"/>
      <c r="I1" s="88" t="str">
        <f aca="false">'Title Page'!F23</f>
        <v>2025 June 08</v>
      </c>
      <c r="J1" s="87"/>
      <c r="K1" s="87" t="str">
        <f aca="false">'Title Page'!G1</f>
        <v> Version: 2.5.5</v>
      </c>
      <c r="L1" s="87"/>
      <c r="M1" s="8"/>
      <c r="N1" s="8"/>
      <c r="O1" s="8"/>
      <c r="P1" s="8"/>
      <c r="Q1" s="10"/>
      <c r="R1" s="10"/>
      <c r="S1" s="10"/>
      <c r="T1" s="10"/>
      <c r="U1" s="89"/>
    </row>
    <row r="2" customFormat="false" ht="12.75" hidden="false" customHeight="true" outlineLevel="0" collapsed="false">
      <c r="A2" s="90" t="s">
        <v>178</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179</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180</v>
      </c>
      <c r="B4" s="93" t="s">
        <v>181</v>
      </c>
      <c r="C4" s="94" t="n">
        <v>1</v>
      </c>
      <c r="D4" s="95" t="str">
        <f aca="false" t="array" ref="D4:D4">INDEX(C6:DC9,C4,1)</f>
        <v>LEO</v>
      </c>
      <c r="E4" s="91"/>
      <c r="F4" s="93" t="s">
        <v>182</v>
      </c>
      <c r="G4" s="96" t="n">
        <f aca="false" t="array" ref="G4:G4">INDEX(D6:D9,C4,1)</f>
        <v>1223.085472</v>
      </c>
      <c r="H4" s="97" t="s">
        <v>183</v>
      </c>
      <c r="I4" s="19" t="s">
        <v>184</v>
      </c>
      <c r="J4" s="21"/>
      <c r="K4" s="21"/>
      <c r="L4" s="21"/>
      <c r="M4" s="19"/>
      <c r="N4" s="19"/>
      <c r="O4" s="19"/>
      <c r="P4" s="19"/>
      <c r="Q4" s="19"/>
      <c r="R4" s="19"/>
      <c r="S4" s="19"/>
      <c r="T4" s="19"/>
      <c r="U4" s="19"/>
    </row>
    <row r="5" customFormat="false" ht="12.75" hidden="false" customHeight="true" outlineLevel="0" collapsed="false">
      <c r="A5" s="21"/>
      <c r="B5" s="98" t="s">
        <v>185</v>
      </c>
      <c r="C5" s="98" t="s">
        <v>21</v>
      </c>
      <c r="D5" s="98" t="s">
        <v>186</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187</v>
      </c>
      <c r="D6" s="101" t="n">
        <f aca="false">B36</f>
        <v>1223.085472</v>
      </c>
      <c r="E6" s="19" t="s">
        <v>183</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188</v>
      </c>
      <c r="D7" s="101" t="n">
        <f aca="false">K63</f>
        <v>41126.7531875527</v>
      </c>
      <c r="E7" s="19" t="s">
        <v>183</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189</v>
      </c>
      <c r="D8" s="101" t="n">
        <f aca="false">B104</f>
        <v>36488.15589</v>
      </c>
      <c r="E8" s="19" t="s">
        <v>183</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190</v>
      </c>
      <c r="D9" s="102" t="n">
        <f aca="false">D125</f>
        <v>315000000</v>
      </c>
      <c r="E9" s="19" t="s">
        <v>183</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191</v>
      </c>
      <c r="E11" s="19" t="s">
        <v>192</v>
      </c>
      <c r="F11" s="19"/>
      <c r="G11" s="19"/>
      <c r="H11" s="19"/>
      <c r="I11" s="57" t="s">
        <v>193</v>
      </c>
      <c r="J11" s="104" t="s">
        <v>194</v>
      </c>
      <c r="K11" s="19"/>
      <c r="L11" s="21" t="s">
        <v>195</v>
      </c>
      <c r="M11" s="19"/>
      <c r="N11" s="19"/>
      <c r="O11" s="19"/>
      <c r="P11" s="19"/>
      <c r="Q11" s="19"/>
      <c r="R11" s="19"/>
      <c r="S11" s="19"/>
      <c r="T11" s="19"/>
      <c r="U11" s="19"/>
    </row>
    <row r="12" customFormat="false" ht="12" hidden="false" customHeight="true" outlineLevel="0" collapsed="false">
      <c r="A12" s="19" t="s">
        <v>196</v>
      </c>
      <c r="B12" s="52" t="s">
        <v>197</v>
      </c>
      <c r="C12" s="19"/>
      <c r="D12" s="105" t="s">
        <v>198</v>
      </c>
      <c r="E12" s="19" t="s">
        <v>199</v>
      </c>
      <c r="F12" s="19"/>
      <c r="G12" s="19"/>
      <c r="H12" s="19"/>
      <c r="I12" s="106" t="s">
        <v>200</v>
      </c>
      <c r="J12" s="104" t="s">
        <v>201</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202</v>
      </c>
      <c r="B14" s="23" t="s">
        <v>203</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204</v>
      </c>
      <c r="B15" s="113"/>
      <c r="C15" s="113"/>
      <c r="Q15" s="19"/>
      <c r="R15" s="19"/>
      <c r="S15" s="19"/>
      <c r="T15" s="19"/>
      <c r="U15" s="19"/>
    </row>
    <row r="16" customFormat="false" ht="12" hidden="false" customHeight="true" outlineLevel="0" collapsed="false">
      <c r="A16" s="21" t="s">
        <v>205</v>
      </c>
      <c r="B16" s="21"/>
      <c r="C16" s="21"/>
      <c r="Q16" s="19"/>
      <c r="R16" s="19"/>
      <c r="S16" s="19"/>
      <c r="T16" s="19"/>
      <c r="U16" s="19"/>
    </row>
    <row r="17" customFormat="false" ht="12" hidden="false" customHeight="true" outlineLevel="0" collapsed="false">
      <c r="A17" s="114" t="s">
        <v>206</v>
      </c>
      <c r="B17" s="115" t="s">
        <v>207</v>
      </c>
      <c r="C17" s="116" t="s">
        <v>208</v>
      </c>
      <c r="Q17" s="19"/>
      <c r="R17" s="19"/>
      <c r="S17" s="19"/>
      <c r="T17" s="19"/>
      <c r="U17" s="19"/>
    </row>
    <row r="18" customFormat="false" ht="12" hidden="false" customHeight="true" outlineLevel="0" collapsed="false">
      <c r="A18" s="27" t="s">
        <v>209</v>
      </c>
      <c r="B18" s="117" t="n">
        <v>6378.136</v>
      </c>
      <c r="C18" s="27" t="s">
        <v>183</v>
      </c>
      <c r="Q18" s="19"/>
      <c r="R18" s="19"/>
      <c r="S18" s="19"/>
      <c r="T18" s="19"/>
      <c r="U18" s="19"/>
    </row>
    <row r="19" customFormat="false" ht="12" hidden="false" customHeight="true" outlineLevel="0" collapsed="false">
      <c r="A19" s="27" t="s">
        <v>210</v>
      </c>
      <c r="B19" s="118" t="n">
        <v>422</v>
      </c>
      <c r="C19" s="27" t="s">
        <v>183</v>
      </c>
      <c r="Q19" s="19"/>
      <c r="R19" s="19"/>
      <c r="S19" s="19"/>
      <c r="T19" s="19"/>
      <c r="U19" s="19"/>
    </row>
    <row r="20" customFormat="false" ht="12" hidden="false" customHeight="true" outlineLevel="0" collapsed="false">
      <c r="A20" s="27" t="s">
        <v>211</v>
      </c>
      <c r="B20" s="119" t="n">
        <v>418</v>
      </c>
      <c r="C20" s="27" t="s">
        <v>183</v>
      </c>
      <c r="Q20" s="19"/>
      <c r="R20" s="19"/>
      <c r="S20" s="19"/>
      <c r="T20" s="19"/>
      <c r="U20" s="19"/>
    </row>
    <row r="21" customFormat="false" ht="12" hidden="false" customHeight="true" outlineLevel="0" collapsed="false">
      <c r="A21" s="19" t="s">
        <v>212</v>
      </c>
      <c r="B21" s="120" t="n">
        <f aca="false">(B19+B20+2*B18)/2</f>
        <v>6798.136</v>
      </c>
      <c r="C21" s="19" t="s">
        <v>183</v>
      </c>
      <c r="Q21" s="19"/>
      <c r="R21" s="19"/>
      <c r="S21" s="19"/>
      <c r="T21" s="19"/>
      <c r="U21" s="19"/>
    </row>
    <row r="22" customFormat="false" ht="12" hidden="false" customHeight="true" outlineLevel="0" collapsed="false">
      <c r="A22" s="19" t="s">
        <v>213</v>
      </c>
      <c r="B22" s="121" t="n">
        <f aca="false">((B19+B18)-(B20+B18))/((B19+B18)+(B20+B18))</f>
        <v>0.000294198292</v>
      </c>
      <c r="C22" s="19"/>
      <c r="Q22" s="19"/>
      <c r="R22" s="19"/>
      <c r="S22" s="19"/>
      <c r="T22" s="19"/>
      <c r="U22" s="19"/>
    </row>
    <row r="23" customFormat="false" ht="12" hidden="false" customHeight="true" outlineLevel="0" collapsed="false">
      <c r="A23" s="19" t="s">
        <v>214</v>
      </c>
      <c r="B23" s="122" t="n">
        <v>51.607</v>
      </c>
      <c r="C23" s="19" t="s">
        <v>215</v>
      </c>
      <c r="Q23" s="19"/>
      <c r="R23" s="19"/>
      <c r="S23" s="19"/>
      <c r="T23" s="19"/>
      <c r="U23" s="19"/>
    </row>
    <row r="24" customFormat="false" ht="12" hidden="false" customHeight="true" outlineLevel="0" collapsed="false">
      <c r="A24" s="19" t="s">
        <v>216</v>
      </c>
      <c r="B24" s="123" t="n">
        <v>285.1</v>
      </c>
      <c r="C24" s="19" t="s">
        <v>215</v>
      </c>
      <c r="Q24" s="19"/>
      <c r="R24" s="19"/>
      <c r="S24" s="19"/>
      <c r="T24" s="19"/>
      <c r="U24" s="19"/>
    </row>
    <row r="25" customFormat="false" ht="12" hidden="false" customHeight="true" outlineLevel="0" collapsed="false">
      <c r="A25" s="19" t="s">
        <v>217</v>
      </c>
      <c r="B25" s="124" t="n">
        <v>150.17</v>
      </c>
      <c r="C25" s="19" t="s">
        <v>215</v>
      </c>
      <c r="Q25" s="19"/>
      <c r="R25" s="19"/>
      <c r="S25" s="19"/>
      <c r="T25" s="19"/>
      <c r="U25" s="19"/>
    </row>
    <row r="26" customFormat="false" ht="12" hidden="false" customHeight="true" outlineLevel="0" collapsed="false">
      <c r="A26" s="19" t="s">
        <v>218</v>
      </c>
      <c r="B26" s="125" t="n">
        <v>0</v>
      </c>
      <c r="C26" s="19" t="s">
        <v>215</v>
      </c>
      <c r="Q26" s="19"/>
      <c r="R26" s="19"/>
      <c r="S26" s="19"/>
      <c r="T26" s="19"/>
      <c r="U26" s="19"/>
    </row>
    <row r="27" customFormat="false" ht="12" hidden="false" customHeight="true" outlineLevel="0" collapsed="false">
      <c r="A27" s="19" t="s">
        <v>219</v>
      </c>
      <c r="B27" s="126" t="n">
        <f aca="false">84.4892*((B21/B18)^1.5)</f>
        <v>92.97053021</v>
      </c>
      <c r="C27" s="19" t="s">
        <v>220</v>
      </c>
      <c r="Q27" s="19"/>
      <c r="R27" s="19"/>
      <c r="S27" s="19"/>
      <c r="T27" s="19"/>
      <c r="U27" s="19"/>
    </row>
    <row r="28" customFormat="false" ht="12" hidden="false" customHeight="true" outlineLevel="0" collapsed="false">
      <c r="A28" s="19" t="s">
        <v>221</v>
      </c>
      <c r="B28" s="127" t="n">
        <f aca="false">19.919482*((B18/B21)^3.5)*(1-1.25*((SIN(B23/57.29578))^2))/((1-B22^2)^2)</f>
        <v>3.698937085</v>
      </c>
      <c r="C28" s="19" t="s">
        <v>222</v>
      </c>
      <c r="Q28" s="19"/>
      <c r="R28" s="19"/>
      <c r="S28" s="19"/>
      <c r="T28" s="19"/>
      <c r="U28" s="19"/>
    </row>
    <row r="29" customFormat="false" ht="12" hidden="false" customHeight="true" outlineLevel="0" collapsed="false">
      <c r="A29" s="19" t="s">
        <v>223</v>
      </c>
      <c r="B29" s="127" t="n">
        <f aca="false">(-9.9597408/(1-B22^2)^2)*((B18/B21)^3.5)*COS(B23/57.29578)</f>
        <v>-4.948115684</v>
      </c>
      <c r="C29" s="19" t="s">
        <v>222</v>
      </c>
      <c r="Q29" s="19"/>
      <c r="R29" s="19"/>
      <c r="S29" s="19"/>
      <c r="T29" s="19"/>
      <c r="U29" s="19"/>
    </row>
    <row r="30" customFormat="false" ht="12" hidden="false" customHeight="true" outlineLevel="0" collapsed="false">
      <c r="A30" s="19" t="s">
        <v>224</v>
      </c>
      <c r="B30" s="105" t="s">
        <v>225</v>
      </c>
      <c r="C30" s="19" t="s">
        <v>222</v>
      </c>
      <c r="Q30" s="19"/>
      <c r="R30" s="19"/>
      <c r="S30" s="19"/>
      <c r="T30" s="19"/>
      <c r="U30" s="19"/>
    </row>
    <row r="31" customFormat="false" ht="12" hidden="false" customHeight="true" outlineLevel="0" collapsed="false">
      <c r="A31" s="19" t="s">
        <v>226</v>
      </c>
      <c r="B31" s="128" t="n">
        <f aca="false">(B19+B20)/2</f>
        <v>420</v>
      </c>
      <c r="C31" s="19" t="s">
        <v>183</v>
      </c>
      <c r="Q31" s="19"/>
      <c r="R31" s="19"/>
      <c r="S31" s="19"/>
      <c r="T31" s="19"/>
      <c r="U31" s="19"/>
    </row>
    <row r="32" customFormat="false" ht="12" hidden="false" customHeight="true" outlineLevel="0" collapsed="false">
      <c r="A32" s="19" t="s">
        <v>227</v>
      </c>
      <c r="B32" s="117" t="n">
        <f aca="false">B31+B18</f>
        <v>6798.136</v>
      </c>
      <c r="C32" s="19" t="s">
        <v>183</v>
      </c>
      <c r="Q32" s="19"/>
      <c r="R32" s="19"/>
      <c r="S32" s="19"/>
      <c r="T32" s="19"/>
      <c r="U32" s="19"/>
    </row>
    <row r="33" customFormat="false" ht="12" hidden="false" customHeight="true" outlineLevel="0" collapsed="false">
      <c r="A33" s="19" t="s">
        <v>228</v>
      </c>
      <c r="B33" s="128" t="n">
        <f aca="false">57.2958*ACOS((0.98561)/(-9.95974/(((1-B22^2)^2))*(B18/B21)^3.5))</f>
        <v>97.10611117</v>
      </c>
      <c r="C33" s="19" t="s">
        <v>229</v>
      </c>
      <c r="Q33" s="19"/>
      <c r="R33" s="19"/>
      <c r="S33" s="19"/>
      <c r="T33" s="19"/>
      <c r="U33" s="19"/>
    </row>
    <row r="34" customFormat="false" ht="12" hidden="false" customHeight="true" outlineLevel="0" collapsed="false">
      <c r="A34" s="19" t="s">
        <v>230</v>
      </c>
      <c r="B34" s="129" t="n">
        <v>15</v>
      </c>
      <c r="C34" s="19" t="s">
        <v>229</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231</v>
      </c>
      <c r="B36" s="130" t="n">
        <f aca="false">B18*((((B32^2/B18^2)-(COS(B34/57.2958))^2)^0.5)-SIN(B34/57.2958))</f>
        <v>1223.085472</v>
      </c>
      <c r="C36" s="19" t="s">
        <v>232</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233</v>
      </c>
      <c r="B38" s="112"/>
      <c r="C38" s="134" t="s">
        <v>60</v>
      </c>
      <c r="D38" s="112"/>
      <c r="E38" s="112"/>
      <c r="F38" s="112"/>
      <c r="G38" s="135"/>
      <c r="H38" s="112"/>
      <c r="I38" s="112"/>
      <c r="J38" s="112" t="s">
        <v>234</v>
      </c>
      <c r="K38" s="112"/>
      <c r="L38" s="112"/>
      <c r="M38" s="112"/>
      <c r="N38" s="112"/>
      <c r="O38" s="112"/>
      <c r="P38" s="112"/>
      <c r="Q38" s="112"/>
      <c r="R38" s="112"/>
      <c r="S38" s="112"/>
      <c r="T38" s="112"/>
      <c r="U38" s="112"/>
    </row>
    <row r="39" customFormat="false" ht="15" hidden="false" customHeight="true" outlineLevel="0" collapsed="false">
      <c r="A39" s="113" t="s">
        <v>235</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236</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206</v>
      </c>
      <c r="B41" s="115" t="s">
        <v>207</v>
      </c>
      <c r="C41" s="115" t="s">
        <v>208</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209</v>
      </c>
      <c r="B42" s="117" t="n">
        <v>6378.137</v>
      </c>
      <c r="C42" s="27" t="s">
        <v>183</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237</v>
      </c>
      <c r="B43" s="142" t="n">
        <v>35786</v>
      </c>
      <c r="C43" s="27" t="s">
        <v>183</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238</v>
      </c>
      <c r="B44" s="143" t="n">
        <v>500</v>
      </c>
      <c r="C44" s="27" t="s">
        <v>183</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212</v>
      </c>
      <c r="B45" s="117" t="n">
        <f aca="false">(B43+B44+2*B42)/2</f>
        <v>24521.137</v>
      </c>
      <c r="C45" s="19" t="s">
        <v>183</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213</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214</v>
      </c>
      <c r="B47" s="144" t="n">
        <v>7</v>
      </c>
      <c r="C47" s="19" t="s">
        <v>239</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216</v>
      </c>
      <c r="B48" s="145" t="n">
        <v>180</v>
      </c>
      <c r="C48" s="19" t="s">
        <v>239</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217</v>
      </c>
      <c r="B49" s="125" t="n">
        <v>0</v>
      </c>
      <c r="C49" s="19" t="s">
        <v>239</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218</v>
      </c>
      <c r="B50" s="128" t="n">
        <f aca="false" t="array" ref="B50:B50">INDEX(C65:C78,B63,1)</f>
        <v>179.99999</v>
      </c>
      <c r="C50" s="19" t="s">
        <v>239</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219</v>
      </c>
      <c r="B51" s="128" t="n">
        <f aca="false">84.4892*((B45/B42)^1.5)</f>
        <v>636.9001312</v>
      </c>
      <c r="C51" s="19" t="s">
        <v>220</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221</v>
      </c>
      <c r="B52" s="127" t="n">
        <f aca="false">19.919482*((B42/B45)^3.5)*(1-1.25*((SIN(B47/57.29578))^2))/((1-B46^2)^2)</f>
        <v>0.7542410847</v>
      </c>
      <c r="C52" s="19" t="s">
        <v>222</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223</v>
      </c>
      <c r="B53" s="127" t="n">
        <f aca="false">(-9.9597408/(1-B46^2)^2)*((B42/B45)^3.5)*COS(B47/57.29578)</f>
        <v>-0.381390108</v>
      </c>
      <c r="C53" s="19" t="s">
        <v>222</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188</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240</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241</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242</v>
      </c>
      <c r="B63" s="151" t="n">
        <v>13</v>
      </c>
      <c r="C63" s="152" t="n">
        <f aca="false" t="array" ref="C63:C63">INDEX(D65:D78,B63,1)</f>
        <v>35786</v>
      </c>
      <c r="D63" s="153" t="s">
        <v>243</v>
      </c>
      <c r="E63" s="19"/>
      <c r="F63" s="93" t="s">
        <v>244</v>
      </c>
      <c r="G63" s="154" t="n">
        <v>5</v>
      </c>
      <c r="H63" s="19" t="s">
        <v>215</v>
      </c>
      <c r="I63" s="155" t="s">
        <v>245</v>
      </c>
      <c r="J63" s="19"/>
      <c r="K63" s="156" t="n">
        <f aca="false">B90*(((((C63+B90)^2/B90^2)-(COS(G63/57.2958))^2)^0.5)-SIN(G63/57.2958))</f>
        <v>41126.7531875527</v>
      </c>
      <c r="L63" s="157" t="s">
        <v>183</v>
      </c>
      <c r="M63" s="19"/>
      <c r="N63" s="19"/>
      <c r="O63" s="19"/>
      <c r="P63" s="19"/>
      <c r="Q63" s="19"/>
      <c r="R63" s="19"/>
      <c r="S63" s="19"/>
      <c r="T63" s="19"/>
      <c r="U63" s="19"/>
    </row>
    <row r="64" customFormat="false" ht="12" hidden="false" customHeight="true" outlineLevel="0" collapsed="false">
      <c r="A64" s="158" t="s">
        <v>246</v>
      </c>
      <c r="B64" s="158" t="s">
        <v>247</v>
      </c>
      <c r="C64" s="158" t="s">
        <v>248</v>
      </c>
      <c r="D64" s="158" t="s">
        <v>249</v>
      </c>
      <c r="E64" s="159" t="s">
        <v>250</v>
      </c>
      <c r="F64" s="19"/>
      <c r="G64" s="159" t="s">
        <v>251</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252</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252</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252</v>
      </c>
      <c r="G67" s="165" t="n">
        <v>35</v>
      </c>
      <c r="H67" s="166"/>
      <c r="I67" s="167" t="s">
        <v>253</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252</v>
      </c>
      <c r="G68" s="165" t="n">
        <v>35</v>
      </c>
      <c r="H68" s="169" t="s">
        <v>254</v>
      </c>
      <c r="I68" s="8"/>
      <c r="J68" s="170"/>
      <c r="K68" s="171" t="n">
        <f aca="false">2*((ASIN(B42/(B42+C63)))*57.2958)</f>
        <v>17.400982397943</v>
      </c>
      <c r="L68" s="172" t="s">
        <v>215</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252</v>
      </c>
      <c r="G69" s="165" t="n">
        <v>35</v>
      </c>
      <c r="H69" s="173" t="s">
        <v>255</v>
      </c>
      <c r="I69" s="8"/>
      <c r="J69" s="170"/>
      <c r="K69" s="174" t="n">
        <v>10</v>
      </c>
      <c r="L69" s="175" t="s">
        <v>215</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252</v>
      </c>
      <c r="G70" s="165" t="n">
        <v>35</v>
      </c>
      <c r="H70" s="173" t="s">
        <v>256</v>
      </c>
      <c r="I70" s="8"/>
      <c r="J70" s="170"/>
      <c r="K70" s="171" t="n">
        <f aca="false">K68/2+K69</f>
        <v>18.7004911989715</v>
      </c>
      <c r="L70" s="172" t="s">
        <v>215</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252</v>
      </c>
      <c r="G71" s="165" t="n">
        <v>35</v>
      </c>
      <c r="H71" s="173" t="s">
        <v>257</v>
      </c>
      <c r="I71" s="8"/>
      <c r="J71" s="170"/>
      <c r="K71" s="176" t="n">
        <f aca="false">'Antenna Pointing Losses'!K63</f>
        <v>0</v>
      </c>
      <c r="L71" s="172" t="s">
        <v>258</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252</v>
      </c>
      <c r="G72" s="165" t="n">
        <v>35</v>
      </c>
      <c r="H72" s="173" t="s">
        <v>259</v>
      </c>
      <c r="I72" s="8"/>
      <c r="J72" s="170"/>
      <c r="K72" s="176" t="n">
        <f aca="false">'Antenna Pointing Losses'!K85</f>
        <v>0</v>
      </c>
      <c r="L72" s="172" t="s">
        <v>258</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252</v>
      </c>
      <c r="G73" s="165" t="n">
        <v>35</v>
      </c>
      <c r="H73" s="173" t="s">
        <v>260</v>
      </c>
      <c r="I73" s="8"/>
      <c r="J73" s="170"/>
      <c r="K73" s="171" t="n">
        <f aca="false">'Downlink Budget'!B30</f>
        <v>16.0501636364117</v>
      </c>
      <c r="L73" s="172" t="s">
        <v>258</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252</v>
      </c>
      <c r="G74" s="165" t="n">
        <v>40</v>
      </c>
      <c r="H74" s="9" t="s">
        <v>261</v>
      </c>
      <c r="I74" s="10"/>
      <c r="J74" s="89"/>
      <c r="K74" s="177" t="n">
        <f aca="false">'Uplink Budget'!B30</f>
        <v>7.87627142215548</v>
      </c>
      <c r="L74" s="178" t="s">
        <v>258</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252</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252</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252</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252</v>
      </c>
      <c r="G78" s="185" t="n">
        <v>160</v>
      </c>
      <c r="H78" s="184"/>
      <c r="I78" s="186" t="s">
        <v>262</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263</v>
      </c>
      <c r="B85" s="112"/>
      <c r="C85" s="112"/>
      <c r="D85" s="134" t="s">
        <v>60</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264</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206</v>
      </c>
      <c r="B88" s="189" t="s">
        <v>207</v>
      </c>
      <c r="C88" s="188" t="s">
        <v>208</v>
      </c>
      <c r="D88" s="188" t="s">
        <v>265</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266</v>
      </c>
      <c r="B89" s="191" t="n">
        <f aca="false">B91-B90</f>
        <v>35786.0187</v>
      </c>
      <c r="C89" s="190" t="s">
        <v>183</v>
      </c>
      <c r="D89" s="190" t="s">
        <v>267</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268</v>
      </c>
      <c r="B90" s="191" t="n">
        <v>6378.137</v>
      </c>
      <c r="C90" s="190" t="s">
        <v>183</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269</v>
      </c>
      <c r="B91" s="191" t="n">
        <f aca="false">(398600000000000*(86400*(365.25/366.25)/(2*PI()))^2)^(1/3)/1000</f>
        <v>42164.1557</v>
      </c>
      <c r="C91" s="190" t="s">
        <v>183</v>
      </c>
      <c r="D91" s="19" t="s">
        <v>270</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271</v>
      </c>
      <c r="B92" s="191" t="n">
        <v>37410</v>
      </c>
      <c r="C92" s="19" t="s">
        <v>183</v>
      </c>
      <c r="D92" s="19" t="s">
        <v>272</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273</v>
      </c>
      <c r="B93" s="191" t="n">
        <v>35786.019</v>
      </c>
      <c r="C93" s="190" t="s">
        <v>183</v>
      </c>
      <c r="D93" s="19" t="s">
        <v>274</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275</v>
      </c>
      <c r="B94" s="191" t="n">
        <v>41678.957</v>
      </c>
      <c r="C94" s="190" t="s">
        <v>183</v>
      </c>
      <c r="D94" s="19" t="s">
        <v>276</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277</v>
      </c>
      <c r="P95" s="19"/>
      <c r="Q95" s="19"/>
      <c r="R95" s="19"/>
      <c r="S95" s="19"/>
      <c r="T95" s="19"/>
      <c r="U95" s="19"/>
    </row>
    <row r="96" customFormat="false" ht="12.75" hidden="false" customHeight="true" outlineLevel="0" collapsed="false">
      <c r="A96" s="19" t="s">
        <v>0</v>
      </c>
      <c r="B96" s="195" t="s">
        <v>278</v>
      </c>
      <c r="C96" s="19"/>
      <c r="D96" s="19"/>
      <c r="E96" s="19"/>
      <c r="F96" s="19"/>
      <c r="G96" s="196" t="s">
        <v>279</v>
      </c>
      <c r="H96" s="19"/>
      <c r="I96" s="19"/>
      <c r="J96" s="19"/>
      <c r="K96" s="19"/>
      <c r="L96" s="19"/>
      <c r="M96" s="195" t="s">
        <v>280</v>
      </c>
      <c r="N96" s="19"/>
      <c r="O96" s="197" t="s">
        <v>60</v>
      </c>
      <c r="P96" s="19"/>
      <c r="Q96" s="19"/>
      <c r="R96" s="19"/>
      <c r="S96" s="19"/>
      <c r="T96" s="19"/>
      <c r="U96" s="19"/>
    </row>
    <row r="97" customFormat="false" ht="12.75" hidden="false" customHeight="true" outlineLevel="0" collapsed="false">
      <c r="A97" s="19"/>
      <c r="B97" s="194" t="s">
        <v>281</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282</v>
      </c>
      <c r="B98" s="198" t="n">
        <v>19.0622</v>
      </c>
      <c r="C98" s="19" t="s">
        <v>215</v>
      </c>
      <c r="D98" s="19" t="s">
        <v>283</v>
      </c>
      <c r="E98" s="19"/>
      <c r="F98" s="19"/>
      <c r="G98" s="19"/>
      <c r="H98" s="19"/>
      <c r="I98" s="19"/>
      <c r="J98" s="19"/>
      <c r="K98" s="19"/>
      <c r="L98" s="19"/>
      <c r="M98" s="27" t="s">
        <v>282</v>
      </c>
      <c r="N98" s="19"/>
      <c r="O98" s="198" t="n">
        <v>17.4292</v>
      </c>
      <c r="P98" s="19" t="s">
        <v>215</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284</v>
      </c>
      <c r="B100" s="198" t="n">
        <v>72.8742</v>
      </c>
      <c r="C100" s="19" t="s">
        <v>215</v>
      </c>
      <c r="D100" s="19" t="s">
        <v>285</v>
      </c>
      <c r="E100" s="19"/>
      <c r="F100" s="19"/>
      <c r="G100" s="19"/>
      <c r="H100" s="19"/>
      <c r="I100" s="19"/>
      <c r="J100" s="19"/>
      <c r="K100" s="19"/>
      <c r="L100" s="19"/>
      <c r="M100" s="27" t="s">
        <v>284</v>
      </c>
      <c r="N100" s="19"/>
      <c r="O100" s="198" t="n">
        <v>78.4658</v>
      </c>
      <c r="P100" s="19" t="s">
        <v>215</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286</v>
      </c>
      <c r="B102" s="198" t="n">
        <v>89.5</v>
      </c>
      <c r="C102" s="19" t="s">
        <v>215</v>
      </c>
      <c r="D102" s="19" t="s">
        <v>287</v>
      </c>
      <c r="E102" s="19"/>
      <c r="F102" s="19"/>
      <c r="G102" s="19"/>
      <c r="H102" s="19"/>
      <c r="I102" s="19"/>
      <c r="J102" s="19"/>
      <c r="K102" s="19"/>
      <c r="L102" s="19"/>
      <c r="M102" s="201" t="s">
        <v>288</v>
      </c>
      <c r="N102" s="19"/>
      <c r="O102" s="202" t="n">
        <f aca="false">B102</f>
        <v>89.5</v>
      </c>
      <c r="P102" s="19" t="s">
        <v>215</v>
      </c>
      <c r="Q102" s="19" t="s">
        <v>289</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290</v>
      </c>
      <c r="B104" s="203" t="n">
        <f aca="false">SQRT($B$91^2+$B$90^2-2*$B$91*$B$90*COS(B110/57.29578))</f>
        <v>36488.15589</v>
      </c>
      <c r="C104" s="19" t="s">
        <v>183</v>
      </c>
      <c r="D104" s="19" t="s">
        <v>291</v>
      </c>
      <c r="E104" s="19"/>
      <c r="F104" s="19"/>
      <c r="G104" s="19"/>
      <c r="H104" s="19"/>
      <c r="I104" s="19"/>
      <c r="J104" s="19"/>
      <c r="K104" s="19"/>
      <c r="L104" s="19"/>
      <c r="M104" s="201" t="s">
        <v>290</v>
      </c>
      <c r="N104" s="19"/>
      <c r="O104" s="203" t="n">
        <f aca="false">SQRT($B$91^2+$B$90^2-2*$B$91*$B$90*COS(O110/57.29578))</f>
        <v>36260.44878</v>
      </c>
      <c r="P104" s="19" t="s">
        <v>183</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292</v>
      </c>
      <c r="B106" s="204" t="n">
        <f aca="false">57.29578*ATAN((COS(B110/57.29578)-($B$90/$B$91))/SIN(B110/57.29578))</f>
        <v>60.66045583</v>
      </c>
      <c r="C106" s="19" t="s">
        <v>215</v>
      </c>
      <c r="D106" s="19" t="s">
        <v>293</v>
      </c>
      <c r="E106" s="19"/>
      <c r="F106" s="19"/>
      <c r="G106" s="19"/>
      <c r="H106" s="19"/>
      <c r="I106" s="19"/>
      <c r="J106" s="19"/>
      <c r="K106" s="19"/>
      <c r="L106" s="19"/>
      <c r="M106" s="27" t="s">
        <v>292</v>
      </c>
      <c r="N106" s="19"/>
      <c r="O106" s="204" t="n">
        <f aca="false">57.29578*ATAN((COS(O110/57.29578)-($B$90/$B$91))/SIN(O110/57.29578))</f>
        <v>65.92592777</v>
      </c>
      <c r="P106" s="19" t="s">
        <v>215</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294</v>
      </c>
      <c r="B108" s="204" t="n">
        <f aca="false">'GEO Azimuth Calc Data'!E19</f>
        <v>137.5635099</v>
      </c>
      <c r="C108" s="19" t="s">
        <v>215</v>
      </c>
      <c r="D108" s="19" t="s">
        <v>295</v>
      </c>
      <c r="E108" s="19"/>
      <c r="F108" s="19"/>
      <c r="G108" s="19"/>
      <c r="H108" s="19"/>
      <c r="I108" s="19"/>
      <c r="J108" s="19"/>
      <c r="K108" s="19"/>
      <c r="L108" s="19"/>
      <c r="M108" s="27" t="s">
        <v>294</v>
      </c>
      <c r="N108" s="19"/>
      <c r="O108" s="204" t="n">
        <f aca="false">'GEO Azimuth Calc Data'!E40</f>
        <v>146.9348358</v>
      </c>
      <c r="P108" s="19" t="s">
        <v>215</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296</v>
      </c>
      <c r="B110" s="206" t="n">
        <f aca="false">57.29578*ACOS(COS(B98/57.29578)*COS(B101/57.29578))</f>
        <v>25.08891183</v>
      </c>
      <c r="C110" s="19" t="s">
        <v>215</v>
      </c>
      <c r="D110" s="19" t="s">
        <v>297</v>
      </c>
      <c r="E110" s="19"/>
      <c r="F110" s="19"/>
      <c r="G110" s="19"/>
      <c r="H110" s="19"/>
      <c r="I110" s="19"/>
      <c r="J110" s="19"/>
      <c r="K110" s="19"/>
      <c r="L110" s="19"/>
      <c r="M110" s="19" t="s">
        <v>296</v>
      </c>
      <c r="N110" s="19"/>
      <c r="O110" s="206" t="n">
        <f aca="false">57.29578*ACOS(COS(O98/57.29578)*COS(O101/57.29578))</f>
        <v>20.53637112</v>
      </c>
      <c r="P110" s="19" t="s">
        <v>215</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298</v>
      </c>
      <c r="B115" s="208"/>
      <c r="C115" s="209"/>
      <c r="D115" s="209"/>
      <c r="E115" s="209"/>
      <c r="F115" s="209"/>
      <c r="G115" s="210" t="s">
        <v>60</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299</v>
      </c>
      <c r="B121" s="50" t="s">
        <v>300</v>
      </c>
      <c r="C121" s="126"/>
      <c r="D121" s="19" t="s">
        <v>301</v>
      </c>
      <c r="E121" s="126"/>
      <c r="F121" s="217" t="n">
        <v>2.1</v>
      </c>
      <c r="G121" s="187" t="s">
        <v>302</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303</v>
      </c>
      <c r="C125" s="126"/>
      <c r="D125" s="218" t="n">
        <f aca="false">F121*1.5*100000000</f>
        <v>315000000</v>
      </c>
      <c r="E125" s="219" t="s">
        <v>183</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304</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305</v>
      </c>
      <c r="E4" s="158"/>
      <c r="F4" s="158"/>
      <c r="G4" s="225" t="str">
        <f aca="false">Orbit!D4</f>
        <v>LEO</v>
      </c>
      <c r="H4" s="158"/>
      <c r="I4" s="158"/>
      <c r="J4" s="226" t="s">
        <v>306</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307</v>
      </c>
      <c r="D6" s="158"/>
      <c r="E6" s="158"/>
      <c r="F6" s="158"/>
      <c r="G6" s="229" t="n">
        <f aca="false">Orbit!G4</f>
        <v>1223.085472</v>
      </c>
      <c r="H6" s="230" t="s">
        <v>183</v>
      </c>
      <c r="I6" s="158"/>
      <c r="J6" s="158"/>
      <c r="K6" s="158"/>
      <c r="L6" s="158"/>
      <c r="M6" s="158"/>
      <c r="N6" s="158"/>
      <c r="O6" s="158"/>
      <c r="P6" s="158"/>
      <c r="Q6" s="158"/>
      <c r="R6" s="19"/>
      <c r="S6" s="19"/>
      <c r="T6" s="19"/>
      <c r="U6" s="19"/>
    </row>
    <row r="7" customFormat="false" ht="13.5" hidden="false" customHeight="true" outlineLevel="0" collapsed="false">
      <c r="A7" s="224"/>
      <c r="B7" s="210" t="s">
        <v>60</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308</v>
      </c>
      <c r="C9" s="212" t="s">
        <v>309</v>
      </c>
      <c r="D9" s="19"/>
      <c r="E9" s="212" t="s">
        <v>310</v>
      </c>
      <c r="F9" s="19"/>
      <c r="G9" s="212" t="s">
        <v>311</v>
      </c>
      <c r="H9" s="19"/>
      <c r="I9" s="19"/>
      <c r="J9" s="19"/>
      <c r="K9" s="19"/>
      <c r="L9" s="19"/>
      <c r="M9" s="19"/>
      <c r="N9" s="19"/>
      <c r="O9" s="19"/>
      <c r="P9" s="19"/>
      <c r="Q9" s="19"/>
      <c r="R9" s="19"/>
      <c r="S9" s="19"/>
      <c r="T9" s="19"/>
      <c r="U9" s="19"/>
    </row>
    <row r="10" customFormat="false" ht="12.75" hidden="false" customHeight="true" outlineLevel="0" collapsed="false">
      <c r="A10" s="231" t="s">
        <v>312</v>
      </c>
      <c r="B10" s="211" t="s">
        <v>313</v>
      </c>
      <c r="C10" s="232" t="n">
        <v>145.8</v>
      </c>
      <c r="D10" s="228" t="s">
        <v>314</v>
      </c>
      <c r="E10" s="126" t="n">
        <f aca="false">299.8/C10</f>
        <v>2.0562414266118</v>
      </c>
      <c r="F10" s="19" t="s">
        <v>315</v>
      </c>
      <c r="G10" s="213" t="n">
        <f aca="false">22+20*LOG10(($G$6*1000)/E10)</f>
        <v>137.487654061091</v>
      </c>
      <c r="H10" s="19" t="s">
        <v>258</v>
      </c>
      <c r="I10" s="19" t="s">
        <v>316</v>
      </c>
      <c r="J10" s="19"/>
      <c r="K10" s="19"/>
      <c r="L10" s="94" t="n">
        <v>2</v>
      </c>
      <c r="M10" s="233" t="n">
        <f aca="false" t="array" ref="M10:M10">INDEX(C10:C13,L10,1)</f>
        <v>437.5</v>
      </c>
      <c r="N10" s="157" t="s">
        <v>314</v>
      </c>
      <c r="O10" s="19"/>
      <c r="P10" s="19"/>
      <c r="Q10" s="19"/>
      <c r="R10" s="19"/>
      <c r="S10" s="19"/>
      <c r="T10" s="19"/>
      <c r="U10" s="19"/>
    </row>
    <row r="11" customFormat="false" ht="12" hidden="false" customHeight="true" outlineLevel="0" collapsed="false">
      <c r="A11" s="212"/>
      <c r="B11" s="211" t="s">
        <v>317</v>
      </c>
      <c r="C11" s="232" t="n">
        <v>437.5</v>
      </c>
      <c r="D11" s="228" t="s">
        <v>314</v>
      </c>
      <c r="E11" s="126" t="n">
        <f aca="false">299.8/C11</f>
        <v>0.685257142857143</v>
      </c>
      <c r="F11" s="19" t="s">
        <v>315</v>
      </c>
      <c r="G11" s="213" t="n">
        <f aca="false">22+20*LOG10(($G$6*1000)/E11)</f>
        <v>147.032064728619</v>
      </c>
      <c r="H11" s="19" t="s">
        <v>258</v>
      </c>
      <c r="I11" s="19"/>
      <c r="J11" s="19"/>
      <c r="K11" s="19"/>
      <c r="L11" s="19"/>
      <c r="M11" s="19"/>
      <c r="N11" s="19"/>
      <c r="O11" s="19"/>
      <c r="P11" s="19"/>
      <c r="Q11" s="19"/>
      <c r="R11" s="19"/>
      <c r="S11" s="19"/>
      <c r="T11" s="19"/>
      <c r="U11" s="19"/>
    </row>
    <row r="12" customFormat="false" ht="12" hidden="false" customHeight="true" outlineLevel="0" collapsed="false">
      <c r="A12" s="212"/>
      <c r="B12" s="211" t="s">
        <v>318</v>
      </c>
      <c r="C12" s="232" t="n">
        <v>1269.9</v>
      </c>
      <c r="D12" s="228" t="s">
        <v>314</v>
      </c>
      <c r="E12" s="126" t="n">
        <f aca="false">299.8/C12</f>
        <v>0.236081581226868</v>
      </c>
      <c r="F12" s="19" t="s">
        <v>315</v>
      </c>
      <c r="G12" s="213" t="n">
        <f aca="false">22+20*LOG10(($G$6*1000)/E12)</f>
        <v>156.287894045326</v>
      </c>
      <c r="H12" s="19" t="s">
        <v>258</v>
      </c>
      <c r="I12" s="19" t="s">
        <v>319</v>
      </c>
      <c r="J12" s="19"/>
      <c r="K12" s="19"/>
      <c r="L12" s="19"/>
      <c r="M12" s="234" t="n">
        <f aca="false" t="array" ref="M12:M12">INDEX(G10:G13,L10,1)</f>
        <v>147.032064728619</v>
      </c>
      <c r="N12" s="235" t="s">
        <v>258</v>
      </c>
      <c r="O12" s="19"/>
      <c r="P12" s="19"/>
      <c r="Q12" s="19"/>
      <c r="R12" s="19"/>
      <c r="S12" s="19"/>
      <c r="T12" s="19"/>
      <c r="U12" s="19"/>
    </row>
    <row r="13" customFormat="false" ht="12" hidden="false" customHeight="true" outlineLevel="0" collapsed="false">
      <c r="A13" s="215" t="s">
        <v>320</v>
      </c>
      <c r="B13" s="211" t="s">
        <v>321</v>
      </c>
      <c r="C13" s="236" t="n">
        <v>450</v>
      </c>
      <c r="D13" s="237" t="s">
        <v>314</v>
      </c>
      <c r="E13" s="126" t="n">
        <f aca="false">299.8/C13</f>
        <v>0.666222222222222</v>
      </c>
      <c r="F13" s="19" t="s">
        <v>315</v>
      </c>
      <c r="G13" s="213" t="n">
        <f aca="false">22+20*LOG10(($G$6*1000)/E13)</f>
        <v>147.276753856959</v>
      </c>
      <c r="H13" s="19" t="s">
        <v>258</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322</v>
      </c>
      <c r="B16" s="211" t="s">
        <v>313</v>
      </c>
      <c r="C16" s="232" t="n">
        <v>145.8</v>
      </c>
      <c r="D16" s="228" t="s">
        <v>314</v>
      </c>
      <c r="E16" s="126" t="n">
        <f aca="false">299.8/C16</f>
        <v>2.0562414266118</v>
      </c>
      <c r="F16" s="19" t="s">
        <v>315</v>
      </c>
      <c r="G16" s="213" t="n">
        <f aca="false">22+20*LOG10(($G$6*1000)/E16)</f>
        <v>137.487654061091</v>
      </c>
      <c r="H16" s="19" t="s">
        <v>258</v>
      </c>
      <c r="I16" s="19" t="s">
        <v>323</v>
      </c>
      <c r="J16" s="19"/>
      <c r="K16" s="19"/>
      <c r="L16" s="94" t="n">
        <v>2</v>
      </c>
      <c r="M16" s="233" t="n">
        <f aca="false" t="array" ref="M16:M16">INDEX(C16:C19,L16,1)</f>
        <v>437.45</v>
      </c>
      <c r="N16" s="157" t="s">
        <v>314</v>
      </c>
      <c r="O16" s="19"/>
      <c r="P16" s="19"/>
      <c r="Q16" s="19"/>
      <c r="R16" s="19"/>
      <c r="S16" s="19"/>
      <c r="T16" s="19"/>
      <c r="U16" s="19"/>
    </row>
    <row r="17" customFormat="false" ht="12" hidden="false" customHeight="true" outlineLevel="0" collapsed="false">
      <c r="A17" s="19"/>
      <c r="B17" s="211" t="s">
        <v>317</v>
      </c>
      <c r="C17" s="232" t="n">
        <v>437.45</v>
      </c>
      <c r="D17" s="228" t="s">
        <v>314</v>
      </c>
      <c r="E17" s="126" t="n">
        <f aca="false">299.8/C17</f>
        <v>0.685335466910504</v>
      </c>
      <c r="F17" s="19" t="s">
        <v>315</v>
      </c>
      <c r="G17" s="213" t="n">
        <f aca="false">22+20*LOG10(($G$6*1000)/E17)</f>
        <v>147.031071998789</v>
      </c>
      <c r="H17" s="19" t="s">
        <v>258</v>
      </c>
      <c r="I17" s="19"/>
      <c r="J17" s="19"/>
      <c r="K17" s="19"/>
      <c r="L17" s="19"/>
      <c r="M17" s="19"/>
      <c r="N17" s="19"/>
      <c r="O17" s="19"/>
      <c r="P17" s="19"/>
      <c r="Q17" s="19"/>
      <c r="R17" s="19"/>
      <c r="S17" s="19"/>
      <c r="T17" s="19"/>
      <c r="U17" s="19"/>
    </row>
    <row r="18" customFormat="false" ht="12" hidden="false" customHeight="true" outlineLevel="0" collapsed="false">
      <c r="A18" s="19"/>
      <c r="B18" s="211" t="s">
        <v>318</v>
      </c>
      <c r="C18" s="232" t="n">
        <v>2405</v>
      </c>
      <c r="D18" s="228" t="s">
        <v>314</v>
      </c>
      <c r="E18" s="126" t="n">
        <f aca="false">299.8/C18</f>
        <v>0.124656964656965</v>
      </c>
      <c r="F18" s="19" t="s">
        <v>315</v>
      </c>
      <c r="G18" s="213" t="n">
        <f aca="false">22+20*LOG10(($G$6*1000)/E18)</f>
        <v>161.834805195649</v>
      </c>
      <c r="H18" s="19" t="s">
        <v>258</v>
      </c>
      <c r="I18" s="19" t="s">
        <v>319</v>
      </c>
      <c r="J18" s="19"/>
      <c r="K18" s="19"/>
      <c r="L18" s="19"/>
      <c r="M18" s="234" t="n">
        <f aca="false" t="array" ref="M18:M18">INDEX(G16:G19,L16,1)</f>
        <v>147.031071998789</v>
      </c>
      <c r="N18" s="235" t="s">
        <v>258</v>
      </c>
      <c r="O18" s="19"/>
      <c r="P18" s="19"/>
      <c r="Q18" s="19"/>
      <c r="R18" s="19"/>
      <c r="S18" s="19"/>
      <c r="T18" s="19"/>
      <c r="U18" s="19"/>
    </row>
    <row r="19" customFormat="false" ht="12" hidden="false" customHeight="true" outlineLevel="0" collapsed="false">
      <c r="A19" s="215" t="s">
        <v>320</v>
      </c>
      <c r="B19" s="211" t="s">
        <v>321</v>
      </c>
      <c r="C19" s="238" t="n">
        <v>136</v>
      </c>
      <c r="D19" s="237" t="s">
        <v>314</v>
      </c>
      <c r="E19" s="126" t="n">
        <f aca="false">299.8/C19</f>
        <v>2.20441176470588</v>
      </c>
      <c r="F19" s="19" t="s">
        <v>315</v>
      </c>
      <c r="G19" s="213" t="n">
        <f aca="false">22+20*LOG10(($G$6*1000)/E19)</f>
        <v>136.883281748856</v>
      </c>
      <c r="H19" s="19" t="s">
        <v>258</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E51" activeCellId="0" sqref="E51"/>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324</v>
      </c>
      <c r="B1" s="10"/>
      <c r="C1" s="10"/>
      <c r="D1" s="10"/>
      <c r="E1" s="10"/>
      <c r="F1" s="40" t="str">
        <f aca="false">'Title Page'!F3</f>
        <v>Coconut Cubesat</v>
      </c>
      <c r="G1" s="10"/>
      <c r="H1" s="10"/>
      <c r="I1" s="10"/>
      <c r="J1" s="41" t="str">
        <f aca="false">'Title Page'!F23</f>
        <v>2025 June 08</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325</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203</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326</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327</v>
      </c>
      <c r="G11" s="48"/>
      <c r="H11" s="48" t="s">
        <v>328</v>
      </c>
      <c r="I11" s="48"/>
      <c r="J11" s="48" t="s">
        <v>329</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330</v>
      </c>
      <c r="D16" s="48"/>
      <c r="E16" s="246" t="n">
        <v>0.2</v>
      </c>
      <c r="F16" s="48" t="s">
        <v>331</v>
      </c>
      <c r="G16" s="247" t="n">
        <f aca="false">10*LOG10(E16)</f>
        <v>-6.98970004336019</v>
      </c>
      <c r="H16" s="48" t="s">
        <v>332</v>
      </c>
      <c r="I16" s="248" t="n">
        <f aca="false">G16+30</f>
        <v>23.0102999566398</v>
      </c>
      <c r="J16" s="48" t="s">
        <v>333</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334</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335</v>
      </c>
      <c r="E19" s="48"/>
      <c r="F19" s="48"/>
      <c r="G19" s="48"/>
      <c r="H19" s="48"/>
      <c r="I19" s="250" t="n">
        <v>0.15</v>
      </c>
      <c r="J19" s="48" t="s">
        <v>315</v>
      </c>
      <c r="K19" s="244"/>
      <c r="L19" s="19"/>
      <c r="M19" s="19"/>
      <c r="N19" s="19"/>
      <c r="O19" s="19"/>
      <c r="P19" s="19"/>
    </row>
    <row r="20" customFormat="false" ht="12" hidden="false" customHeight="true" outlineLevel="0" collapsed="false">
      <c r="A20" s="19"/>
      <c r="B20" s="19"/>
      <c r="C20" s="245"/>
      <c r="D20" s="249" t="s">
        <v>336</v>
      </c>
      <c r="E20" s="48"/>
      <c r="F20" s="48"/>
      <c r="G20" s="48"/>
      <c r="H20" s="48"/>
      <c r="I20" s="250" t="n">
        <v>0</v>
      </c>
      <c r="J20" s="48" t="s">
        <v>315</v>
      </c>
      <c r="K20" s="244"/>
      <c r="L20" s="19"/>
      <c r="M20" s="19"/>
      <c r="N20" s="19"/>
      <c r="O20" s="19"/>
      <c r="P20" s="19"/>
    </row>
    <row r="21" customFormat="false" ht="12" hidden="false" customHeight="true" outlineLevel="0" collapsed="false">
      <c r="A21" s="19"/>
      <c r="B21" s="19"/>
      <c r="C21" s="245"/>
      <c r="D21" s="249" t="s">
        <v>337</v>
      </c>
      <c r="E21" s="48"/>
      <c r="F21" s="48"/>
      <c r="G21" s="48"/>
      <c r="H21" s="48"/>
      <c r="I21" s="250" t="n">
        <v>0</v>
      </c>
      <c r="J21" s="48" t="s">
        <v>315</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338</v>
      </c>
      <c r="E23" s="48"/>
      <c r="F23" s="48" t="s">
        <v>0</v>
      </c>
      <c r="G23" s="48"/>
      <c r="H23" s="48"/>
      <c r="I23" s="251" t="n">
        <f aca="false">SUM(I19:I21)</f>
        <v>0.15</v>
      </c>
      <c r="J23" s="48" t="s">
        <v>315</v>
      </c>
      <c r="K23" s="244"/>
      <c r="L23" s="19"/>
      <c r="M23" s="19"/>
      <c r="N23" s="19"/>
      <c r="O23" s="19"/>
      <c r="P23" s="19"/>
    </row>
    <row r="24" customFormat="false" ht="12" hidden="false" customHeight="true" outlineLevel="0" collapsed="false">
      <c r="A24" s="19"/>
      <c r="B24" s="19"/>
      <c r="C24" s="245"/>
      <c r="D24" s="48" t="s">
        <v>339</v>
      </c>
      <c r="E24" s="48"/>
      <c r="F24" s="48"/>
      <c r="G24" s="48"/>
      <c r="H24" s="48"/>
      <c r="I24" s="252" t="s">
        <v>340</v>
      </c>
      <c r="J24" s="253" t="s">
        <v>341</v>
      </c>
      <c r="K24" s="244"/>
      <c r="L24" s="19"/>
      <c r="M24" s="19"/>
      <c r="N24" s="19"/>
      <c r="O24" s="19"/>
      <c r="P24" s="19"/>
    </row>
    <row r="25" customFormat="false" ht="12" hidden="false" customHeight="true" outlineLevel="0" collapsed="false">
      <c r="A25" s="19"/>
      <c r="B25" s="19"/>
      <c r="C25" s="245"/>
      <c r="D25" s="48" t="s">
        <v>342</v>
      </c>
      <c r="E25" s="254" t="n">
        <v>1.33</v>
      </c>
      <c r="F25" s="48" t="s">
        <v>343</v>
      </c>
      <c r="G25" s="255" t="n">
        <f aca="false">Frequency!M10</f>
        <v>437.5</v>
      </c>
      <c r="H25" s="48" t="s">
        <v>344</v>
      </c>
      <c r="I25" s="256" t="n">
        <f aca="false">I23*E25</f>
        <v>0.1995</v>
      </c>
      <c r="J25" s="48" t="s">
        <v>258</v>
      </c>
      <c r="K25" s="244"/>
      <c r="L25" s="19"/>
      <c r="M25" s="19"/>
      <c r="N25" s="19"/>
      <c r="O25" s="19"/>
      <c r="P25" s="19"/>
    </row>
    <row r="26" customFormat="false" ht="12" hidden="false" customHeight="true" outlineLevel="0" collapsed="false">
      <c r="A26" s="19"/>
      <c r="B26" s="19"/>
      <c r="C26" s="245"/>
      <c r="D26" s="48"/>
      <c r="E26" s="257"/>
      <c r="F26" s="48"/>
      <c r="G26" s="256"/>
      <c r="H26" s="48"/>
      <c r="I26" s="256"/>
      <c r="J26" s="48"/>
      <c r="K26" s="244"/>
      <c r="L26" s="19"/>
      <c r="M26" s="35"/>
      <c r="N26" s="19"/>
      <c r="O26" s="19"/>
      <c r="P26" s="19"/>
    </row>
    <row r="27" customFormat="false" ht="12" hidden="false" customHeight="true" outlineLevel="0" collapsed="false">
      <c r="A27" s="19"/>
      <c r="B27" s="19"/>
      <c r="C27" s="245" t="s">
        <v>345</v>
      </c>
      <c r="D27" s="48"/>
      <c r="E27" s="257"/>
      <c r="F27" s="48"/>
      <c r="G27" s="256"/>
      <c r="H27" s="48"/>
      <c r="I27" s="256"/>
      <c r="J27" s="48"/>
      <c r="K27" s="244"/>
      <c r="L27" s="19"/>
      <c r="M27" s="19"/>
      <c r="N27" s="19"/>
      <c r="O27" s="19"/>
      <c r="P27" s="19"/>
    </row>
    <row r="28" customFormat="false" ht="12" hidden="false" customHeight="true" outlineLevel="0" collapsed="false">
      <c r="A28" s="19"/>
      <c r="B28" s="19"/>
      <c r="C28" s="245"/>
      <c r="D28" s="48"/>
      <c r="E28" s="257"/>
      <c r="F28" s="48"/>
      <c r="G28" s="256"/>
      <c r="H28" s="48"/>
      <c r="I28" s="256"/>
      <c r="J28" s="48"/>
      <c r="K28" s="244"/>
      <c r="L28" s="19"/>
      <c r="M28" s="19"/>
      <c r="N28" s="19"/>
      <c r="O28" s="19"/>
      <c r="P28" s="19"/>
    </row>
    <row r="29" customFormat="false" ht="12" hidden="false" customHeight="true" outlineLevel="0" collapsed="false">
      <c r="A29" s="19"/>
      <c r="B29" s="19"/>
      <c r="C29" s="245"/>
      <c r="D29" s="48" t="s">
        <v>346</v>
      </c>
      <c r="E29" s="50" t="n">
        <v>2</v>
      </c>
      <c r="F29" s="48" t="s">
        <v>347</v>
      </c>
      <c r="G29" s="48"/>
      <c r="H29" s="48"/>
      <c r="I29" s="256" t="n">
        <f aca="false">E29*0.05</f>
        <v>0.1</v>
      </c>
      <c r="J29" s="48" t="s">
        <v>258</v>
      </c>
      <c r="K29" s="244"/>
      <c r="L29" s="98"/>
      <c r="M29" s="19"/>
      <c r="N29" s="19"/>
      <c r="O29" s="19"/>
      <c r="P29" s="19"/>
    </row>
    <row r="30" customFormat="false" ht="12" hidden="false" customHeight="true" outlineLevel="0" collapsed="false">
      <c r="A30" s="19"/>
      <c r="B30" s="19"/>
      <c r="C30" s="245"/>
      <c r="D30" s="48" t="s">
        <v>348</v>
      </c>
      <c r="E30" s="48"/>
      <c r="F30" s="48"/>
      <c r="G30" s="48"/>
      <c r="H30" s="48"/>
      <c r="I30" s="250" t="n">
        <v>1</v>
      </c>
      <c r="J30" s="48" t="s">
        <v>258</v>
      </c>
      <c r="K30" s="244"/>
      <c r="L30" s="19"/>
      <c r="M30" s="19"/>
      <c r="N30" s="19"/>
      <c r="O30" s="19"/>
      <c r="P30" s="19"/>
    </row>
    <row r="31" customFormat="false" ht="12" hidden="false" customHeight="true" outlineLevel="0" collapsed="false">
      <c r="A31" s="19"/>
      <c r="B31" s="19"/>
      <c r="C31" s="245"/>
      <c r="D31" s="48" t="s">
        <v>349</v>
      </c>
      <c r="E31" s="249" t="s">
        <v>350</v>
      </c>
      <c r="F31" s="258"/>
      <c r="G31" s="187"/>
      <c r="H31" s="48"/>
      <c r="I31" s="50" t="n">
        <v>0</v>
      </c>
      <c r="J31" s="48" t="s">
        <v>258</v>
      </c>
      <c r="K31" s="244"/>
      <c r="L31" s="19"/>
      <c r="M31" s="19"/>
      <c r="N31" s="19"/>
      <c r="O31" s="19"/>
      <c r="P31" s="19"/>
    </row>
    <row r="32" customFormat="false" ht="12" hidden="false" customHeight="true" outlineLevel="0" collapsed="false">
      <c r="A32" s="19"/>
      <c r="B32" s="19"/>
      <c r="C32" s="245"/>
      <c r="D32" s="48"/>
      <c r="E32" s="249"/>
      <c r="F32" s="259"/>
      <c r="G32" s="48"/>
      <c r="H32" s="48"/>
      <c r="I32" s="260"/>
      <c r="J32" s="48"/>
      <c r="K32" s="244"/>
      <c r="L32" s="19"/>
      <c r="M32" s="19"/>
      <c r="N32" s="19"/>
      <c r="O32" s="19"/>
      <c r="P32" s="19"/>
    </row>
    <row r="33" customFormat="false" ht="12" hidden="false" customHeight="true" outlineLevel="0" collapsed="false">
      <c r="A33" s="19"/>
      <c r="B33" s="19"/>
      <c r="C33" s="245"/>
      <c r="D33" s="48" t="s">
        <v>351</v>
      </c>
      <c r="E33" s="48"/>
      <c r="F33" s="48" t="s">
        <v>352</v>
      </c>
      <c r="G33" s="48"/>
      <c r="H33" s="48"/>
      <c r="I33" s="50" t="n">
        <v>0.05</v>
      </c>
      <c r="J33" s="48" t="s">
        <v>258</v>
      </c>
      <c r="K33" s="244"/>
      <c r="L33" s="19"/>
      <c r="M33" s="19"/>
      <c r="N33" s="19"/>
      <c r="O33" s="19"/>
      <c r="P33" s="19"/>
    </row>
    <row r="34" customFormat="false" ht="12" hidden="false" customHeight="true" outlineLevel="0" collapsed="false">
      <c r="A34" s="19"/>
      <c r="B34" s="19"/>
      <c r="C34" s="245"/>
      <c r="D34" s="48"/>
      <c r="E34" s="48"/>
      <c r="F34" s="48"/>
      <c r="G34" s="48"/>
      <c r="H34" s="48"/>
      <c r="I34" s="260"/>
      <c r="J34" s="48"/>
      <c r="K34" s="244"/>
      <c r="L34" s="19"/>
      <c r="M34" s="19"/>
      <c r="N34" s="19"/>
      <c r="O34" s="19"/>
      <c r="P34" s="19"/>
    </row>
    <row r="35" customFormat="false" ht="12" hidden="false" customHeight="true" outlineLevel="0" collapsed="false">
      <c r="A35" s="19"/>
      <c r="B35" s="19"/>
      <c r="C35" s="245" t="s">
        <v>353</v>
      </c>
      <c r="D35" s="48"/>
      <c r="E35" s="48"/>
      <c r="F35" s="48"/>
      <c r="G35" s="48"/>
      <c r="H35" s="48"/>
      <c r="I35" s="261" t="n">
        <f aca="false">I25+I29+I30+I31+I33</f>
        <v>1.3495</v>
      </c>
      <c r="J35" s="48" t="s">
        <v>258</v>
      </c>
      <c r="K35" s="244"/>
      <c r="L35" s="19"/>
      <c r="M35" s="19"/>
      <c r="N35" s="19"/>
      <c r="O35" s="19"/>
      <c r="P35" s="19"/>
    </row>
    <row r="36" customFormat="false" ht="12" hidden="false" customHeight="true" outlineLevel="0" collapsed="false">
      <c r="A36" s="19"/>
      <c r="B36" s="19"/>
      <c r="C36" s="245"/>
      <c r="D36" s="48"/>
      <c r="E36" s="48"/>
      <c r="F36" s="48"/>
      <c r="G36" s="48"/>
      <c r="H36" s="48"/>
      <c r="I36" s="262"/>
      <c r="J36" s="48"/>
      <c r="K36" s="244"/>
      <c r="L36" s="19"/>
      <c r="M36" s="19"/>
      <c r="N36" s="19"/>
      <c r="O36" s="19"/>
      <c r="P36" s="19"/>
    </row>
    <row r="37" customFormat="false" ht="12" hidden="false" customHeight="true" outlineLevel="0" collapsed="false">
      <c r="A37" s="19"/>
      <c r="B37" s="19"/>
      <c r="C37" s="245" t="s">
        <v>354</v>
      </c>
      <c r="D37" s="48"/>
      <c r="E37" s="48"/>
      <c r="F37" s="48"/>
      <c r="G37" s="48"/>
      <c r="H37" s="48"/>
      <c r="I37" s="248" t="n">
        <f aca="false">G16-I35</f>
        <v>-8.33920004336019</v>
      </c>
      <c r="J37" s="48" t="s">
        <v>355</v>
      </c>
      <c r="K37" s="244"/>
      <c r="L37" s="19"/>
      <c r="M37" s="19"/>
      <c r="N37" s="19"/>
      <c r="O37" s="19"/>
      <c r="P37" s="19"/>
    </row>
    <row r="38" customFormat="false" ht="12" hidden="false" customHeight="true" outlineLevel="0" collapsed="false">
      <c r="A38" s="19"/>
      <c r="B38" s="19"/>
      <c r="C38" s="263"/>
      <c r="D38" s="264"/>
      <c r="E38" s="264"/>
      <c r="F38" s="264"/>
      <c r="G38" s="264"/>
      <c r="H38" s="264"/>
      <c r="I38" s="264"/>
      <c r="J38" s="264"/>
      <c r="K38" s="265"/>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356</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6" t="s">
        <v>326</v>
      </c>
      <c r="D44" s="267"/>
      <c r="E44" s="267"/>
      <c r="F44" s="267"/>
      <c r="G44" s="267"/>
      <c r="H44" s="267"/>
      <c r="I44" s="267"/>
      <c r="J44" s="267"/>
      <c r="K44" s="268"/>
      <c r="L44" s="19"/>
      <c r="M44" s="19"/>
      <c r="N44" s="19"/>
      <c r="O44" s="19"/>
      <c r="P44" s="19"/>
    </row>
    <row r="45" customFormat="false" ht="12" hidden="false" customHeight="true" outlineLevel="0" collapsed="false">
      <c r="A45" s="19"/>
      <c r="B45" s="19"/>
      <c r="C45" s="269"/>
      <c r="D45" s="49"/>
      <c r="E45" s="49"/>
      <c r="F45" s="49"/>
      <c r="G45" s="49"/>
      <c r="H45" s="49"/>
      <c r="I45" s="49"/>
      <c r="J45" s="49"/>
      <c r="K45" s="270"/>
      <c r="L45" s="19"/>
      <c r="M45" s="19"/>
      <c r="N45" s="19"/>
      <c r="O45" s="19"/>
      <c r="P45" s="19"/>
    </row>
    <row r="46" customFormat="false" ht="12" hidden="false" customHeight="true" outlineLevel="0" collapsed="false">
      <c r="A46" s="19"/>
      <c r="B46" s="19"/>
      <c r="C46" s="269"/>
      <c r="D46" s="271" t="s">
        <v>357</v>
      </c>
      <c r="E46" s="49"/>
      <c r="F46" s="272" t="s">
        <v>358</v>
      </c>
      <c r="G46" s="49"/>
      <c r="H46" s="49" t="s">
        <v>359</v>
      </c>
      <c r="I46" s="49"/>
      <c r="J46" s="49" t="s">
        <v>329</v>
      </c>
      <c r="K46" s="270"/>
      <c r="L46" s="19"/>
      <c r="M46" s="19"/>
      <c r="N46" s="19"/>
      <c r="O46" s="19"/>
      <c r="P46" s="19"/>
    </row>
    <row r="47" customFormat="false" ht="12" hidden="false" customHeight="true" outlineLevel="0" collapsed="false">
      <c r="A47" s="19"/>
      <c r="B47" s="19"/>
      <c r="C47" s="269"/>
      <c r="D47" s="49"/>
      <c r="E47" s="49"/>
      <c r="F47" s="49"/>
      <c r="G47" s="49"/>
      <c r="H47" s="49"/>
      <c r="I47" s="49"/>
      <c r="J47" s="49"/>
      <c r="K47" s="270"/>
      <c r="L47" s="19"/>
      <c r="M47" s="19"/>
      <c r="N47" s="19"/>
      <c r="O47" s="19"/>
      <c r="P47" s="19"/>
    </row>
    <row r="48" customFormat="false" ht="12" hidden="false" customHeight="true" outlineLevel="0" collapsed="false">
      <c r="A48" s="19"/>
      <c r="B48" s="19"/>
      <c r="C48" s="269"/>
      <c r="D48" s="49"/>
      <c r="E48" s="49"/>
      <c r="F48" s="49"/>
      <c r="G48" s="49"/>
      <c r="H48" s="49"/>
      <c r="I48" s="49"/>
      <c r="J48" s="49"/>
      <c r="K48" s="270"/>
      <c r="L48" s="19"/>
      <c r="M48" s="19"/>
      <c r="N48" s="19"/>
      <c r="O48" s="19"/>
      <c r="P48" s="19"/>
    </row>
    <row r="49" customFormat="false" ht="12" hidden="false" customHeight="true" outlineLevel="0" collapsed="false">
      <c r="A49" s="19"/>
      <c r="B49" s="19"/>
      <c r="C49" s="269"/>
      <c r="D49" s="49"/>
      <c r="E49" s="49"/>
      <c r="F49" s="49"/>
      <c r="G49" s="49"/>
      <c r="H49" s="49"/>
      <c r="I49" s="49"/>
      <c r="J49" s="49"/>
      <c r="K49" s="270"/>
      <c r="L49" s="19"/>
      <c r="M49" s="19"/>
      <c r="N49" s="19"/>
      <c r="O49" s="19"/>
      <c r="P49" s="19"/>
    </row>
    <row r="50" customFormat="false" ht="12" hidden="false" customHeight="true" outlineLevel="0" collapsed="false">
      <c r="A50" s="19"/>
      <c r="B50" s="19"/>
      <c r="C50" s="269"/>
      <c r="D50" s="49"/>
      <c r="E50" s="49"/>
      <c r="F50" s="49"/>
      <c r="G50" s="49"/>
      <c r="H50" s="49"/>
      <c r="I50" s="49"/>
      <c r="J50" s="49"/>
      <c r="K50" s="270"/>
      <c r="L50" s="19"/>
      <c r="M50" s="19"/>
      <c r="N50" s="19"/>
      <c r="O50" s="19"/>
      <c r="P50" s="19"/>
    </row>
    <row r="51" customFormat="false" ht="12" hidden="false" customHeight="true" outlineLevel="0" collapsed="false">
      <c r="A51" s="19"/>
      <c r="B51" s="19"/>
      <c r="C51" s="269"/>
      <c r="D51" s="49"/>
      <c r="E51" s="49"/>
      <c r="F51" s="49"/>
      <c r="G51" s="49"/>
      <c r="H51" s="49"/>
      <c r="I51" s="49"/>
      <c r="J51" s="49"/>
      <c r="K51" s="270"/>
      <c r="L51" s="19"/>
      <c r="M51" s="19"/>
      <c r="N51" s="19"/>
      <c r="O51" s="19"/>
      <c r="P51" s="19"/>
    </row>
    <row r="52" customFormat="false" ht="12" hidden="false" customHeight="true" outlineLevel="0" collapsed="false">
      <c r="A52" s="19"/>
      <c r="B52" s="19"/>
      <c r="C52" s="269" t="s">
        <v>330</v>
      </c>
      <c r="D52" s="49"/>
      <c r="E52" s="250" t="n">
        <v>1</v>
      </c>
      <c r="F52" s="49" t="s">
        <v>331</v>
      </c>
      <c r="G52" s="247" t="n">
        <f aca="false">10*LOG10(E52)</f>
        <v>0</v>
      </c>
      <c r="H52" s="49" t="s">
        <v>332</v>
      </c>
      <c r="I52" s="248" t="n">
        <f aca="false">G52+30</f>
        <v>30</v>
      </c>
      <c r="J52" s="49" t="s">
        <v>333</v>
      </c>
      <c r="K52" s="270" t="s">
        <v>0</v>
      </c>
      <c r="L52" s="19"/>
      <c r="M52" s="19"/>
      <c r="N52" s="19"/>
      <c r="O52" s="19"/>
      <c r="P52" s="19"/>
    </row>
    <row r="53" customFormat="false" ht="12" hidden="false" customHeight="true" outlineLevel="0" collapsed="false">
      <c r="A53" s="19"/>
      <c r="B53" s="19"/>
      <c r="C53" s="269"/>
      <c r="D53" s="49"/>
      <c r="E53" s="49"/>
      <c r="F53" s="49"/>
      <c r="G53" s="49"/>
      <c r="H53" s="49"/>
      <c r="I53" s="49"/>
      <c r="J53" s="49"/>
      <c r="K53" s="270"/>
      <c r="L53" s="19"/>
      <c r="M53" s="19"/>
      <c r="N53" s="19"/>
      <c r="O53" s="19"/>
      <c r="P53" s="19"/>
    </row>
    <row r="54" customFormat="false" ht="12" hidden="false" customHeight="true" outlineLevel="0" collapsed="false">
      <c r="A54" s="19"/>
      <c r="B54" s="19"/>
      <c r="C54" s="269" t="s">
        <v>360</v>
      </c>
      <c r="D54" s="49"/>
      <c r="E54" s="49"/>
      <c r="F54" s="49" t="s">
        <v>0</v>
      </c>
      <c r="G54" s="49"/>
      <c r="H54" s="49"/>
      <c r="I54" s="49"/>
      <c r="J54" s="49"/>
      <c r="K54" s="270"/>
      <c r="L54" s="19"/>
      <c r="M54" s="19"/>
      <c r="N54" s="19"/>
      <c r="O54" s="19"/>
      <c r="P54" s="19"/>
    </row>
    <row r="55" customFormat="false" ht="12" hidden="false" customHeight="true" outlineLevel="0" collapsed="false">
      <c r="A55" s="19"/>
      <c r="B55" s="19"/>
      <c r="C55" s="269"/>
      <c r="D55" s="49" t="s">
        <v>335</v>
      </c>
      <c r="E55" s="49"/>
      <c r="F55" s="49"/>
      <c r="G55" s="49"/>
      <c r="H55" s="49"/>
      <c r="I55" s="252" t="n">
        <v>0.15</v>
      </c>
      <c r="J55" s="49" t="s">
        <v>315</v>
      </c>
      <c r="K55" s="270"/>
      <c r="L55" s="19"/>
      <c r="M55" s="19"/>
      <c r="N55" s="19"/>
      <c r="O55" s="19"/>
      <c r="P55" s="19"/>
    </row>
    <row r="56" customFormat="false" ht="12" hidden="false" customHeight="true" outlineLevel="0" collapsed="false">
      <c r="A56" s="19"/>
      <c r="B56" s="19"/>
      <c r="C56" s="269"/>
      <c r="D56" s="49" t="s">
        <v>336</v>
      </c>
      <c r="E56" s="49"/>
      <c r="F56" s="49"/>
      <c r="G56" s="49"/>
      <c r="H56" s="49"/>
      <c r="I56" s="252" t="n">
        <v>0.15</v>
      </c>
      <c r="J56" s="49" t="s">
        <v>315</v>
      </c>
      <c r="K56" s="270"/>
      <c r="L56" s="19"/>
      <c r="M56" s="19"/>
      <c r="N56" s="19"/>
      <c r="O56" s="19"/>
      <c r="P56" s="19"/>
    </row>
    <row r="57" customFormat="false" ht="12" hidden="false" customHeight="true" outlineLevel="0" collapsed="false">
      <c r="A57" s="19"/>
      <c r="B57" s="19"/>
      <c r="C57" s="269"/>
      <c r="D57" s="49" t="s">
        <v>337</v>
      </c>
      <c r="E57" s="49"/>
      <c r="F57" s="49"/>
      <c r="G57" s="49"/>
      <c r="H57" s="49"/>
      <c r="I57" s="252"/>
      <c r="J57" s="49" t="s">
        <v>315</v>
      </c>
      <c r="K57" s="270"/>
      <c r="L57" s="19"/>
      <c r="M57" s="19"/>
      <c r="N57" s="19"/>
      <c r="O57" s="19"/>
      <c r="P57" s="19"/>
    </row>
    <row r="58" customFormat="false" ht="12" hidden="false" customHeight="true" outlineLevel="0" collapsed="false">
      <c r="A58" s="19"/>
      <c r="B58" s="19"/>
      <c r="C58" s="269"/>
      <c r="D58" s="49"/>
      <c r="E58" s="49"/>
      <c r="F58" s="49" t="s">
        <v>0</v>
      </c>
      <c r="G58" s="49"/>
      <c r="H58" s="49"/>
      <c r="I58" s="49"/>
      <c r="J58" s="49" t="s">
        <v>0</v>
      </c>
      <c r="K58" s="270"/>
      <c r="L58" s="19"/>
      <c r="M58" s="19"/>
      <c r="N58" s="19"/>
      <c r="O58" s="19"/>
      <c r="P58" s="19"/>
    </row>
    <row r="59" customFormat="false" ht="12" hidden="false" customHeight="true" outlineLevel="0" collapsed="false">
      <c r="A59" s="19"/>
      <c r="B59" s="19"/>
      <c r="C59" s="269"/>
      <c r="D59" s="49" t="s">
        <v>361</v>
      </c>
      <c r="E59" s="49"/>
      <c r="F59" s="49" t="s">
        <v>0</v>
      </c>
      <c r="G59" s="49"/>
      <c r="H59" s="49"/>
      <c r="I59" s="272" t="n">
        <f aca="false">SUM(I55:I57)</f>
        <v>0.3</v>
      </c>
      <c r="J59" s="49" t="s">
        <v>315</v>
      </c>
      <c r="K59" s="270"/>
      <c r="L59" s="19"/>
      <c r="M59" s="19"/>
      <c r="N59" s="19"/>
      <c r="O59" s="19"/>
      <c r="P59" s="19"/>
    </row>
    <row r="60" customFormat="false" ht="12" hidden="false" customHeight="true" outlineLevel="0" collapsed="false">
      <c r="A60" s="19"/>
      <c r="B60" s="19"/>
      <c r="C60" s="269"/>
      <c r="D60" s="49" t="s">
        <v>362</v>
      </c>
      <c r="E60" s="49"/>
      <c r="F60" s="49"/>
      <c r="G60" s="49"/>
      <c r="H60" s="49"/>
      <c r="I60" s="252" t="s">
        <v>340</v>
      </c>
      <c r="J60" s="49" t="s">
        <v>341</v>
      </c>
      <c r="K60" s="270"/>
      <c r="L60" s="19"/>
      <c r="M60" s="19"/>
      <c r="N60" s="19"/>
      <c r="O60" s="19"/>
      <c r="P60" s="19"/>
    </row>
    <row r="61" customFormat="false" ht="12" hidden="false" customHeight="true" outlineLevel="0" collapsed="false">
      <c r="A61" s="19"/>
      <c r="B61" s="19"/>
      <c r="C61" s="269"/>
      <c r="D61" s="49" t="s">
        <v>363</v>
      </c>
      <c r="E61" s="254" t="n">
        <v>1.33</v>
      </c>
      <c r="F61" s="49" t="s">
        <v>343</v>
      </c>
      <c r="G61" s="255" t="n">
        <f aca="false">Frequency!M16</f>
        <v>437.45</v>
      </c>
      <c r="H61" s="49" t="s">
        <v>344</v>
      </c>
      <c r="I61" s="272" t="n">
        <f aca="false">I59*E61</f>
        <v>0.399</v>
      </c>
      <c r="J61" s="49" t="s">
        <v>258</v>
      </c>
      <c r="K61" s="270"/>
      <c r="L61" s="19"/>
      <c r="M61" s="19"/>
      <c r="N61" s="19"/>
      <c r="O61" s="19"/>
      <c r="P61" s="19"/>
    </row>
    <row r="62" customFormat="false" ht="12" hidden="false" customHeight="true" outlineLevel="0" collapsed="false">
      <c r="A62" s="19"/>
      <c r="B62" s="19"/>
      <c r="C62" s="269"/>
      <c r="D62" s="49"/>
      <c r="E62" s="273"/>
      <c r="F62" s="49"/>
      <c r="G62" s="272"/>
      <c r="H62" s="49"/>
      <c r="I62" s="272"/>
      <c r="J62" s="49"/>
      <c r="K62" s="270"/>
      <c r="L62" s="19"/>
      <c r="M62" s="19"/>
      <c r="N62" s="19"/>
      <c r="O62" s="19"/>
      <c r="P62" s="19"/>
    </row>
    <row r="63" customFormat="false" ht="12" hidden="false" customHeight="true" outlineLevel="0" collapsed="false">
      <c r="A63" s="19"/>
      <c r="B63" s="19"/>
      <c r="C63" s="269" t="s">
        <v>345</v>
      </c>
      <c r="D63" s="49"/>
      <c r="E63" s="273"/>
      <c r="F63" s="49"/>
      <c r="G63" s="272"/>
      <c r="H63" s="49"/>
      <c r="I63" s="272"/>
      <c r="J63" s="49"/>
      <c r="K63" s="270"/>
      <c r="L63" s="19"/>
      <c r="M63" s="19"/>
      <c r="N63" s="19"/>
      <c r="O63" s="19"/>
      <c r="P63" s="19"/>
    </row>
    <row r="64" customFormat="false" ht="12" hidden="false" customHeight="true" outlineLevel="0" collapsed="false">
      <c r="A64" s="19"/>
      <c r="B64" s="19"/>
      <c r="C64" s="269"/>
      <c r="D64" s="49"/>
      <c r="E64" s="273"/>
      <c r="F64" s="49"/>
      <c r="G64" s="272"/>
      <c r="H64" s="49"/>
      <c r="I64" s="272"/>
      <c r="J64" s="49"/>
      <c r="K64" s="270"/>
      <c r="L64" s="19"/>
      <c r="M64" s="19"/>
      <c r="N64" s="19"/>
      <c r="O64" s="19"/>
      <c r="P64" s="19"/>
    </row>
    <row r="65" customFormat="false" ht="12" hidden="false" customHeight="true" outlineLevel="0" collapsed="false">
      <c r="A65" s="19"/>
      <c r="B65" s="19"/>
      <c r="C65" s="269"/>
      <c r="D65" s="49" t="s">
        <v>346</v>
      </c>
      <c r="E65" s="50" t="n">
        <v>4</v>
      </c>
      <c r="F65" s="49" t="s">
        <v>364</v>
      </c>
      <c r="G65" s="49"/>
      <c r="H65" s="49"/>
      <c r="I65" s="272" t="n">
        <f aca="false">E65*0.05</f>
        <v>0.2</v>
      </c>
      <c r="J65" s="49" t="s">
        <v>258</v>
      </c>
      <c r="K65" s="270"/>
      <c r="L65" s="19"/>
      <c r="M65" s="19"/>
      <c r="N65" s="19"/>
      <c r="O65" s="19"/>
      <c r="P65" s="19"/>
    </row>
    <row r="66" customFormat="false" ht="12" hidden="false" customHeight="true" outlineLevel="0" collapsed="false">
      <c r="A66" s="19"/>
      <c r="B66" s="19"/>
      <c r="C66" s="269"/>
      <c r="D66" s="49" t="s">
        <v>348</v>
      </c>
      <c r="E66" s="49"/>
      <c r="F66" s="49"/>
      <c r="G66" s="49"/>
      <c r="H66" s="49"/>
      <c r="I66" s="250" t="n">
        <v>0</v>
      </c>
      <c r="J66" s="49" t="s">
        <v>258</v>
      </c>
      <c r="K66" s="270"/>
      <c r="L66" s="19"/>
      <c r="M66" s="19"/>
      <c r="N66" s="19"/>
      <c r="O66" s="19"/>
      <c r="P66" s="19"/>
    </row>
    <row r="67" customFormat="false" ht="12" hidden="false" customHeight="true" outlineLevel="0" collapsed="false">
      <c r="A67" s="19"/>
      <c r="B67" s="19"/>
      <c r="C67" s="269"/>
      <c r="D67" s="49" t="s">
        <v>349</v>
      </c>
      <c r="E67" s="271" t="s">
        <v>350</v>
      </c>
      <c r="F67" s="274" t="s">
        <v>365</v>
      </c>
      <c r="G67" s="187"/>
      <c r="H67" s="49"/>
      <c r="I67" s="50" t="n">
        <f aca="false">0.5+1.2</f>
        <v>1.7</v>
      </c>
      <c r="J67" s="49" t="s">
        <v>258</v>
      </c>
      <c r="K67" s="270"/>
      <c r="L67" s="19"/>
      <c r="M67" s="19"/>
      <c r="N67" s="19"/>
      <c r="O67" s="19"/>
      <c r="P67" s="19"/>
    </row>
    <row r="68" customFormat="false" ht="12" hidden="false" customHeight="true" outlineLevel="0" collapsed="false">
      <c r="A68" s="19"/>
      <c r="B68" s="19"/>
      <c r="C68" s="269"/>
      <c r="D68" s="49"/>
      <c r="E68" s="271"/>
      <c r="F68" s="275"/>
      <c r="G68" s="49"/>
      <c r="H68" s="49"/>
      <c r="I68" s="276"/>
      <c r="J68" s="49"/>
      <c r="K68" s="270"/>
      <c r="L68" s="19"/>
      <c r="M68" s="19"/>
      <c r="N68" s="19"/>
      <c r="O68" s="19"/>
      <c r="P68" s="19"/>
    </row>
    <row r="69" customFormat="false" ht="12" hidden="false" customHeight="true" outlineLevel="0" collapsed="false">
      <c r="A69" s="19"/>
      <c r="B69" s="19"/>
      <c r="C69" s="269"/>
      <c r="D69" s="49" t="s">
        <v>351</v>
      </c>
      <c r="E69" s="49"/>
      <c r="F69" s="49" t="s">
        <v>352</v>
      </c>
      <c r="G69" s="49"/>
      <c r="H69" s="49"/>
      <c r="I69" s="277" t="n">
        <v>0.05</v>
      </c>
      <c r="J69" s="49" t="s">
        <v>258</v>
      </c>
      <c r="K69" s="270"/>
      <c r="L69" s="19"/>
      <c r="M69" s="19"/>
      <c r="N69" s="19"/>
      <c r="O69" s="19"/>
      <c r="P69" s="19"/>
    </row>
    <row r="70" customFormat="false" ht="12" hidden="false" customHeight="true" outlineLevel="0" collapsed="false">
      <c r="A70" s="19"/>
      <c r="B70" s="19"/>
      <c r="C70" s="269"/>
      <c r="D70" s="49"/>
      <c r="E70" s="49"/>
      <c r="F70" s="49"/>
      <c r="G70" s="49"/>
      <c r="H70" s="49"/>
      <c r="I70" s="276"/>
      <c r="J70" s="49"/>
      <c r="K70" s="270"/>
      <c r="L70" s="19"/>
      <c r="M70" s="19"/>
      <c r="N70" s="19"/>
      <c r="O70" s="19"/>
      <c r="P70" s="19"/>
    </row>
    <row r="71" customFormat="false" ht="12" hidden="false" customHeight="true" outlineLevel="0" collapsed="false">
      <c r="A71" s="19"/>
      <c r="B71" s="19"/>
      <c r="C71" s="269" t="s">
        <v>353</v>
      </c>
      <c r="D71" s="49"/>
      <c r="E71" s="49"/>
      <c r="F71" s="49"/>
      <c r="G71" s="49"/>
      <c r="H71" s="49"/>
      <c r="I71" s="261" t="n">
        <f aca="false">I61+I65+I66+I67+I69</f>
        <v>2.349</v>
      </c>
      <c r="J71" s="49" t="s">
        <v>258</v>
      </c>
      <c r="K71" s="270"/>
      <c r="L71" s="19"/>
      <c r="M71" s="19"/>
      <c r="N71" s="19"/>
      <c r="O71" s="19"/>
      <c r="P71" s="19"/>
    </row>
    <row r="72" customFormat="false" ht="12" hidden="false" customHeight="true" outlineLevel="0" collapsed="false">
      <c r="A72" s="19"/>
      <c r="B72" s="19"/>
      <c r="C72" s="269"/>
      <c r="D72" s="49"/>
      <c r="E72" s="49"/>
      <c r="F72" s="49"/>
      <c r="G72" s="49"/>
      <c r="H72" s="49"/>
      <c r="I72" s="278"/>
      <c r="J72" s="49"/>
      <c r="K72" s="270"/>
      <c r="L72" s="19"/>
      <c r="M72" s="19"/>
      <c r="N72" s="19"/>
      <c r="O72" s="19"/>
      <c r="P72" s="19"/>
    </row>
    <row r="73" customFormat="false" ht="12" hidden="false" customHeight="true" outlineLevel="0" collapsed="false">
      <c r="A73" s="19"/>
      <c r="B73" s="19"/>
      <c r="C73" s="269" t="s">
        <v>366</v>
      </c>
      <c r="D73" s="49"/>
      <c r="E73" s="49"/>
      <c r="F73" s="49"/>
      <c r="G73" s="49"/>
      <c r="H73" s="49"/>
      <c r="I73" s="248" t="n">
        <f aca="false">G52-I71</f>
        <v>-2.349</v>
      </c>
      <c r="J73" s="49" t="s">
        <v>355</v>
      </c>
      <c r="K73" s="270"/>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13" colorId="64" zoomScale="120" zoomScaleNormal="120" zoomScalePageLayoutView="100" workbookViewId="0">
      <selection pane="topLeft" activeCell="O40" activeCellId="0" sqref="O40"/>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367</v>
      </c>
      <c r="B1" s="10"/>
      <c r="C1" s="10"/>
      <c r="D1" s="10"/>
      <c r="E1" s="10"/>
      <c r="F1" s="10"/>
      <c r="G1" s="10"/>
      <c r="H1" s="40" t="str">
        <f aca="false">'Title Page'!F3</f>
        <v>Coconut Cubesat</v>
      </c>
      <c r="I1" s="10"/>
      <c r="J1" s="10"/>
      <c r="K1" s="41" t="str">
        <f aca="false">'Title Page'!F23</f>
        <v>2025 June 08</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368</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203</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326</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369</v>
      </c>
      <c r="J10" s="48"/>
      <c r="K10" s="48" t="s">
        <v>370</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6" t="s">
        <v>371</v>
      </c>
      <c r="E14" s="48"/>
      <c r="F14" s="256" t="s">
        <v>372</v>
      </c>
      <c r="G14" s="48"/>
      <c r="H14" s="256" t="s">
        <v>373</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6" t="s">
        <v>374</v>
      </c>
      <c r="E16" s="48"/>
      <c r="F16" s="256" t="s">
        <v>375</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374</v>
      </c>
      <c r="K17" s="249" t="s">
        <v>374</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376</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377</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378</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379</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380</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381</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382</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383</v>
      </c>
      <c r="E28" s="48"/>
      <c r="F28" s="48"/>
      <c r="G28" s="48"/>
      <c r="H28" s="48"/>
      <c r="I28" s="210" t="s">
        <v>384</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385</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378</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386</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387</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388</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389</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335</v>
      </c>
      <c r="F38" s="48"/>
      <c r="G38" s="48"/>
      <c r="H38" s="48"/>
      <c r="I38" s="48"/>
      <c r="J38" s="252" t="n">
        <v>0.15</v>
      </c>
      <c r="K38" s="48" t="s">
        <v>315</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336</v>
      </c>
      <c r="F39" s="48"/>
      <c r="G39" s="48"/>
      <c r="H39" s="48"/>
      <c r="I39" s="48"/>
      <c r="J39" s="252" t="n">
        <v>0.15</v>
      </c>
      <c r="K39" s="48" t="s">
        <v>315</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337</v>
      </c>
      <c r="F40" s="48"/>
      <c r="G40" s="48"/>
      <c r="H40" s="48"/>
      <c r="I40" s="48"/>
      <c r="J40" s="252" t="n">
        <v>0</v>
      </c>
      <c r="K40" s="48" t="s">
        <v>315</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9"/>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362</v>
      </c>
      <c r="F42" s="48"/>
      <c r="G42" s="48"/>
      <c r="H42" s="48"/>
      <c r="I42" s="48"/>
      <c r="J42" s="258" t="s">
        <v>340</v>
      </c>
      <c r="K42" s="253" t="s">
        <v>341</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363</v>
      </c>
      <c r="F43" s="48"/>
      <c r="G43" s="48"/>
      <c r="H43" s="250" t="n">
        <v>1.33</v>
      </c>
      <c r="I43" s="256" t="s">
        <v>390</v>
      </c>
      <c r="J43" s="286" t="n">
        <f aca="false">Frequency!M10</f>
        <v>437.5</v>
      </c>
      <c r="K43" s="48" t="s">
        <v>314</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391</v>
      </c>
      <c r="F45" s="48"/>
      <c r="G45" s="48"/>
      <c r="H45" s="48"/>
      <c r="I45" s="48" t="s">
        <v>392</v>
      </c>
      <c r="J45" s="48" t="n">
        <f aca="false">J38*H43</f>
        <v>0.1995</v>
      </c>
      <c r="K45" s="256" t="s">
        <v>258</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393</v>
      </c>
      <c r="F46" s="48"/>
      <c r="G46" s="48"/>
      <c r="H46" s="48"/>
      <c r="I46" s="48" t="s">
        <v>394</v>
      </c>
      <c r="J46" s="48" t="n">
        <f aca="false">J39*H43</f>
        <v>0.1995</v>
      </c>
      <c r="K46" s="256" t="s">
        <v>258</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395</v>
      </c>
      <c r="F47" s="48"/>
      <c r="G47" s="48"/>
      <c r="H47" s="48"/>
      <c r="I47" s="48" t="s">
        <v>396</v>
      </c>
      <c r="J47" s="48" t="n">
        <f aca="false">J40*H43</f>
        <v>0</v>
      </c>
      <c r="K47" s="48" t="s">
        <v>258</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397</v>
      </c>
      <c r="F48" s="48"/>
      <c r="G48" s="48"/>
      <c r="H48" s="48"/>
      <c r="I48" s="48" t="s">
        <v>398</v>
      </c>
      <c r="J48" s="287"/>
      <c r="K48" s="48" t="s">
        <v>258</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399</v>
      </c>
      <c r="F49" s="48"/>
      <c r="G49" s="48"/>
      <c r="H49" s="48"/>
      <c r="I49" s="48" t="s">
        <v>400</v>
      </c>
      <c r="J49" s="252" t="n">
        <f aca="false">0.5+1.2</f>
        <v>1.7</v>
      </c>
      <c r="K49" s="48" t="s">
        <v>258</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401</v>
      </c>
      <c r="F50" s="48"/>
      <c r="G50" s="48"/>
      <c r="H50" s="50" t="n">
        <v>4</v>
      </c>
      <c r="I50" s="48" t="s">
        <v>402</v>
      </c>
      <c r="J50" s="48" t="n">
        <f aca="false">H50*0.05</f>
        <v>0.2</v>
      </c>
      <c r="K50" s="48" t="s">
        <v>258</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403</v>
      </c>
      <c r="F51" s="48"/>
      <c r="G51" s="48"/>
      <c r="H51" s="260"/>
      <c r="I51" s="48"/>
      <c r="J51" s="274" t="s">
        <v>365</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404</v>
      </c>
      <c r="P52" s="289"/>
      <c r="Q52" s="290"/>
      <c r="R52" s="290"/>
      <c r="S52" s="290"/>
      <c r="T52" s="290"/>
      <c r="U52" s="290"/>
      <c r="V52" s="210" t="s">
        <v>60</v>
      </c>
      <c r="W52" s="19"/>
      <c r="X52" s="19"/>
      <c r="Y52" s="19"/>
      <c r="Z52" s="19"/>
      <c r="AA52" s="19"/>
    </row>
    <row r="53" customFormat="false" ht="12" hidden="false" customHeight="true" outlineLevel="0" collapsed="false">
      <c r="A53" s="19"/>
      <c r="B53" s="19"/>
      <c r="C53" s="245"/>
      <c r="D53" s="48"/>
      <c r="E53" s="48" t="s">
        <v>405</v>
      </c>
      <c r="F53" s="48"/>
      <c r="G53" s="48"/>
      <c r="H53" s="48"/>
      <c r="I53" s="48"/>
      <c r="J53" s="23" t="n">
        <f aca="false">SUM($J45:J51)</f>
        <v>2.299</v>
      </c>
      <c r="K53" s="48" t="s">
        <v>258</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406</v>
      </c>
      <c r="R54" s="292"/>
      <c r="S54" s="292"/>
      <c r="T54" s="292"/>
      <c r="U54" s="292"/>
      <c r="V54" s="293"/>
      <c r="W54" s="19"/>
      <c r="X54" s="19"/>
      <c r="Y54" s="19"/>
      <c r="Z54" s="19"/>
      <c r="AA54" s="19"/>
    </row>
    <row r="55" customFormat="false" ht="12" hidden="false" customHeight="true" outlineLevel="0" collapsed="false">
      <c r="A55" s="19"/>
      <c r="B55" s="19"/>
      <c r="C55" s="245"/>
      <c r="D55" s="48" t="s">
        <v>407</v>
      </c>
      <c r="E55" s="48"/>
      <c r="F55" s="48"/>
      <c r="G55" s="48"/>
      <c r="H55" s="48"/>
      <c r="I55" s="285" t="s">
        <v>408</v>
      </c>
      <c r="J55" s="294" t="n">
        <f aca="false">10^-(J53/10)</f>
        <v>0.588979257229025</v>
      </c>
      <c r="K55" s="48"/>
      <c r="L55" s="48"/>
      <c r="M55" s="244"/>
      <c r="N55" s="19"/>
      <c r="O55" s="291"/>
      <c r="P55" s="292"/>
      <c r="Q55" s="292"/>
      <c r="R55" s="292" t="s">
        <v>83</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409</v>
      </c>
      <c r="R56" s="292"/>
      <c r="S56" s="292"/>
      <c r="T56" s="295" t="s">
        <v>410</v>
      </c>
      <c r="U56" s="210" t="n">
        <f aca="false">J59</f>
        <v>290</v>
      </c>
      <c r="V56" s="293" t="s">
        <v>411</v>
      </c>
      <c r="W56" s="19"/>
      <c r="X56" s="19"/>
      <c r="Y56" s="19"/>
      <c r="Z56" s="19"/>
      <c r="AA56" s="19"/>
    </row>
    <row r="57" customFormat="false" ht="12" hidden="false" customHeight="true" outlineLevel="0" collapsed="false">
      <c r="A57" s="19"/>
      <c r="B57" s="19"/>
      <c r="C57" s="245"/>
      <c r="D57" s="48" t="s">
        <v>412</v>
      </c>
      <c r="E57" s="48"/>
      <c r="F57" s="48"/>
      <c r="G57" s="210" t="s">
        <v>60</v>
      </c>
      <c r="H57" s="48"/>
      <c r="I57" s="48" t="s">
        <v>413</v>
      </c>
      <c r="J57" s="252" t="n">
        <v>74.5</v>
      </c>
      <c r="K57" s="48" t="s">
        <v>411</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414</v>
      </c>
      <c r="E59" s="48"/>
      <c r="F59" s="48"/>
      <c r="G59" s="48"/>
      <c r="H59" s="48"/>
      <c r="I59" s="48" t="s">
        <v>410</v>
      </c>
      <c r="J59" s="252" t="n">
        <v>290</v>
      </c>
      <c r="K59" s="48" t="s">
        <v>411</v>
      </c>
      <c r="L59" s="48"/>
      <c r="M59" s="244"/>
      <c r="N59" s="19"/>
      <c r="O59" s="291"/>
      <c r="P59" s="292"/>
      <c r="Q59" s="296" t="s">
        <v>415</v>
      </c>
      <c r="R59" s="250" t="n">
        <v>6</v>
      </c>
      <c r="S59" s="292" t="s">
        <v>258</v>
      </c>
      <c r="T59" s="296" t="s">
        <v>416</v>
      </c>
      <c r="U59" s="297" t="n">
        <f aca="false">J59*(10^(R59/10)-1)</f>
        <v>864.510794605142</v>
      </c>
      <c r="V59" s="293" t="s">
        <v>411</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417</v>
      </c>
      <c r="E61" s="48"/>
      <c r="F61" s="48"/>
      <c r="G61" s="48"/>
      <c r="H61" s="48"/>
      <c r="I61" s="48" t="s">
        <v>418</v>
      </c>
      <c r="J61" s="252" t="n">
        <v>864.5</v>
      </c>
      <c r="K61" s="48" t="s">
        <v>411</v>
      </c>
      <c r="L61" s="48"/>
      <c r="M61" s="244"/>
      <c r="N61" s="19"/>
      <c r="O61" s="291"/>
      <c r="P61" s="292"/>
      <c r="Q61" s="292"/>
      <c r="R61" s="292"/>
      <c r="S61" s="295" t="s">
        <v>419</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420</v>
      </c>
      <c r="E63" s="48"/>
      <c r="F63" s="287" t="n">
        <v>16</v>
      </c>
      <c r="G63" s="48" t="s">
        <v>258</v>
      </c>
      <c r="H63" s="48"/>
      <c r="I63" s="48" t="s">
        <v>421</v>
      </c>
      <c r="J63" s="298" t="n">
        <f aca="false">10^(F63/10)</f>
        <v>39.8107170553497</v>
      </c>
      <c r="K63" s="48"/>
      <c r="L63" s="48"/>
      <c r="M63" s="244"/>
      <c r="N63" s="19"/>
      <c r="O63" s="291"/>
      <c r="P63" s="292"/>
      <c r="Q63" s="296" t="s">
        <v>416</v>
      </c>
      <c r="R63" s="250" t="n">
        <v>234</v>
      </c>
      <c r="S63" s="292" t="s">
        <v>411</v>
      </c>
      <c r="T63" s="296" t="s">
        <v>422</v>
      </c>
      <c r="U63" s="299" t="n">
        <f aca="false">10*LOG10(1+(R63/J59))</f>
        <v>2.569332891</v>
      </c>
      <c r="V63" s="293" t="s">
        <v>258</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423</v>
      </c>
      <c r="E65" s="48"/>
      <c r="F65" s="48"/>
      <c r="G65" s="48"/>
      <c r="H65" s="48"/>
      <c r="I65" s="48" t="s">
        <v>424</v>
      </c>
      <c r="J65" s="252" t="n">
        <v>0</v>
      </c>
      <c r="K65" s="48" t="s">
        <v>411</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425</v>
      </c>
      <c r="S67" s="301"/>
      <c r="T67" s="292"/>
      <c r="U67" s="302" t="s">
        <v>426</v>
      </c>
      <c r="V67" s="293"/>
      <c r="W67" s="19"/>
      <c r="X67" s="19"/>
      <c r="Y67" s="19"/>
      <c r="Z67" s="19"/>
      <c r="AA67" s="19"/>
    </row>
    <row r="68" customFormat="false" ht="12" hidden="false" customHeight="true" outlineLevel="0" collapsed="false">
      <c r="A68" s="19"/>
      <c r="B68" s="19"/>
      <c r="C68" s="245"/>
      <c r="D68" s="48" t="s">
        <v>427</v>
      </c>
      <c r="E68" s="48"/>
      <c r="F68" s="48"/>
      <c r="G68" s="48"/>
      <c r="H68" s="48"/>
      <c r="I68" s="48" t="s">
        <v>428</v>
      </c>
      <c r="J68" s="303" t="n">
        <f aca="false">J57*J55+J59*(1-J55)+J61+(J65/J63)</f>
        <v>1027.57497006715</v>
      </c>
      <c r="K68" s="48" t="s">
        <v>411</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3"/>
      <c r="D71" s="264"/>
      <c r="E71" s="264"/>
      <c r="F71" s="264"/>
      <c r="G71" s="264"/>
      <c r="H71" s="264"/>
      <c r="I71" s="264"/>
      <c r="J71" s="264"/>
      <c r="K71" s="264"/>
      <c r="L71" s="264"/>
      <c r="M71" s="265"/>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429</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326</v>
      </c>
      <c r="D79" s="267"/>
      <c r="E79" s="267"/>
      <c r="F79" s="267"/>
      <c r="G79" s="267"/>
      <c r="H79" s="267"/>
      <c r="I79" s="267"/>
      <c r="J79" s="267"/>
      <c r="K79" s="267"/>
      <c r="L79" s="267"/>
      <c r="M79" s="268"/>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9"/>
      <c r="D80" s="49"/>
      <c r="E80" s="49"/>
      <c r="F80" s="49"/>
      <c r="G80" s="49"/>
      <c r="H80" s="49"/>
      <c r="I80" s="49"/>
      <c r="J80" s="49"/>
      <c r="K80" s="49"/>
      <c r="L80" s="49"/>
      <c r="M80" s="270"/>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9"/>
      <c r="D81" s="49"/>
      <c r="E81" s="49"/>
      <c r="F81" s="49"/>
      <c r="G81" s="49"/>
      <c r="H81" s="49"/>
      <c r="I81" s="49" t="s">
        <v>369</v>
      </c>
      <c r="J81" s="49"/>
      <c r="K81" s="49" t="s">
        <v>430</v>
      </c>
      <c r="L81" s="49"/>
      <c r="M81" s="270"/>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9"/>
      <c r="D82" s="49"/>
      <c r="E82" s="49"/>
      <c r="F82" s="49"/>
      <c r="G82" s="49"/>
      <c r="H82" s="49"/>
      <c r="I82" s="49"/>
      <c r="J82" s="49"/>
      <c r="K82" s="49"/>
      <c r="L82" s="49"/>
      <c r="M82" s="270"/>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9"/>
      <c r="D83" s="49"/>
      <c r="E83" s="49"/>
      <c r="F83" s="49"/>
      <c r="G83" s="49"/>
      <c r="H83" s="49"/>
      <c r="I83" s="49"/>
      <c r="J83" s="49"/>
      <c r="K83" s="49"/>
      <c r="L83" s="49"/>
      <c r="M83" s="270"/>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9"/>
      <c r="D84" s="49"/>
      <c r="E84" s="49"/>
      <c r="F84" s="49"/>
      <c r="G84" s="49"/>
      <c r="H84" s="49"/>
      <c r="I84" s="49"/>
      <c r="J84" s="49"/>
      <c r="K84" s="49"/>
      <c r="L84" s="49"/>
      <c r="M84" s="270"/>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9"/>
      <c r="D85" s="272" t="s">
        <v>371</v>
      </c>
      <c r="E85" s="49"/>
      <c r="F85" s="272" t="s">
        <v>372</v>
      </c>
      <c r="G85" s="49"/>
      <c r="H85" s="272" t="s">
        <v>373</v>
      </c>
      <c r="I85" s="49"/>
      <c r="J85" s="49"/>
      <c r="K85" s="49"/>
      <c r="L85" s="49"/>
      <c r="M85" s="270"/>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9"/>
      <c r="D86" s="49"/>
      <c r="E86" s="49"/>
      <c r="F86" s="49"/>
      <c r="G86" s="49"/>
      <c r="H86" s="49"/>
      <c r="I86" s="49"/>
      <c r="J86" s="49"/>
      <c r="K86" s="49"/>
      <c r="L86" s="49"/>
      <c r="M86" s="270"/>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9"/>
      <c r="D87" s="272" t="s">
        <v>374</v>
      </c>
      <c r="E87" s="49"/>
      <c r="F87" s="272" t="s">
        <v>375</v>
      </c>
      <c r="G87" s="49"/>
      <c r="H87" s="49"/>
      <c r="I87" s="49"/>
      <c r="J87" s="49"/>
      <c r="K87" s="49"/>
      <c r="L87" s="49"/>
      <c r="M87" s="270"/>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9"/>
      <c r="D88" s="49"/>
      <c r="E88" s="49"/>
      <c r="F88" s="49"/>
      <c r="G88" s="49"/>
      <c r="H88" s="49"/>
      <c r="I88" s="49"/>
      <c r="J88" s="49"/>
      <c r="K88" s="49"/>
      <c r="L88" s="49"/>
      <c r="M88" s="270"/>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9"/>
      <c r="D89" s="49"/>
      <c r="E89" s="49"/>
      <c r="F89" s="49"/>
      <c r="G89" s="49"/>
      <c r="H89" s="49"/>
      <c r="I89" s="49"/>
      <c r="J89" s="49"/>
      <c r="K89" s="49"/>
      <c r="L89" s="49"/>
      <c r="M89" s="270"/>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9"/>
      <c r="D90" s="49"/>
      <c r="E90" s="49"/>
      <c r="F90" s="49"/>
      <c r="G90" s="49"/>
      <c r="H90" s="49"/>
      <c r="I90" s="49"/>
      <c r="J90" s="49"/>
      <c r="K90" s="49"/>
      <c r="L90" s="49"/>
      <c r="M90" s="270"/>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9"/>
      <c r="D91" s="49" t="s">
        <v>376</v>
      </c>
      <c r="E91" s="49"/>
      <c r="F91" s="49"/>
      <c r="G91" s="49"/>
      <c r="H91" s="49"/>
      <c r="I91" s="49"/>
      <c r="J91" s="49"/>
      <c r="K91" s="49"/>
      <c r="L91" s="49"/>
      <c r="M91" s="270"/>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9"/>
      <c r="D92" s="49"/>
      <c r="E92" s="49"/>
      <c r="F92" s="49"/>
      <c r="G92" s="49"/>
      <c r="H92" s="49"/>
      <c r="I92" s="49"/>
      <c r="J92" s="49"/>
      <c r="K92" s="49"/>
      <c r="L92" s="49"/>
      <c r="M92" s="270"/>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9"/>
      <c r="D93" s="308" t="s">
        <v>431</v>
      </c>
      <c r="E93" s="49"/>
      <c r="F93" s="49"/>
      <c r="G93" s="49"/>
      <c r="H93" s="49"/>
      <c r="I93" s="49"/>
      <c r="J93" s="49"/>
      <c r="K93" s="49"/>
      <c r="L93" s="49"/>
      <c r="M93" s="270"/>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9"/>
      <c r="D94" s="49" t="s">
        <v>378</v>
      </c>
      <c r="E94" s="49"/>
      <c r="F94" s="49"/>
      <c r="G94" s="309"/>
      <c r="H94" s="49"/>
      <c r="I94" s="49"/>
      <c r="J94" s="49"/>
      <c r="K94" s="49"/>
      <c r="L94" s="49"/>
      <c r="M94" s="270"/>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9"/>
      <c r="D95" s="49" t="s">
        <v>432</v>
      </c>
      <c r="E95" s="49"/>
      <c r="F95" s="49"/>
      <c r="G95" s="49"/>
      <c r="H95" s="49"/>
      <c r="I95" s="49"/>
      <c r="J95" s="49"/>
      <c r="K95" s="49"/>
      <c r="L95" s="49"/>
      <c r="M95" s="270"/>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9"/>
      <c r="D96" s="49" t="s">
        <v>433</v>
      </c>
      <c r="E96" s="49"/>
      <c r="F96" s="49"/>
      <c r="G96" s="49"/>
      <c r="H96" s="49"/>
      <c r="I96" s="49"/>
      <c r="J96" s="49"/>
      <c r="K96" s="49"/>
      <c r="L96" s="49"/>
      <c r="M96" s="270"/>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9"/>
      <c r="D97" s="49" t="s">
        <v>381</v>
      </c>
      <c r="E97" s="49"/>
      <c r="F97" s="49"/>
      <c r="G97" s="49"/>
      <c r="H97" s="49"/>
      <c r="I97" s="49"/>
      <c r="J97" s="49"/>
      <c r="K97" s="49"/>
      <c r="L97" s="49"/>
      <c r="M97" s="270"/>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9"/>
      <c r="D98" s="49" t="s">
        <v>434</v>
      </c>
      <c r="E98" s="49"/>
      <c r="F98" s="49"/>
      <c r="G98" s="49"/>
      <c r="H98" s="49"/>
      <c r="I98" s="49"/>
      <c r="J98" s="49"/>
      <c r="K98" s="49"/>
      <c r="L98" s="49"/>
      <c r="M98" s="270"/>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9"/>
      <c r="D99" s="49" t="s">
        <v>383</v>
      </c>
      <c r="E99" s="49"/>
      <c r="F99" s="49"/>
      <c r="G99" s="49"/>
      <c r="H99" s="49"/>
      <c r="I99" s="210" t="s">
        <v>60</v>
      </c>
      <c r="J99" s="49" t="s">
        <v>0</v>
      </c>
      <c r="K99" s="49"/>
      <c r="L99" s="49"/>
      <c r="M99" s="270"/>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9"/>
      <c r="D100" s="310" t="s">
        <v>435</v>
      </c>
      <c r="E100" s="49"/>
      <c r="F100" s="49"/>
      <c r="G100" s="49"/>
      <c r="H100" s="49"/>
      <c r="I100" s="49"/>
      <c r="J100" s="49"/>
      <c r="K100" s="49"/>
      <c r="L100" s="49"/>
      <c r="M100" s="270"/>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9"/>
      <c r="D101" s="49" t="s">
        <v>378</v>
      </c>
      <c r="E101" s="49"/>
      <c r="F101" s="49"/>
      <c r="G101" s="49"/>
      <c r="H101" s="49"/>
      <c r="I101" s="49"/>
      <c r="J101" s="49"/>
      <c r="K101" s="49"/>
      <c r="L101" s="49"/>
      <c r="M101" s="270"/>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9"/>
      <c r="D102" s="49"/>
      <c r="E102" s="49" t="s">
        <v>386</v>
      </c>
      <c r="F102" s="49"/>
      <c r="G102" s="49"/>
      <c r="H102" s="49"/>
      <c r="I102" s="49"/>
      <c r="J102" s="49"/>
      <c r="K102" s="49"/>
      <c r="L102" s="49"/>
      <c r="M102" s="270"/>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9"/>
      <c r="D103" s="49"/>
      <c r="E103" s="49" t="s">
        <v>387</v>
      </c>
      <c r="F103" s="49"/>
      <c r="G103" s="49"/>
      <c r="H103" s="49"/>
      <c r="I103" s="49"/>
      <c r="J103" s="49"/>
      <c r="K103" s="49"/>
      <c r="L103" s="49"/>
      <c r="M103" s="270"/>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9"/>
      <c r="D104" s="49"/>
      <c r="E104" s="49" t="s">
        <v>388</v>
      </c>
      <c r="F104" s="49"/>
      <c r="G104" s="49"/>
      <c r="H104" s="49"/>
      <c r="I104" s="49"/>
      <c r="J104" s="49"/>
      <c r="K104" s="49"/>
      <c r="L104" s="49"/>
      <c r="M104" s="270"/>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9"/>
      <c r="D105" s="49"/>
      <c r="E105" s="49"/>
      <c r="F105" s="49"/>
      <c r="G105" s="49"/>
      <c r="H105" s="49"/>
      <c r="I105" s="49"/>
      <c r="J105" s="49"/>
      <c r="K105" s="49"/>
      <c r="L105" s="49"/>
      <c r="M105" s="270"/>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9"/>
      <c r="D106" s="49"/>
      <c r="E106" s="49"/>
      <c r="F106" s="49"/>
      <c r="G106" s="49"/>
      <c r="H106" s="49"/>
      <c r="I106" s="49"/>
      <c r="J106" s="49"/>
      <c r="K106" s="49"/>
      <c r="L106" s="49"/>
      <c r="M106" s="270"/>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9"/>
      <c r="D107" s="49" t="s">
        <v>389</v>
      </c>
      <c r="E107" s="49"/>
      <c r="F107" s="49"/>
      <c r="G107" s="49"/>
      <c r="H107" s="210" t="s">
        <v>60</v>
      </c>
      <c r="I107" s="49"/>
      <c r="J107" s="49"/>
      <c r="K107" s="49"/>
      <c r="L107" s="49"/>
      <c r="M107" s="270"/>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9"/>
      <c r="D108" s="49"/>
      <c r="E108" s="49"/>
      <c r="F108" s="49"/>
      <c r="G108" s="49"/>
      <c r="H108" s="49"/>
      <c r="I108" s="49"/>
      <c r="J108" s="49"/>
      <c r="K108" s="49"/>
      <c r="L108" s="49"/>
      <c r="M108" s="270"/>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9"/>
      <c r="D109" s="271" t="s">
        <v>0</v>
      </c>
      <c r="E109" s="49" t="s">
        <v>335</v>
      </c>
      <c r="F109" s="49"/>
      <c r="G109" s="49"/>
      <c r="H109" s="49"/>
      <c r="I109" s="49"/>
      <c r="J109" s="252" t="n">
        <v>0.15</v>
      </c>
      <c r="K109" s="49" t="s">
        <v>315</v>
      </c>
      <c r="L109" s="49"/>
      <c r="M109" s="270"/>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9"/>
      <c r="D110" s="49"/>
      <c r="E110" s="49" t="s">
        <v>336</v>
      </c>
      <c r="F110" s="49"/>
      <c r="G110" s="49"/>
      <c r="H110" s="49"/>
      <c r="I110" s="49"/>
      <c r="J110" s="252" t="n">
        <v>0</v>
      </c>
      <c r="K110" s="49" t="s">
        <v>315</v>
      </c>
      <c r="L110" s="49"/>
      <c r="M110" s="270"/>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9"/>
      <c r="D111" s="49"/>
      <c r="E111" s="49" t="s">
        <v>337</v>
      </c>
      <c r="F111" s="49"/>
      <c r="G111" s="49"/>
      <c r="H111" s="49"/>
      <c r="I111" s="49"/>
      <c r="J111" s="252" t="n">
        <v>0</v>
      </c>
      <c r="K111" s="49" t="s">
        <v>315</v>
      </c>
      <c r="L111" s="49"/>
      <c r="M111" s="270"/>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9"/>
      <c r="D112" s="49"/>
      <c r="E112" s="49"/>
      <c r="F112" s="49"/>
      <c r="G112" s="49"/>
      <c r="H112" s="49"/>
      <c r="I112" s="49"/>
      <c r="J112" s="311"/>
      <c r="K112" s="49"/>
      <c r="L112" s="49"/>
      <c r="M112" s="270"/>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9"/>
      <c r="D113" s="49"/>
      <c r="E113" s="49" t="s">
        <v>362</v>
      </c>
      <c r="F113" s="49"/>
      <c r="G113" s="49"/>
      <c r="H113" s="49"/>
      <c r="I113" s="49"/>
      <c r="J113" s="258" t="s">
        <v>340</v>
      </c>
      <c r="K113" s="253"/>
      <c r="L113" s="49"/>
      <c r="M113" s="270"/>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9"/>
      <c r="D114" s="49"/>
      <c r="E114" s="49" t="s">
        <v>363</v>
      </c>
      <c r="F114" s="49"/>
      <c r="G114" s="49"/>
      <c r="H114" s="277" t="n">
        <v>1.33</v>
      </c>
      <c r="I114" s="49" t="s">
        <v>436</v>
      </c>
      <c r="J114" s="286" t="n">
        <f aca="false">Frequency!M16</f>
        <v>437.45</v>
      </c>
      <c r="K114" s="49" t="s">
        <v>314</v>
      </c>
      <c r="L114" s="49"/>
      <c r="M114" s="270"/>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9"/>
      <c r="D115" s="49"/>
      <c r="E115" s="49"/>
      <c r="F115" s="49"/>
      <c r="G115" s="49"/>
      <c r="H115" s="49"/>
      <c r="I115" s="49"/>
      <c r="J115" s="49"/>
      <c r="K115" s="49"/>
      <c r="L115" s="49"/>
      <c r="M115" s="270"/>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9"/>
      <c r="D116" s="49"/>
      <c r="E116" s="49" t="s">
        <v>391</v>
      </c>
      <c r="F116" s="49"/>
      <c r="G116" s="49"/>
      <c r="H116" s="49"/>
      <c r="I116" s="49" t="s">
        <v>392</v>
      </c>
      <c r="J116" s="49" t="n">
        <f aca="false">J109*H114</f>
        <v>0.1995</v>
      </c>
      <c r="K116" s="49" t="s">
        <v>258</v>
      </c>
      <c r="L116" s="49"/>
      <c r="M116" s="270"/>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9"/>
      <c r="D117" s="49"/>
      <c r="E117" s="49" t="s">
        <v>393</v>
      </c>
      <c r="F117" s="49"/>
      <c r="G117" s="49"/>
      <c r="H117" s="49"/>
      <c r="I117" s="49" t="s">
        <v>394</v>
      </c>
      <c r="J117" s="49" t="n">
        <f aca="false">J110*H114</f>
        <v>0</v>
      </c>
      <c r="K117" s="49" t="s">
        <v>258</v>
      </c>
      <c r="L117" s="49"/>
      <c r="M117" s="270"/>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9"/>
      <c r="D118" s="49"/>
      <c r="E118" s="49" t="s">
        <v>395</v>
      </c>
      <c r="F118" s="49"/>
      <c r="G118" s="49"/>
      <c r="H118" s="49"/>
      <c r="I118" s="49" t="s">
        <v>396</v>
      </c>
      <c r="J118" s="49" t="n">
        <f aca="false">J111*H114</f>
        <v>0</v>
      </c>
      <c r="K118" s="49" t="s">
        <v>258</v>
      </c>
      <c r="L118" s="49"/>
      <c r="M118" s="270"/>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9"/>
      <c r="D119" s="49"/>
      <c r="E119" s="49" t="s">
        <v>397</v>
      </c>
      <c r="F119" s="49"/>
      <c r="G119" s="49"/>
      <c r="H119" s="49"/>
      <c r="I119" s="49" t="s">
        <v>398</v>
      </c>
      <c r="J119" s="287" t="n">
        <v>0</v>
      </c>
      <c r="K119" s="49" t="s">
        <v>258</v>
      </c>
      <c r="L119" s="49"/>
      <c r="M119" s="270"/>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9"/>
      <c r="D120" s="49"/>
      <c r="E120" s="49" t="s">
        <v>399</v>
      </c>
      <c r="F120" s="49"/>
      <c r="G120" s="49"/>
      <c r="H120" s="49"/>
      <c r="I120" s="49" t="s">
        <v>400</v>
      </c>
      <c r="J120" s="287" t="n">
        <v>0</v>
      </c>
      <c r="K120" s="49" t="s">
        <v>258</v>
      </c>
      <c r="L120" s="49"/>
      <c r="M120" s="270"/>
      <c r="N120" s="19"/>
      <c r="O120" s="288" t="s">
        <v>437</v>
      </c>
      <c r="P120" s="289"/>
      <c r="Q120" s="290"/>
      <c r="R120" s="290"/>
      <c r="S120" s="290"/>
      <c r="T120" s="290"/>
      <c r="U120" s="290"/>
      <c r="V120" s="312"/>
      <c r="W120" s="19"/>
      <c r="X120" s="19"/>
      <c r="Y120" s="19"/>
      <c r="Z120" s="19"/>
      <c r="AA120" s="19"/>
    </row>
    <row r="121" customFormat="false" ht="12" hidden="false" customHeight="true" outlineLevel="0" collapsed="false">
      <c r="A121" s="19"/>
      <c r="B121" s="19"/>
      <c r="C121" s="269"/>
      <c r="D121" s="49"/>
      <c r="E121" s="49" t="s">
        <v>401</v>
      </c>
      <c r="F121" s="49"/>
      <c r="G121" s="49"/>
      <c r="H121" s="50" t="n">
        <v>1</v>
      </c>
      <c r="I121" s="49" t="s">
        <v>438</v>
      </c>
      <c r="J121" s="313" t="n">
        <f aca="false">H121*0.05</f>
        <v>0.05</v>
      </c>
      <c r="K121" s="49" t="s">
        <v>258</v>
      </c>
      <c r="L121" s="49"/>
      <c r="M121" s="270"/>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9"/>
      <c r="D122" s="49"/>
      <c r="E122" s="49" t="s">
        <v>403</v>
      </c>
      <c r="F122" s="49"/>
      <c r="G122" s="49"/>
      <c r="H122" s="49"/>
      <c r="I122" s="49"/>
      <c r="J122" s="258" t="n">
        <v>1.7</v>
      </c>
      <c r="K122" s="187"/>
      <c r="L122" s="49"/>
      <c r="M122" s="270"/>
      <c r="N122" s="19"/>
      <c r="O122" s="291"/>
      <c r="P122" s="292" t="s">
        <v>439</v>
      </c>
      <c r="Q122" s="292"/>
      <c r="R122" s="292"/>
      <c r="S122" s="292"/>
      <c r="T122" s="292"/>
      <c r="U122" s="292"/>
      <c r="V122" s="293"/>
      <c r="W122" s="19"/>
      <c r="X122" s="19"/>
      <c r="Y122" s="19"/>
      <c r="Z122" s="19"/>
      <c r="AA122" s="19"/>
    </row>
    <row r="123" customFormat="false" ht="12" hidden="false" customHeight="true" outlineLevel="0" collapsed="false">
      <c r="A123" s="19"/>
      <c r="B123" s="19"/>
      <c r="C123" s="269"/>
      <c r="D123" s="49"/>
      <c r="E123" s="49"/>
      <c r="F123" s="49"/>
      <c r="G123" s="49"/>
      <c r="H123" s="49"/>
      <c r="I123" s="49"/>
      <c r="J123" s="49"/>
      <c r="K123" s="49"/>
      <c r="L123" s="49"/>
      <c r="M123" s="270"/>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9"/>
      <c r="D124" s="49"/>
      <c r="E124" s="49" t="s">
        <v>405</v>
      </c>
      <c r="F124" s="49"/>
      <c r="G124" s="49"/>
      <c r="H124" s="49"/>
      <c r="I124" s="49"/>
      <c r="J124" s="314" t="n">
        <f aca="false">SUM(J116:J122)</f>
        <v>1.9495</v>
      </c>
      <c r="K124" s="49" t="s">
        <v>258</v>
      </c>
      <c r="L124" s="49"/>
      <c r="M124" s="270"/>
      <c r="N124" s="19"/>
      <c r="O124" s="291"/>
      <c r="P124" s="292"/>
      <c r="Q124" s="292" t="s">
        <v>440</v>
      </c>
      <c r="R124" s="292"/>
      <c r="S124" s="292"/>
      <c r="T124" s="258" t="n">
        <v>437.5</v>
      </c>
      <c r="U124" s="315" t="s">
        <v>314</v>
      </c>
      <c r="V124" s="293"/>
      <c r="W124" s="19"/>
      <c r="X124" s="19"/>
      <c r="Y124" s="19"/>
      <c r="Z124" s="19"/>
      <c r="AA124" s="19"/>
    </row>
    <row r="125" customFormat="false" ht="12" hidden="false" customHeight="true" outlineLevel="0" collapsed="false">
      <c r="A125" s="19"/>
      <c r="B125" s="19"/>
      <c r="C125" s="269"/>
      <c r="D125" s="49"/>
      <c r="E125" s="49"/>
      <c r="F125" s="49"/>
      <c r="G125" s="49"/>
      <c r="H125" s="49"/>
      <c r="I125" s="49"/>
      <c r="J125" s="49"/>
      <c r="K125" s="49"/>
      <c r="L125" s="49"/>
      <c r="M125" s="270"/>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9"/>
      <c r="D126" s="49" t="s">
        <v>407</v>
      </c>
      <c r="E126" s="49"/>
      <c r="F126" s="49"/>
      <c r="G126" s="49"/>
      <c r="H126" s="49"/>
      <c r="I126" s="310" t="s">
        <v>408</v>
      </c>
      <c r="J126" s="294" t="n">
        <f aca="false">10^-(J124/10)</f>
        <v>0.638336973220156</v>
      </c>
      <c r="K126" s="49"/>
      <c r="L126" s="49"/>
      <c r="M126" s="270"/>
      <c r="N126" s="19"/>
      <c r="O126" s="291"/>
      <c r="P126" s="292"/>
      <c r="Q126" s="292" t="s">
        <v>441</v>
      </c>
      <c r="R126" s="292"/>
      <c r="S126" s="292"/>
      <c r="T126" s="316" t="n">
        <f aca="false">80*((T124/1000)/0.25)^-2.75+2.7</f>
        <v>19.86861861</v>
      </c>
      <c r="U126" s="317" t="s">
        <v>411</v>
      </c>
      <c r="V126" s="293"/>
      <c r="W126" s="19"/>
      <c r="X126" s="19"/>
      <c r="Y126" s="19"/>
      <c r="Z126" s="19"/>
      <c r="AA126" s="19"/>
    </row>
    <row r="127" customFormat="false" ht="12" hidden="false" customHeight="true" outlineLevel="0" collapsed="false">
      <c r="A127" s="19"/>
      <c r="B127" s="19"/>
      <c r="C127" s="269"/>
      <c r="D127" s="49"/>
      <c r="E127" s="49"/>
      <c r="F127" s="49"/>
      <c r="G127" s="49"/>
      <c r="H127" s="49"/>
      <c r="I127" s="49"/>
      <c r="J127" s="49"/>
      <c r="K127" s="49"/>
      <c r="L127" s="49"/>
      <c r="M127" s="270"/>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9"/>
      <c r="D128" s="49" t="s">
        <v>412</v>
      </c>
      <c r="E128" s="49"/>
      <c r="F128" s="49"/>
      <c r="G128" s="210" t="s">
        <v>60</v>
      </c>
      <c r="H128" s="49"/>
      <c r="I128" s="49" t="s">
        <v>413</v>
      </c>
      <c r="J128" s="252" t="n">
        <v>501</v>
      </c>
      <c r="K128" s="49" t="s">
        <v>411</v>
      </c>
      <c r="L128" s="49"/>
      <c r="M128" s="270"/>
      <c r="N128" s="19"/>
      <c r="O128" s="291"/>
      <c r="P128" s="292"/>
      <c r="Q128" s="292" t="s">
        <v>442</v>
      </c>
      <c r="R128" s="292"/>
      <c r="S128" s="292"/>
      <c r="T128" s="316" t="n">
        <f aca="false">380*((T124/1000)/0.25)^-2.75+2.7</f>
        <v>84.25093839</v>
      </c>
      <c r="U128" s="317" t="s">
        <v>411</v>
      </c>
      <c r="V128" s="293"/>
      <c r="W128" s="19"/>
      <c r="X128" s="19"/>
      <c r="Y128" s="19"/>
      <c r="Z128" s="19"/>
      <c r="AA128" s="19"/>
    </row>
    <row r="129" customFormat="false" ht="12" hidden="false" customHeight="true" outlineLevel="0" collapsed="false">
      <c r="A129" s="19"/>
      <c r="B129" s="19"/>
      <c r="C129" s="269"/>
      <c r="D129" s="49"/>
      <c r="E129" s="49"/>
      <c r="F129" s="49"/>
      <c r="G129" s="49"/>
      <c r="H129" s="49"/>
      <c r="I129" s="49"/>
      <c r="J129" s="49"/>
      <c r="K129" s="49"/>
      <c r="L129" s="49"/>
      <c r="M129" s="270"/>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9"/>
      <c r="D130" s="49" t="s">
        <v>443</v>
      </c>
      <c r="E130" s="49"/>
      <c r="F130" s="49"/>
      <c r="G130" s="49"/>
      <c r="H130" s="49"/>
      <c r="I130" s="49" t="s">
        <v>410</v>
      </c>
      <c r="J130" s="252" t="n">
        <v>290</v>
      </c>
      <c r="K130" s="49" t="s">
        <v>411</v>
      </c>
      <c r="L130" s="49"/>
      <c r="M130" s="270"/>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9"/>
      <c r="D131" s="49"/>
      <c r="E131" s="49"/>
      <c r="F131" s="49"/>
      <c r="G131" s="49"/>
      <c r="H131" s="49"/>
      <c r="I131" s="49"/>
      <c r="J131" s="49"/>
      <c r="K131" s="49"/>
      <c r="L131" s="49"/>
      <c r="M131" s="270"/>
      <c r="N131" s="19"/>
      <c r="O131" s="291"/>
      <c r="P131" s="292" t="s">
        <v>444</v>
      </c>
      <c r="Q131" s="292"/>
      <c r="R131" s="292"/>
      <c r="S131" s="292"/>
      <c r="T131" s="292"/>
      <c r="U131" s="292"/>
      <c r="V131" s="293"/>
      <c r="W131" s="19"/>
      <c r="X131" s="19"/>
      <c r="Y131" s="19"/>
      <c r="Z131" s="19"/>
      <c r="AA131" s="19"/>
    </row>
    <row r="132" customFormat="false" ht="12" hidden="false" customHeight="true" outlineLevel="0" collapsed="false">
      <c r="A132" s="19"/>
      <c r="B132" s="19"/>
      <c r="C132" s="269"/>
      <c r="D132" s="49" t="s">
        <v>417</v>
      </c>
      <c r="E132" s="49"/>
      <c r="F132" s="49"/>
      <c r="G132" s="49"/>
      <c r="H132" s="49"/>
      <c r="I132" s="49" t="s">
        <v>418</v>
      </c>
      <c r="J132" s="252" t="n">
        <v>169.62</v>
      </c>
      <c r="K132" s="49" t="s">
        <v>411</v>
      </c>
      <c r="L132" s="49"/>
      <c r="M132" s="270"/>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9"/>
      <c r="D133" s="49"/>
      <c r="E133" s="49"/>
      <c r="F133" s="49"/>
      <c r="G133" s="49"/>
      <c r="H133" s="49"/>
      <c r="I133" s="49"/>
      <c r="J133" s="49"/>
      <c r="K133" s="49"/>
      <c r="L133" s="49"/>
      <c r="M133" s="270"/>
      <c r="N133" s="19"/>
      <c r="O133" s="291"/>
      <c r="P133" s="292"/>
      <c r="Q133" s="292" t="s">
        <v>445</v>
      </c>
      <c r="R133" s="292"/>
      <c r="S133" s="292"/>
      <c r="T133" s="318" t="n">
        <v>10</v>
      </c>
      <c r="U133" s="187" t="s">
        <v>446</v>
      </c>
      <c r="V133" s="293"/>
      <c r="W133" s="19"/>
      <c r="X133" s="19"/>
      <c r="Y133" s="19"/>
      <c r="Z133" s="19"/>
      <c r="AA133" s="19"/>
    </row>
    <row r="134" customFormat="false" ht="12" hidden="false" customHeight="true" outlineLevel="0" collapsed="false">
      <c r="A134" s="19"/>
      <c r="B134" s="19"/>
      <c r="C134" s="269"/>
      <c r="D134" s="49" t="s">
        <v>420</v>
      </c>
      <c r="E134" s="49"/>
      <c r="F134" s="287" t="n">
        <v>11</v>
      </c>
      <c r="G134" s="49" t="s">
        <v>258</v>
      </c>
      <c r="H134" s="49"/>
      <c r="I134" s="49" t="s">
        <v>421</v>
      </c>
      <c r="J134" s="313" t="n">
        <f aca="false">10^(F134/10)</f>
        <v>12.5892541179417</v>
      </c>
      <c r="K134" s="49"/>
      <c r="L134" s="49"/>
      <c r="M134" s="270"/>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9"/>
      <c r="D135" s="49"/>
      <c r="E135" s="49"/>
      <c r="F135" s="319"/>
      <c r="G135" s="49"/>
      <c r="H135" s="49"/>
      <c r="I135" s="49"/>
      <c r="J135" s="313"/>
      <c r="K135" s="49"/>
      <c r="L135" s="49"/>
      <c r="M135" s="270"/>
      <c r="N135" s="19"/>
      <c r="O135" s="291"/>
      <c r="P135" s="210" t="s">
        <v>60</v>
      </c>
      <c r="Q135" s="320" t="s">
        <v>447</v>
      </c>
      <c r="R135" s="292"/>
      <c r="S135" s="292"/>
      <c r="T135" s="258" t="n">
        <v>-132.4</v>
      </c>
      <c r="U135" s="187" t="s">
        <v>333</v>
      </c>
      <c r="V135" s="293"/>
      <c r="W135" s="19"/>
      <c r="X135" s="19"/>
      <c r="Y135" s="19"/>
      <c r="Z135" s="19"/>
      <c r="AA135" s="19"/>
    </row>
    <row r="136" customFormat="false" ht="12" hidden="false" customHeight="true" outlineLevel="0" collapsed="false">
      <c r="A136" s="19"/>
      <c r="B136" s="19"/>
      <c r="C136" s="269"/>
      <c r="D136" s="49" t="s">
        <v>448</v>
      </c>
      <c r="E136" s="49"/>
      <c r="F136" s="319"/>
      <c r="G136" s="210" t="s">
        <v>60</v>
      </c>
      <c r="H136" s="49"/>
      <c r="I136" s="49"/>
      <c r="J136" s="287" t="n">
        <v>0</v>
      </c>
      <c r="K136" s="49" t="s">
        <v>449</v>
      </c>
      <c r="L136" s="49"/>
      <c r="M136" s="270"/>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9"/>
      <c r="D137" s="49"/>
      <c r="E137" s="49"/>
      <c r="F137" s="319"/>
      <c r="G137" s="49"/>
      <c r="H137" s="49"/>
      <c r="I137" s="49"/>
      <c r="J137" s="313"/>
      <c r="K137" s="49"/>
      <c r="L137" s="49"/>
      <c r="M137" s="270"/>
      <c r="N137" s="19"/>
      <c r="O137" s="291"/>
      <c r="P137" s="292"/>
      <c r="Q137" s="320" t="s">
        <v>450</v>
      </c>
      <c r="R137" s="292"/>
      <c r="S137" s="292"/>
      <c r="T137" s="316" t="n">
        <f aca="false">10^((T135+198.6-10*LOG10(T133*1000))/10)</f>
        <v>416.8693835</v>
      </c>
      <c r="U137" s="317" t="s">
        <v>411</v>
      </c>
      <c r="V137" s="293"/>
      <c r="W137" s="19"/>
      <c r="X137" s="19"/>
      <c r="Y137" s="19"/>
      <c r="Z137" s="19"/>
      <c r="AA137" s="19"/>
    </row>
    <row r="138" customFormat="false" ht="12" hidden="false" customHeight="true" outlineLevel="0" collapsed="false">
      <c r="A138" s="19"/>
      <c r="B138" s="19"/>
      <c r="C138" s="269"/>
      <c r="D138" s="49" t="s">
        <v>451</v>
      </c>
      <c r="E138" s="49"/>
      <c r="F138" s="319"/>
      <c r="G138" s="49"/>
      <c r="H138" s="49"/>
      <c r="I138" s="49"/>
      <c r="J138" s="318" t="s">
        <v>452</v>
      </c>
      <c r="K138" s="187"/>
      <c r="L138" s="49"/>
      <c r="M138" s="270"/>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9"/>
      <c r="D139" s="49"/>
      <c r="E139" s="49"/>
      <c r="F139" s="319"/>
      <c r="G139" s="49"/>
      <c r="H139" s="49"/>
      <c r="I139" s="49"/>
      <c r="J139" s="313"/>
      <c r="K139" s="49"/>
      <c r="L139" s="49"/>
      <c r="M139" s="270"/>
      <c r="N139" s="19"/>
      <c r="O139" s="291"/>
      <c r="P139" s="292" t="s">
        <v>453</v>
      </c>
      <c r="Q139" s="292"/>
      <c r="R139" s="292"/>
      <c r="S139" s="292"/>
      <c r="T139" s="321" t="n">
        <f aca="false">T126+T137</f>
        <v>436.7380021</v>
      </c>
      <c r="U139" s="322" t="s">
        <v>411</v>
      </c>
      <c r="V139" s="293"/>
      <c r="W139" s="19"/>
      <c r="X139" s="19"/>
      <c r="Y139" s="19"/>
      <c r="Z139" s="19"/>
      <c r="AA139" s="19"/>
    </row>
    <row r="140" customFormat="false" ht="12" hidden="false" customHeight="true" outlineLevel="0" collapsed="false">
      <c r="A140" s="19"/>
      <c r="B140" s="19"/>
      <c r="C140" s="269"/>
      <c r="D140" s="49" t="s">
        <v>454</v>
      </c>
      <c r="E140" s="49"/>
      <c r="F140" s="319"/>
      <c r="G140" s="49"/>
      <c r="H140" s="49"/>
      <c r="I140" s="49"/>
      <c r="J140" s="323" t="n">
        <v>0.092</v>
      </c>
      <c r="K140" s="49" t="s">
        <v>455</v>
      </c>
      <c r="L140" s="49"/>
      <c r="M140" s="270"/>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9"/>
      <c r="D141" s="49"/>
      <c r="E141" s="49"/>
      <c r="F141" s="319"/>
      <c r="G141" s="49"/>
      <c r="H141" s="49"/>
      <c r="I141" s="49"/>
      <c r="J141" s="313"/>
      <c r="K141" s="49"/>
      <c r="L141" s="49"/>
      <c r="M141" s="270"/>
      <c r="N141" s="19"/>
      <c r="O141" s="291"/>
      <c r="P141" s="292" t="s">
        <v>456</v>
      </c>
      <c r="Q141" s="292"/>
      <c r="R141" s="292"/>
      <c r="S141" s="292"/>
      <c r="T141" s="321" t="n">
        <f aca="false">T128+T137</f>
        <v>501.1203219</v>
      </c>
      <c r="U141" s="322" t="s">
        <v>411</v>
      </c>
      <c r="V141" s="293"/>
      <c r="W141" s="19"/>
      <c r="X141" s="19"/>
      <c r="Y141" s="19"/>
      <c r="Z141" s="19"/>
      <c r="AA141" s="19"/>
    </row>
    <row r="142" customFormat="false" ht="12" hidden="false" customHeight="true" outlineLevel="0" collapsed="false">
      <c r="A142" s="19"/>
      <c r="B142" s="19"/>
      <c r="C142" s="269"/>
      <c r="D142" s="49" t="s">
        <v>457</v>
      </c>
      <c r="E142" s="49"/>
      <c r="F142" s="319"/>
      <c r="G142" s="49"/>
      <c r="H142" s="49"/>
      <c r="I142" s="49"/>
      <c r="J142" s="313" t="n">
        <f aca="false">J136*J140</f>
        <v>0</v>
      </c>
      <c r="K142" s="49" t="s">
        <v>258</v>
      </c>
      <c r="L142" s="49"/>
      <c r="M142" s="270"/>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9"/>
      <c r="D143" s="49"/>
      <c r="E143" s="49"/>
      <c r="F143" s="49"/>
      <c r="G143" s="49"/>
      <c r="H143" s="49"/>
      <c r="I143" s="49"/>
      <c r="J143" s="49"/>
      <c r="K143" s="49"/>
      <c r="L143" s="49"/>
      <c r="M143" s="270"/>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9"/>
      <c r="D144" s="49" t="s">
        <v>458</v>
      </c>
      <c r="E144" s="49"/>
      <c r="F144" s="49"/>
      <c r="G144" s="49"/>
      <c r="H144" s="49"/>
      <c r="I144" s="49" t="s">
        <v>459</v>
      </c>
      <c r="J144" s="252" t="n">
        <v>1000</v>
      </c>
      <c r="K144" s="49" t="s">
        <v>411</v>
      </c>
      <c r="L144" s="49"/>
      <c r="M144" s="270"/>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9"/>
      <c r="D145" s="49"/>
      <c r="E145" s="49"/>
      <c r="F145" s="49"/>
      <c r="G145" s="49"/>
      <c r="H145" s="49"/>
      <c r="I145" s="49"/>
      <c r="J145" s="49"/>
      <c r="K145" s="49"/>
      <c r="L145" s="49"/>
      <c r="M145" s="270"/>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9"/>
      <c r="D146" s="49"/>
      <c r="E146" s="49"/>
      <c r="F146" s="49"/>
      <c r="G146" s="49"/>
      <c r="H146" s="49"/>
      <c r="I146" s="49"/>
      <c r="J146" s="49"/>
      <c r="K146" s="49"/>
      <c r="L146" s="324"/>
      <c r="M146" s="270"/>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9"/>
      <c r="D147" s="49" t="s">
        <v>427</v>
      </c>
      <c r="E147" s="49"/>
      <c r="F147" s="49"/>
      <c r="G147" s="49"/>
      <c r="H147" s="49"/>
      <c r="I147" s="49" t="s">
        <v>428</v>
      </c>
      <c r="J147" s="325" t="n">
        <f aca="false">J128*J126+J130*(1-J126)+J132+(J144/(J134/(10^(J142/10))))</f>
        <v>673.741924821881</v>
      </c>
      <c r="K147" s="49" t="s">
        <v>411</v>
      </c>
      <c r="L147" s="49"/>
      <c r="M147" s="270"/>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9"/>
      <c r="D148" s="49"/>
      <c r="E148" s="49"/>
      <c r="F148" s="49"/>
      <c r="G148" s="49"/>
      <c r="H148" s="49"/>
      <c r="I148" s="49"/>
      <c r="J148" s="49"/>
      <c r="K148" s="49"/>
      <c r="L148" s="49"/>
      <c r="M148" s="270"/>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9"/>
      <c r="D149" s="49"/>
      <c r="E149" s="49"/>
      <c r="F149" s="49"/>
      <c r="G149" s="49"/>
      <c r="H149" s="49"/>
      <c r="I149" s="49"/>
      <c r="J149" s="49"/>
      <c r="K149" s="49"/>
      <c r="L149" s="49"/>
      <c r="M149" s="270"/>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6"/>
      <c r="D172" s="326"/>
      <c r="E172" s="326"/>
      <c r="F172" s="326"/>
      <c r="G172" s="326"/>
      <c r="H172" s="326"/>
      <c r="I172" s="326"/>
      <c r="J172" s="326"/>
      <c r="K172" s="326"/>
      <c r="L172" s="326"/>
      <c r="M172" s="326"/>
    </row>
    <row r="173" customFormat="false" ht="12" hidden="false" customHeight="true" outlineLevel="0" collapsed="false">
      <c r="C173" s="326"/>
      <c r="D173" s="326"/>
      <c r="E173" s="326"/>
      <c r="F173" s="326"/>
      <c r="G173" s="326"/>
      <c r="H173" s="326"/>
      <c r="I173" s="326"/>
      <c r="J173" s="326"/>
      <c r="K173" s="326"/>
      <c r="L173" s="326"/>
      <c r="M173" s="326"/>
    </row>
    <row r="174" customFormat="false" ht="12" hidden="false" customHeight="true" outlineLevel="0" collapsed="false">
      <c r="C174" s="326"/>
      <c r="D174" s="326"/>
      <c r="E174" s="326"/>
      <c r="F174" s="326"/>
      <c r="G174" s="326"/>
      <c r="H174" s="326"/>
      <c r="I174" s="326"/>
      <c r="J174" s="326"/>
      <c r="K174" s="326"/>
      <c r="L174" s="326"/>
      <c r="M174" s="326"/>
    </row>
    <row r="175" customFormat="false" ht="12" hidden="false" customHeight="true" outlineLevel="0" collapsed="false">
      <c r="C175" s="326"/>
      <c r="D175" s="326"/>
      <c r="E175" s="326"/>
      <c r="F175" s="326"/>
      <c r="G175" s="326"/>
      <c r="H175" s="326"/>
      <c r="I175" s="326"/>
      <c r="J175" s="326"/>
      <c r="K175" s="326"/>
      <c r="L175" s="326"/>
      <c r="M175" s="326"/>
    </row>
    <row r="176" customFormat="false" ht="12" hidden="false" customHeight="true" outlineLevel="0" collapsed="false">
      <c r="C176" s="326"/>
      <c r="D176" s="326"/>
      <c r="E176" s="326"/>
      <c r="F176" s="326"/>
      <c r="G176" s="326"/>
      <c r="H176" s="326"/>
      <c r="I176" s="326"/>
      <c r="J176" s="326"/>
      <c r="K176" s="326"/>
      <c r="L176" s="326"/>
      <c r="M176" s="326"/>
    </row>
    <row r="177" customFormat="false" ht="12" hidden="false" customHeight="true" outlineLevel="0" collapsed="false">
      <c r="C177" s="326"/>
      <c r="D177" s="326"/>
      <c r="E177" s="326"/>
      <c r="F177" s="326"/>
      <c r="G177" s="326"/>
      <c r="H177" s="326"/>
      <c r="I177" s="326"/>
      <c r="J177" s="326"/>
      <c r="K177" s="326"/>
      <c r="L177" s="326"/>
      <c r="M177" s="326"/>
    </row>
    <row r="178" customFormat="false" ht="12" hidden="false" customHeight="true" outlineLevel="0" collapsed="false">
      <c r="C178" s="326"/>
      <c r="D178" s="326"/>
      <c r="E178" s="326"/>
      <c r="F178" s="326"/>
      <c r="G178" s="326"/>
      <c r="H178" s="326"/>
      <c r="I178" s="326"/>
      <c r="J178" s="326"/>
      <c r="K178" s="326"/>
      <c r="L178" s="326"/>
      <c r="M178" s="326"/>
    </row>
    <row r="179" customFormat="false" ht="12" hidden="false" customHeight="true" outlineLevel="0" collapsed="false">
      <c r="C179" s="326"/>
      <c r="D179" s="326"/>
      <c r="E179" s="326"/>
      <c r="F179" s="326"/>
      <c r="G179" s="326"/>
      <c r="H179" s="326"/>
      <c r="I179" s="326"/>
      <c r="J179" s="326"/>
      <c r="K179" s="326"/>
      <c r="L179" s="326"/>
      <c r="M179" s="326"/>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12" activeCellId="0" sqref="K12"/>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460</v>
      </c>
      <c r="B1" s="39"/>
      <c r="C1" s="39"/>
      <c r="D1" s="39"/>
      <c r="E1" s="10"/>
      <c r="F1" s="10"/>
      <c r="G1" s="327" t="str">
        <f aca="false">'Title Page'!F3</f>
        <v>Coconut Cubesat</v>
      </c>
      <c r="H1" s="10"/>
      <c r="I1" s="10"/>
      <c r="J1" s="10"/>
      <c r="K1" s="10"/>
      <c r="L1" s="41" t="str">
        <f aca="false">'Title Page'!F23</f>
        <v>2025 June 08</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8" t="s">
        <v>461</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29"/>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29"/>
      <c r="B5" s="23" t="s">
        <v>384</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29"/>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29" t="s">
        <v>0</v>
      </c>
      <c r="B7" s="330" t="s">
        <v>462</v>
      </c>
      <c r="C7" s="331"/>
      <c r="D7" s="267"/>
      <c r="E7" s="267"/>
      <c r="F7" s="267"/>
      <c r="G7" s="267" t="s">
        <v>0</v>
      </c>
      <c r="H7" s="267"/>
      <c r="I7" s="267"/>
      <c r="J7" s="267" t="s">
        <v>0</v>
      </c>
      <c r="K7" s="267"/>
      <c r="L7" s="268"/>
      <c r="M7" s="19"/>
      <c r="N7" s="19"/>
      <c r="O7" s="19"/>
      <c r="P7" s="19"/>
      <c r="Q7" s="19"/>
      <c r="R7" s="19"/>
      <c r="S7" s="19"/>
      <c r="T7" s="19"/>
      <c r="U7" s="19"/>
      <c r="V7" s="19"/>
      <c r="W7" s="19"/>
      <c r="X7" s="19"/>
      <c r="Y7" s="19"/>
      <c r="Z7" s="19"/>
    </row>
    <row r="8" customFormat="false" ht="12" hidden="false" customHeight="true" outlineLevel="0" collapsed="false">
      <c r="A8" s="19"/>
      <c r="B8" s="332" t="s">
        <v>0</v>
      </c>
      <c r="C8" s="308"/>
      <c r="D8" s="271" t="s">
        <v>463</v>
      </c>
      <c r="E8" s="333" t="s">
        <v>309</v>
      </c>
      <c r="F8" s="334" t="n">
        <f aca="false">Frequency!M10</f>
        <v>437.5</v>
      </c>
      <c r="G8" s="49" t="s">
        <v>314</v>
      </c>
      <c r="H8" s="49"/>
      <c r="I8" s="49"/>
      <c r="J8" s="49" t="s">
        <v>464</v>
      </c>
      <c r="K8" s="335" t="n">
        <f aca="false">299.8/$F$8</f>
        <v>0.685257142857143</v>
      </c>
      <c r="L8" s="270" t="s">
        <v>315</v>
      </c>
      <c r="M8" s="19"/>
      <c r="N8" s="19"/>
      <c r="O8" s="19"/>
      <c r="P8" s="19"/>
      <c r="Q8" s="19"/>
      <c r="R8" s="19"/>
      <c r="S8" s="19"/>
      <c r="T8" s="19"/>
      <c r="U8" s="19"/>
      <c r="V8" s="19"/>
      <c r="W8" s="19"/>
      <c r="X8" s="19"/>
      <c r="Y8" s="19"/>
      <c r="Z8" s="19"/>
    </row>
    <row r="9" customFormat="false" ht="12" hidden="false" customHeight="true" outlineLevel="0" collapsed="false">
      <c r="A9" s="19"/>
      <c r="B9" s="269"/>
      <c r="C9" s="49"/>
      <c r="D9" s="49"/>
      <c r="E9" s="49"/>
      <c r="F9" s="49"/>
      <c r="G9" s="49"/>
      <c r="H9" s="49"/>
      <c r="I9" s="49"/>
      <c r="J9" s="49"/>
      <c r="K9" s="49"/>
      <c r="L9" s="270"/>
      <c r="M9" s="19"/>
      <c r="N9" s="19"/>
      <c r="O9" s="19"/>
      <c r="P9" s="19"/>
      <c r="Q9" s="19"/>
      <c r="R9" s="19"/>
      <c r="S9" s="19"/>
      <c r="T9" s="19"/>
      <c r="U9" s="19"/>
      <c r="V9" s="19"/>
      <c r="W9" s="19"/>
      <c r="X9" s="19"/>
      <c r="Y9" s="19"/>
      <c r="Z9" s="19"/>
    </row>
    <row r="10" customFormat="false" ht="12.75" hidden="false" customHeight="true" outlineLevel="0" collapsed="false">
      <c r="A10" s="98"/>
      <c r="B10" s="269"/>
      <c r="C10" s="49"/>
      <c r="D10" s="49"/>
      <c r="E10" s="49"/>
      <c r="F10" s="336" t="s">
        <v>465</v>
      </c>
      <c r="G10" s="49"/>
      <c r="H10" s="49"/>
      <c r="I10" s="49"/>
      <c r="J10" s="49"/>
      <c r="K10" s="49"/>
      <c r="L10" s="270"/>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2" t="s">
        <v>0</v>
      </c>
      <c r="C11" s="49"/>
      <c r="D11" s="49"/>
      <c r="E11" s="337" t="n">
        <v>4</v>
      </c>
      <c r="F11" s="338" t="str">
        <f aca="false" t="array" ref="F11:F11">INDEX(B13:B16,E11,1)</f>
        <v>Whip</v>
      </c>
      <c r="G11" s="339"/>
      <c r="H11" s="49"/>
      <c r="I11" s="49"/>
      <c r="J11" s="49" t="s">
        <v>466</v>
      </c>
      <c r="K11" s="50" t="s">
        <v>467</v>
      </c>
      <c r="L11" s="270"/>
      <c r="M11" s="19"/>
      <c r="N11" s="19"/>
      <c r="O11" s="19"/>
      <c r="P11" s="19"/>
      <c r="Q11" s="19"/>
      <c r="R11" s="19"/>
      <c r="S11" s="19"/>
      <c r="T11" s="19"/>
      <c r="U11" s="19"/>
      <c r="V11" s="19"/>
      <c r="W11" s="19"/>
      <c r="X11" s="19"/>
      <c r="Y11" s="19"/>
      <c r="Z11" s="19"/>
    </row>
    <row r="12" customFormat="false" ht="12.75" hidden="false" customHeight="true" outlineLevel="0" collapsed="false">
      <c r="A12" s="340" t="s">
        <v>468</v>
      </c>
      <c r="B12" s="341"/>
      <c r="C12" s="342"/>
      <c r="D12" s="342"/>
      <c r="E12" s="342"/>
      <c r="F12" s="342"/>
      <c r="G12" s="342"/>
      <c r="H12" s="342"/>
      <c r="I12" s="342"/>
      <c r="J12" s="342"/>
      <c r="K12" s="342"/>
      <c r="L12" s="343"/>
      <c r="M12" s="19"/>
      <c r="N12" s="19"/>
      <c r="O12" s="19"/>
      <c r="P12" s="19"/>
      <c r="Q12" s="19"/>
      <c r="R12" s="19"/>
      <c r="S12" s="19"/>
      <c r="T12" s="19"/>
      <c r="U12" s="19"/>
      <c r="V12" s="19"/>
      <c r="W12" s="19"/>
      <c r="X12" s="19"/>
      <c r="Y12" s="19"/>
      <c r="Z12" s="19"/>
    </row>
    <row r="13" customFormat="false" ht="36" hidden="false" customHeight="true" outlineLevel="0" collapsed="false">
      <c r="A13" s="344" t="n">
        <v>1</v>
      </c>
      <c r="B13" s="345" t="s">
        <v>469</v>
      </c>
      <c r="C13" s="345"/>
      <c r="D13" s="346" t="s">
        <v>470</v>
      </c>
      <c r="E13" s="347" t="n">
        <v>4</v>
      </c>
      <c r="F13" s="345"/>
      <c r="G13" s="346" t="s">
        <v>471</v>
      </c>
      <c r="H13" s="348" t="n">
        <f aca="false" t="array" ref="H13:H13">IF(E13&lt;$B$72,"too short!",INDEX($D$72:$D$110,MATCH(E13,$B$72:$B$110,1),1))</f>
        <v>14</v>
      </c>
      <c r="I13" s="345" t="s">
        <v>472</v>
      </c>
      <c r="J13" s="349" t="s">
        <v>473</v>
      </c>
      <c r="K13" s="345"/>
      <c r="L13" s="345"/>
      <c r="M13" s="350" t="s">
        <v>474</v>
      </c>
      <c r="N13" s="351" t="n">
        <f aca="false" t="array" ref="N13:N13">IF(E13&lt;$B$72,"too short!",INDEX($F$72:$F$110,MATCH(E13,$B$72:$B$110,1),1))</f>
        <v>17.45</v>
      </c>
      <c r="O13" s="352" t="s">
        <v>475</v>
      </c>
      <c r="P13" s="352" t="s">
        <v>476</v>
      </c>
      <c r="Q13" s="353" t="n">
        <f aca="false">SQRT(40000/(10^(N13/10)))</f>
        <v>26.8243987081074</v>
      </c>
      <c r="R13" s="352" t="s">
        <v>215</v>
      </c>
      <c r="S13" s="352" t="s">
        <v>477</v>
      </c>
      <c r="T13" s="352"/>
      <c r="U13" s="354" t="n">
        <f aca="false">K8*E13</f>
        <v>2.74102857142857</v>
      </c>
      <c r="V13" s="355" t="s">
        <v>315</v>
      </c>
      <c r="W13" s="19"/>
      <c r="X13" s="19"/>
      <c r="Y13" s="19"/>
      <c r="Z13" s="19"/>
    </row>
    <row r="14" customFormat="false" ht="36" hidden="false" customHeight="true" outlineLevel="0" collapsed="false">
      <c r="A14" s="356" t="n">
        <v>2</v>
      </c>
      <c r="B14" s="357" t="s">
        <v>478</v>
      </c>
      <c r="C14" s="357"/>
      <c r="D14" s="357" t="s">
        <v>479</v>
      </c>
      <c r="E14" s="358" t="n">
        <v>0.5</v>
      </c>
      <c r="F14" s="357"/>
      <c r="G14" s="359" t="s">
        <v>480</v>
      </c>
      <c r="H14" s="358" t="n">
        <v>0.25</v>
      </c>
      <c r="I14" s="357"/>
      <c r="J14" s="359" t="s">
        <v>481</v>
      </c>
      <c r="K14" s="360" t="n">
        <v>1</v>
      </c>
      <c r="L14" s="357"/>
      <c r="M14" s="357" t="s">
        <v>482</v>
      </c>
      <c r="N14" s="361" t="n">
        <f aca="false">10*LOG10(15*K14^2*E14*H14)</f>
        <v>2.73001272063738</v>
      </c>
      <c r="O14" s="357" t="s">
        <v>475</v>
      </c>
      <c r="P14" s="357" t="s">
        <v>476</v>
      </c>
      <c r="Q14" s="362" t="n">
        <f aca="false">52.2/(K14*((E14*H14)^0.5))</f>
        <v>147.643895911751</v>
      </c>
      <c r="R14" s="357" t="s">
        <v>215</v>
      </c>
      <c r="S14" s="359"/>
      <c r="T14" s="359" t="s">
        <v>483</v>
      </c>
      <c r="U14" s="363" t="n">
        <f aca="false">H14*E14*K8</f>
        <v>0.0856571428571429</v>
      </c>
      <c r="V14" s="364" t="s">
        <v>315</v>
      </c>
      <c r="W14" s="19"/>
      <c r="X14" s="19"/>
      <c r="Y14" s="19"/>
      <c r="Z14" s="19"/>
    </row>
    <row r="15" customFormat="false" ht="36" hidden="false" customHeight="true" outlineLevel="0" collapsed="false">
      <c r="A15" s="365" t="n">
        <v>3</v>
      </c>
      <c r="B15" s="366" t="s">
        <v>484</v>
      </c>
      <c r="C15" s="366"/>
      <c r="D15" s="366"/>
      <c r="E15" s="366"/>
      <c r="F15" s="366"/>
      <c r="G15" s="367" t="s">
        <v>485</v>
      </c>
      <c r="H15" s="368" t="n">
        <v>5.4</v>
      </c>
      <c r="I15" s="366"/>
      <c r="J15" s="367" t="s">
        <v>486</v>
      </c>
      <c r="K15" s="369" t="n">
        <v>0.55</v>
      </c>
      <c r="L15" s="366"/>
      <c r="M15" s="366" t="s">
        <v>482</v>
      </c>
      <c r="N15" s="361" t="n">
        <f aca="false">20.4+20*LOG10(H15)+20*LOG10(F8/1000)+10*LOG10(K15)</f>
        <v>25.2710632385685</v>
      </c>
      <c r="O15" s="366" t="s">
        <v>475</v>
      </c>
      <c r="P15" s="366" t="s">
        <v>476</v>
      </c>
      <c r="Q15" s="362" t="n">
        <f aca="false">21/((F8/1000)*H15)</f>
        <v>8.88888888888889</v>
      </c>
      <c r="R15" s="366" t="s">
        <v>215</v>
      </c>
      <c r="S15" s="366"/>
      <c r="T15" s="366"/>
      <c r="U15" s="366"/>
      <c r="V15" s="370"/>
      <c r="W15" s="19"/>
      <c r="X15" s="19"/>
      <c r="Y15" s="19"/>
      <c r="Z15" s="19"/>
    </row>
    <row r="16" customFormat="false" ht="36" hidden="false" customHeight="true" outlineLevel="0" collapsed="false">
      <c r="A16" s="371" t="n">
        <v>4</v>
      </c>
      <c r="B16" s="342" t="s">
        <v>487</v>
      </c>
      <c r="C16" s="342"/>
      <c r="D16" s="372" t="s">
        <v>488</v>
      </c>
      <c r="E16" s="372"/>
      <c r="F16" s="372"/>
      <c r="G16" s="373"/>
      <c r="H16" s="374"/>
      <c r="I16" s="342"/>
      <c r="J16" s="375"/>
      <c r="K16" s="376"/>
      <c r="L16" s="342"/>
      <c r="M16" s="342" t="s">
        <v>482</v>
      </c>
      <c r="N16" s="377" t="n">
        <v>2</v>
      </c>
      <c r="O16" s="342" t="s">
        <v>475</v>
      </c>
      <c r="P16" s="342" t="s">
        <v>476</v>
      </c>
      <c r="Q16" s="378" t="n">
        <v>330</v>
      </c>
      <c r="R16" s="342" t="s">
        <v>215</v>
      </c>
      <c r="S16" s="342" t="s">
        <v>477</v>
      </c>
      <c r="T16" s="342"/>
      <c r="U16" s="379" t="n">
        <v>0.375</v>
      </c>
      <c r="V16" s="380" t="s">
        <v>315</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0" t="s">
        <v>489</v>
      </c>
      <c r="C21" s="331"/>
      <c r="D21" s="267"/>
      <c r="E21" s="267"/>
      <c r="F21" s="267"/>
      <c r="G21" s="267"/>
      <c r="H21" s="267"/>
      <c r="I21" s="267"/>
      <c r="J21" s="267"/>
      <c r="K21" s="267"/>
      <c r="L21" s="268"/>
      <c r="M21" s="19"/>
      <c r="N21" s="19"/>
      <c r="O21" s="19"/>
      <c r="P21" s="19"/>
      <c r="Q21" s="19"/>
      <c r="R21" s="19"/>
      <c r="S21" s="19"/>
      <c r="T21" s="19"/>
      <c r="U21" s="19"/>
      <c r="V21" s="19"/>
      <c r="W21" s="19"/>
      <c r="X21" s="19"/>
      <c r="Y21" s="19"/>
      <c r="Z21" s="19"/>
    </row>
    <row r="22" customFormat="false" ht="12" hidden="false" customHeight="true" outlineLevel="0" collapsed="false">
      <c r="A22" s="98"/>
      <c r="B22" s="269"/>
      <c r="C22" s="49"/>
      <c r="D22" s="271" t="s">
        <v>463</v>
      </c>
      <c r="E22" s="49" t="s">
        <v>309</v>
      </c>
      <c r="F22" s="334" t="n">
        <f aca="false">F8</f>
        <v>437.5</v>
      </c>
      <c r="G22" s="49" t="s">
        <v>314</v>
      </c>
      <c r="H22" s="49"/>
      <c r="I22" s="49"/>
      <c r="J22" s="49" t="s">
        <v>464</v>
      </c>
      <c r="K22" s="335" t="n">
        <f aca="false">299.8/F22</f>
        <v>0.685257142857143</v>
      </c>
      <c r="L22" s="270" t="s">
        <v>315</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9"/>
      <c r="C23" s="49"/>
      <c r="D23" s="49" t="s">
        <v>0</v>
      </c>
      <c r="E23" s="49" t="s">
        <v>0</v>
      </c>
      <c r="F23" s="336" t="s">
        <v>490</v>
      </c>
      <c r="G23" s="49"/>
      <c r="H23" s="49"/>
      <c r="I23" s="49"/>
      <c r="J23" s="49"/>
      <c r="K23" s="49"/>
      <c r="L23" s="270"/>
      <c r="M23" s="19"/>
      <c r="N23" s="19"/>
      <c r="O23" s="19"/>
      <c r="P23" s="19"/>
      <c r="Q23" s="19"/>
      <c r="R23" s="19"/>
      <c r="S23" s="19"/>
      <c r="T23" s="19"/>
      <c r="U23" s="19"/>
      <c r="V23" s="19"/>
      <c r="W23" s="19"/>
      <c r="X23" s="19"/>
      <c r="Y23" s="19"/>
      <c r="Z23" s="19"/>
    </row>
    <row r="24" customFormat="false" ht="12.75" hidden="false" customHeight="true" outlineLevel="0" collapsed="false">
      <c r="A24" s="98"/>
      <c r="B24" s="332" t="s">
        <v>0</v>
      </c>
      <c r="C24" s="49"/>
      <c r="D24" s="49"/>
      <c r="E24" s="337" t="n">
        <v>7</v>
      </c>
      <c r="F24" s="381" t="s">
        <v>491</v>
      </c>
      <c r="G24" s="339"/>
      <c r="H24" s="49"/>
      <c r="I24" s="49"/>
      <c r="J24" s="49" t="s">
        <v>466</v>
      </c>
      <c r="K24" s="50" t="s">
        <v>492</v>
      </c>
      <c r="L24" s="270"/>
      <c r="M24" s="19"/>
      <c r="N24" s="19"/>
      <c r="O24" s="19"/>
      <c r="P24" s="19"/>
      <c r="Q24" s="19"/>
      <c r="R24" s="19"/>
      <c r="S24" s="19"/>
      <c r="T24" s="19"/>
      <c r="U24" s="19"/>
      <c r="V24" s="19"/>
      <c r="W24" s="19"/>
      <c r="X24" s="19"/>
      <c r="Y24" s="19"/>
      <c r="Z24" s="19"/>
    </row>
    <row r="25" customFormat="false" ht="12.75" hidden="false" customHeight="true" outlineLevel="0" collapsed="false">
      <c r="A25" s="160" t="s">
        <v>468</v>
      </c>
      <c r="B25" s="269"/>
      <c r="C25" s="49"/>
      <c r="D25" s="49"/>
      <c r="E25" s="49"/>
      <c r="F25" s="49" t="s">
        <v>0</v>
      </c>
      <c r="G25" s="49"/>
      <c r="H25" s="49"/>
      <c r="I25" s="49"/>
      <c r="J25" s="49"/>
      <c r="K25" s="49"/>
      <c r="L25" s="270"/>
      <c r="M25" s="19"/>
      <c r="N25" s="19"/>
      <c r="O25" s="19"/>
      <c r="P25" s="19"/>
      <c r="Q25" s="19"/>
      <c r="R25" s="19"/>
      <c r="S25" s="19"/>
      <c r="T25" s="19"/>
      <c r="U25" s="19"/>
      <c r="V25" s="19"/>
      <c r="W25" s="19"/>
      <c r="X25" s="19"/>
      <c r="Y25" s="19"/>
      <c r="Z25" s="19"/>
    </row>
    <row r="26" customFormat="false" ht="36" hidden="false" customHeight="true" outlineLevel="0" collapsed="false">
      <c r="A26" s="382" t="n">
        <v>1</v>
      </c>
      <c r="B26" s="383" t="s">
        <v>493</v>
      </c>
      <c r="C26" s="383"/>
      <c r="D26" s="383"/>
      <c r="E26" s="383"/>
      <c r="F26" s="383"/>
      <c r="G26" s="383" t="s">
        <v>482</v>
      </c>
      <c r="H26" s="384" t="n">
        <v>2.15</v>
      </c>
      <c r="I26" s="383" t="s">
        <v>494</v>
      </c>
      <c r="J26" s="383"/>
      <c r="K26" s="383" t="s">
        <v>476</v>
      </c>
      <c r="L26" s="384" t="n">
        <v>156.2</v>
      </c>
      <c r="M26" s="383" t="s">
        <v>215</v>
      </c>
      <c r="N26" s="383" t="s">
        <v>495</v>
      </c>
      <c r="O26" s="383"/>
      <c r="P26" s="383"/>
      <c r="Q26" s="383"/>
      <c r="R26" s="383"/>
      <c r="S26" s="383"/>
      <c r="T26" s="383"/>
      <c r="U26" s="383"/>
      <c r="V26" s="385"/>
      <c r="W26" s="19"/>
      <c r="X26" s="19"/>
      <c r="Y26" s="19"/>
      <c r="Z26" s="19"/>
    </row>
    <row r="27" customFormat="false" ht="36" hidden="false" customHeight="true" outlineLevel="0" collapsed="false">
      <c r="A27" s="386" t="n">
        <v>2</v>
      </c>
      <c r="B27" s="49" t="s">
        <v>496</v>
      </c>
      <c r="C27" s="49"/>
      <c r="D27" s="49"/>
      <c r="E27" s="49"/>
      <c r="F27" s="49"/>
      <c r="G27" s="49" t="s">
        <v>482</v>
      </c>
      <c r="H27" s="387" t="n">
        <v>2.15</v>
      </c>
      <c r="I27" s="49" t="s">
        <v>494</v>
      </c>
      <c r="J27" s="49"/>
      <c r="K27" s="49" t="s">
        <v>476</v>
      </c>
      <c r="L27" s="387" t="n">
        <v>156.2</v>
      </c>
      <c r="M27" s="49" t="s">
        <v>215</v>
      </c>
      <c r="N27" s="49" t="s">
        <v>497</v>
      </c>
      <c r="O27" s="49"/>
      <c r="P27" s="49"/>
      <c r="Q27" s="49"/>
      <c r="R27" s="49"/>
      <c r="S27" s="49"/>
      <c r="T27" s="49"/>
      <c r="U27" s="49"/>
      <c r="V27" s="388"/>
      <c r="W27" s="19"/>
      <c r="X27" s="19"/>
      <c r="Y27" s="19"/>
      <c r="Z27" s="19"/>
    </row>
    <row r="28" customFormat="false" ht="35.25" hidden="false" customHeight="true" outlineLevel="0" collapsed="false">
      <c r="A28" s="389" t="n">
        <v>3</v>
      </c>
      <c r="B28" s="390" t="s">
        <v>498</v>
      </c>
      <c r="C28" s="390"/>
      <c r="D28" s="390"/>
      <c r="E28" s="390"/>
      <c r="F28" s="390"/>
      <c r="G28" s="390" t="s">
        <v>482</v>
      </c>
      <c r="H28" s="391" t="n">
        <f aca="false">IF(K24=K11,2,0.5)</f>
        <v>0.5</v>
      </c>
      <c r="I28" s="390" t="s">
        <v>475</v>
      </c>
      <c r="J28" s="390" t="s">
        <v>499</v>
      </c>
      <c r="K28" s="390" t="s">
        <v>476</v>
      </c>
      <c r="L28" s="387" t="n">
        <v>180</v>
      </c>
      <c r="M28" s="390" t="s">
        <v>215</v>
      </c>
      <c r="N28" s="390" t="s">
        <v>500</v>
      </c>
      <c r="O28" s="390"/>
      <c r="P28" s="390"/>
      <c r="Q28" s="390"/>
      <c r="R28" s="390"/>
      <c r="S28" s="390"/>
      <c r="T28" s="390"/>
      <c r="U28" s="390"/>
      <c r="V28" s="392"/>
      <c r="W28" s="19"/>
      <c r="X28" s="19"/>
      <c r="Y28" s="19"/>
      <c r="Z28" s="19"/>
    </row>
    <row r="29" customFormat="false" ht="36" hidden="false" customHeight="true" outlineLevel="0" collapsed="false">
      <c r="A29" s="386" t="n">
        <v>4</v>
      </c>
      <c r="B29" s="49" t="s">
        <v>501</v>
      </c>
      <c r="C29" s="49"/>
      <c r="D29" s="272" t="s">
        <v>502</v>
      </c>
      <c r="E29" s="49" t="s">
        <v>503</v>
      </c>
      <c r="F29" s="49"/>
      <c r="G29" s="49" t="s">
        <v>482</v>
      </c>
      <c r="H29" s="391" t="n">
        <v>4</v>
      </c>
      <c r="I29" s="49" t="s">
        <v>475</v>
      </c>
      <c r="J29" s="49"/>
      <c r="K29" s="49" t="s">
        <v>476</v>
      </c>
      <c r="L29" s="387" t="n">
        <v>150</v>
      </c>
      <c r="M29" s="49" t="s">
        <v>215</v>
      </c>
      <c r="N29" s="49" t="s">
        <v>504</v>
      </c>
      <c r="O29" s="49"/>
      <c r="P29" s="49"/>
      <c r="Q29" s="49"/>
      <c r="R29" s="49"/>
      <c r="S29" s="49"/>
      <c r="T29" s="49"/>
      <c r="U29" s="49"/>
      <c r="V29" s="388"/>
      <c r="W29" s="19"/>
      <c r="X29" s="19"/>
      <c r="Y29" s="19"/>
      <c r="Z29" s="19"/>
    </row>
    <row r="30" customFormat="false" ht="36" hidden="false" customHeight="true" outlineLevel="0" collapsed="false">
      <c r="A30" s="389" t="n">
        <v>5</v>
      </c>
      <c r="B30" s="390" t="s">
        <v>505</v>
      </c>
      <c r="C30" s="390"/>
      <c r="D30" s="393" t="s">
        <v>0</v>
      </c>
      <c r="E30" s="390"/>
      <c r="F30" s="390"/>
      <c r="G30" s="390" t="s">
        <v>482</v>
      </c>
      <c r="H30" s="394" t="n">
        <v>6</v>
      </c>
      <c r="I30" s="390" t="s">
        <v>506</v>
      </c>
      <c r="J30" s="390"/>
      <c r="K30" s="390" t="s">
        <v>476</v>
      </c>
      <c r="L30" s="387" t="n">
        <v>90</v>
      </c>
      <c r="M30" s="390" t="s">
        <v>215</v>
      </c>
      <c r="N30" s="390" t="s">
        <v>507</v>
      </c>
      <c r="O30" s="390"/>
      <c r="P30" s="390"/>
      <c r="Q30" s="390"/>
      <c r="R30" s="390"/>
      <c r="S30" s="390"/>
      <c r="T30" s="390"/>
      <c r="U30" s="390"/>
      <c r="V30" s="392"/>
      <c r="W30" s="19"/>
      <c r="X30" s="19"/>
      <c r="Y30" s="19"/>
      <c r="Z30" s="19"/>
    </row>
    <row r="31" customFormat="false" ht="36" hidden="false" customHeight="true" outlineLevel="0" collapsed="false">
      <c r="A31" s="386" t="n">
        <v>6</v>
      </c>
      <c r="B31" s="49" t="s">
        <v>484</v>
      </c>
      <c r="C31" s="49"/>
      <c r="D31" s="275"/>
      <c r="E31" s="49"/>
      <c r="F31" s="49"/>
      <c r="G31" s="49" t="s">
        <v>482</v>
      </c>
      <c r="H31" s="394" t="n">
        <f aca="false">20.4+20*LOG10(T31)+20*LOG10(F8/1000)+10*LOG10(V31)</f>
        <v>25.2710632385685</v>
      </c>
      <c r="I31" s="49" t="s">
        <v>506</v>
      </c>
      <c r="J31" s="49"/>
      <c r="K31" s="49" t="s">
        <v>476</v>
      </c>
      <c r="L31" s="394" t="n">
        <f aca="false">21/((F8/1000)*T31)</f>
        <v>8.88888888888889</v>
      </c>
      <c r="M31" s="49" t="s">
        <v>215</v>
      </c>
      <c r="N31" s="49" t="s">
        <v>508</v>
      </c>
      <c r="O31" s="49"/>
      <c r="P31" s="49"/>
      <c r="Q31" s="49"/>
      <c r="R31" s="49"/>
      <c r="S31" s="395" t="s">
        <v>509</v>
      </c>
      <c r="T31" s="396" t="n">
        <v>5.4</v>
      </c>
      <c r="U31" s="397" t="s">
        <v>510</v>
      </c>
      <c r="V31" s="398" t="n">
        <v>0.55</v>
      </c>
      <c r="W31" s="19"/>
      <c r="X31" s="19"/>
      <c r="Y31" s="19"/>
      <c r="Z31" s="19"/>
    </row>
    <row r="32" customFormat="false" ht="36" hidden="false" customHeight="true" outlineLevel="0" collapsed="false">
      <c r="A32" s="399" t="n">
        <v>7</v>
      </c>
      <c r="B32" s="400" t="s">
        <v>511</v>
      </c>
      <c r="C32" s="401"/>
      <c r="D32" s="402"/>
      <c r="E32" s="401"/>
      <c r="F32" s="401"/>
      <c r="G32" s="401" t="s">
        <v>482</v>
      </c>
      <c r="H32" s="403" t="n">
        <v>0</v>
      </c>
      <c r="I32" s="401" t="s">
        <v>512</v>
      </c>
      <c r="J32" s="401"/>
      <c r="K32" s="401" t="s">
        <v>476</v>
      </c>
      <c r="L32" s="372" t="n">
        <v>180</v>
      </c>
      <c r="M32" s="390" t="s">
        <v>215</v>
      </c>
      <c r="N32" s="400" t="s">
        <v>513</v>
      </c>
      <c r="O32" s="401"/>
      <c r="P32" s="401"/>
      <c r="Q32" s="401"/>
      <c r="R32" s="401"/>
      <c r="S32" s="401"/>
      <c r="T32" s="401"/>
      <c r="U32" s="401"/>
      <c r="V32" s="404"/>
      <c r="W32" s="19"/>
      <c r="X32" s="19"/>
      <c r="Y32" s="19"/>
      <c r="Z32" s="19"/>
    </row>
    <row r="33" customFormat="false" ht="12.75" hidden="false" customHeight="true" outlineLevel="0" collapsed="false">
      <c r="A33" s="405"/>
      <c r="B33" s="406"/>
      <c r="C33" s="406"/>
      <c r="D33" s="406"/>
      <c r="E33" s="406"/>
      <c r="F33" s="406"/>
      <c r="G33" s="406"/>
      <c r="H33" s="406"/>
      <c r="I33" s="406"/>
      <c r="J33" s="406"/>
      <c r="K33" s="406"/>
      <c r="L33" s="406"/>
      <c r="M33" s="406"/>
      <c r="N33" s="406"/>
      <c r="O33" s="406"/>
      <c r="P33" s="406"/>
      <c r="Q33" s="406"/>
      <c r="R33" s="406"/>
      <c r="S33" s="406"/>
      <c r="T33" s="406"/>
      <c r="U33" s="406"/>
      <c r="V33" s="406"/>
      <c r="W33" s="19"/>
      <c r="X33" s="19"/>
      <c r="Y33" s="19"/>
      <c r="Z33" s="19"/>
    </row>
    <row r="34" customFormat="false" ht="15.75" hidden="false" customHeight="true" outlineLevel="0" collapsed="false">
      <c r="A34" s="407"/>
      <c r="B34" s="407"/>
      <c r="C34" s="408" t="s">
        <v>514</v>
      </c>
      <c r="D34" s="407"/>
      <c r="E34" s="407"/>
      <c r="F34" s="407"/>
      <c r="G34" s="407"/>
      <c r="H34" s="407"/>
      <c r="I34" s="407"/>
      <c r="J34" s="408" t="s">
        <v>515</v>
      </c>
      <c r="K34" s="407"/>
      <c r="L34" s="407"/>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8" t="s">
        <v>516</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0" t="s">
        <v>517</v>
      </c>
      <c r="C38" s="331"/>
      <c r="D38" s="267"/>
      <c r="E38" s="267"/>
      <c r="F38" s="267"/>
      <c r="G38" s="267"/>
      <c r="H38" s="267"/>
      <c r="I38" s="267"/>
      <c r="J38" s="267"/>
      <c r="K38" s="267"/>
      <c r="L38" s="268"/>
      <c r="M38" s="19"/>
      <c r="N38" s="19" t="s">
        <v>0</v>
      </c>
      <c r="O38" s="19"/>
      <c r="P38" s="19"/>
      <c r="Q38" s="19"/>
      <c r="R38" s="19"/>
      <c r="S38" s="19"/>
      <c r="T38" s="19"/>
      <c r="U38" s="19"/>
      <c r="V38" s="19"/>
      <c r="W38" s="19"/>
      <c r="X38" s="19"/>
      <c r="Y38" s="19"/>
      <c r="Z38" s="19"/>
    </row>
    <row r="39" customFormat="false" ht="12" hidden="false" customHeight="true" outlineLevel="0" collapsed="false">
      <c r="A39" s="98"/>
      <c r="B39" s="269"/>
      <c r="C39" s="49"/>
      <c r="D39" s="49" t="s">
        <v>518</v>
      </c>
      <c r="E39" s="49" t="s">
        <v>309</v>
      </c>
      <c r="F39" s="334" t="n">
        <f aca="false">Frequency!M16</f>
        <v>437.45</v>
      </c>
      <c r="G39" s="49" t="s">
        <v>314</v>
      </c>
      <c r="H39" s="49"/>
      <c r="I39" s="49"/>
      <c r="J39" s="49" t="s">
        <v>464</v>
      </c>
      <c r="K39" s="335" t="n">
        <f aca="false">299.8/F39</f>
        <v>0.685335466910504</v>
      </c>
      <c r="L39" s="270" t="s">
        <v>315</v>
      </c>
      <c r="M39" s="19"/>
      <c r="N39" s="19"/>
      <c r="O39" s="19"/>
      <c r="P39" s="19"/>
      <c r="Q39" s="19"/>
      <c r="R39" s="19"/>
      <c r="S39" s="19"/>
      <c r="T39" s="19"/>
      <c r="U39" s="19"/>
      <c r="V39" s="19"/>
      <c r="W39" s="19"/>
      <c r="X39" s="19"/>
      <c r="Y39" s="19"/>
      <c r="Z39" s="19"/>
    </row>
    <row r="40" customFormat="false" ht="12.75" hidden="false" customHeight="true" outlineLevel="0" collapsed="false">
      <c r="A40" s="98"/>
      <c r="B40" s="269"/>
      <c r="C40" s="49"/>
      <c r="D40" s="49"/>
      <c r="E40" s="49"/>
      <c r="F40" s="336" t="s">
        <v>519</v>
      </c>
      <c r="G40" s="49"/>
      <c r="H40" s="49"/>
      <c r="I40" s="49"/>
      <c r="J40" s="49"/>
      <c r="K40" s="49"/>
      <c r="L40" s="270"/>
      <c r="M40" s="19"/>
      <c r="N40" s="19"/>
      <c r="O40" s="19"/>
      <c r="P40" s="19"/>
      <c r="Q40" s="19"/>
      <c r="R40" s="19"/>
      <c r="S40" s="19"/>
      <c r="T40" s="19"/>
      <c r="U40" s="19"/>
      <c r="V40" s="19"/>
      <c r="W40" s="19"/>
      <c r="X40" s="19"/>
      <c r="Y40" s="19"/>
      <c r="Z40" s="19"/>
    </row>
    <row r="41" customFormat="false" ht="12.75" hidden="false" customHeight="true" outlineLevel="0" collapsed="false">
      <c r="A41" s="98"/>
      <c r="B41" s="332" t="s">
        <v>0</v>
      </c>
      <c r="C41" s="49"/>
      <c r="D41" s="49"/>
      <c r="E41" s="337" t="n">
        <v>7</v>
      </c>
      <c r="F41" s="381" t="str">
        <f aca="false" t="array" ref="F41:F41">INDEX(B43:B49,E41,1)</f>
        <v>Deployable Turnstyle</v>
      </c>
      <c r="G41" s="339"/>
      <c r="H41" s="49"/>
      <c r="I41" s="49"/>
      <c r="J41" s="49" t="s">
        <v>466</v>
      </c>
      <c r="K41" s="50" t="s">
        <v>492</v>
      </c>
      <c r="L41" s="270"/>
      <c r="M41" s="19"/>
      <c r="N41" s="19"/>
      <c r="O41" s="19"/>
      <c r="P41" s="19"/>
      <c r="Q41" s="19"/>
      <c r="R41" s="19"/>
      <c r="S41" s="19"/>
      <c r="T41" s="19"/>
      <c r="U41" s="19"/>
      <c r="V41" s="19"/>
      <c r="W41" s="19"/>
      <c r="X41" s="19"/>
      <c r="Y41" s="19"/>
      <c r="Z41" s="19"/>
    </row>
    <row r="42" customFormat="false" ht="12.75" hidden="false" customHeight="true" outlineLevel="0" collapsed="false">
      <c r="A42" s="160" t="s">
        <v>468</v>
      </c>
      <c r="B42" s="269"/>
      <c r="C42" s="49"/>
      <c r="D42" s="49"/>
      <c r="E42" s="49"/>
      <c r="F42" s="49" t="s">
        <v>0</v>
      </c>
      <c r="G42" s="49"/>
      <c r="H42" s="49"/>
      <c r="I42" s="49"/>
      <c r="J42" s="49"/>
      <c r="K42" s="49"/>
      <c r="L42" s="270"/>
      <c r="M42" s="19"/>
      <c r="N42" s="19"/>
      <c r="O42" s="19"/>
      <c r="P42" s="19"/>
      <c r="Q42" s="19"/>
      <c r="R42" s="19"/>
      <c r="S42" s="19"/>
      <c r="T42" s="19"/>
      <c r="U42" s="19"/>
      <c r="V42" s="19"/>
      <c r="W42" s="19"/>
      <c r="X42" s="19"/>
      <c r="Y42" s="19"/>
      <c r="Z42" s="19"/>
    </row>
    <row r="43" customFormat="false" ht="36" hidden="false" customHeight="true" outlineLevel="0" collapsed="false">
      <c r="A43" s="382" t="n">
        <v>1</v>
      </c>
      <c r="B43" s="383" t="s">
        <v>493</v>
      </c>
      <c r="C43" s="383"/>
      <c r="D43" s="383"/>
      <c r="E43" s="383"/>
      <c r="F43" s="383"/>
      <c r="G43" s="383" t="s">
        <v>482</v>
      </c>
      <c r="H43" s="384" t="n">
        <v>2.15</v>
      </c>
      <c r="I43" s="383" t="s">
        <v>494</v>
      </c>
      <c r="J43" s="383"/>
      <c r="K43" s="383" t="s">
        <v>476</v>
      </c>
      <c r="L43" s="384" t="n">
        <v>156.2</v>
      </c>
      <c r="M43" s="383" t="s">
        <v>215</v>
      </c>
      <c r="N43" s="383" t="s">
        <v>520</v>
      </c>
      <c r="O43" s="383"/>
      <c r="P43" s="383"/>
      <c r="Q43" s="383"/>
      <c r="R43" s="383"/>
      <c r="S43" s="383"/>
      <c r="T43" s="383"/>
      <c r="U43" s="383"/>
      <c r="V43" s="385"/>
      <c r="W43" s="19"/>
      <c r="X43" s="19"/>
      <c r="Y43" s="19"/>
      <c r="Z43" s="19"/>
    </row>
    <row r="44" customFormat="false" ht="36" hidden="false" customHeight="true" outlineLevel="0" collapsed="false">
      <c r="A44" s="386" t="n">
        <v>2</v>
      </c>
      <c r="B44" s="49" t="s">
        <v>496</v>
      </c>
      <c r="C44" s="49"/>
      <c r="D44" s="49"/>
      <c r="E44" s="49"/>
      <c r="F44" s="49"/>
      <c r="G44" s="49" t="s">
        <v>482</v>
      </c>
      <c r="H44" s="387" t="n">
        <v>2.15</v>
      </c>
      <c r="I44" s="49" t="s">
        <v>494</v>
      </c>
      <c r="J44" s="49"/>
      <c r="K44" s="49" t="s">
        <v>476</v>
      </c>
      <c r="L44" s="387" t="n">
        <v>156.2</v>
      </c>
      <c r="M44" s="49" t="s">
        <v>215</v>
      </c>
      <c r="N44" s="49" t="s">
        <v>497</v>
      </c>
      <c r="O44" s="49"/>
      <c r="P44" s="49"/>
      <c r="Q44" s="49"/>
      <c r="R44" s="49"/>
      <c r="S44" s="49"/>
      <c r="T44" s="49"/>
      <c r="U44" s="49"/>
      <c r="V44" s="388"/>
      <c r="W44" s="19"/>
      <c r="X44" s="19"/>
      <c r="Y44" s="19"/>
      <c r="Z44" s="19"/>
    </row>
    <row r="45" customFormat="false" ht="36" hidden="false" customHeight="true" outlineLevel="0" collapsed="false">
      <c r="A45" s="389" t="n">
        <v>3</v>
      </c>
      <c r="B45" s="390" t="s">
        <v>498</v>
      </c>
      <c r="C45" s="390"/>
      <c r="D45" s="390"/>
      <c r="E45" s="390"/>
      <c r="F45" s="390"/>
      <c r="G45" s="390" t="s">
        <v>482</v>
      </c>
      <c r="H45" s="391" t="n">
        <f aca="false">IF(K58=K41,2,0.5)</f>
        <v>0.5</v>
      </c>
      <c r="I45" s="390" t="s">
        <v>475</v>
      </c>
      <c r="J45" s="390" t="s">
        <v>499</v>
      </c>
      <c r="K45" s="390" t="s">
        <v>476</v>
      </c>
      <c r="L45" s="387" t="n">
        <v>180</v>
      </c>
      <c r="M45" s="390" t="s">
        <v>215</v>
      </c>
      <c r="N45" s="390" t="s">
        <v>500</v>
      </c>
      <c r="O45" s="390"/>
      <c r="P45" s="390"/>
      <c r="Q45" s="390"/>
      <c r="R45" s="390"/>
      <c r="S45" s="390"/>
      <c r="T45" s="390"/>
      <c r="U45" s="390"/>
      <c r="V45" s="392"/>
      <c r="W45" s="19"/>
      <c r="X45" s="19"/>
      <c r="Y45" s="19"/>
      <c r="Z45" s="19"/>
    </row>
    <row r="46" customFormat="false" ht="36" hidden="false" customHeight="true" outlineLevel="0" collapsed="false">
      <c r="A46" s="386" t="n">
        <v>4</v>
      </c>
      <c r="B46" s="49" t="s">
        <v>501</v>
      </c>
      <c r="C46" s="49"/>
      <c r="D46" s="272" t="s">
        <v>502</v>
      </c>
      <c r="E46" s="49" t="s">
        <v>503</v>
      </c>
      <c r="F46" s="49"/>
      <c r="G46" s="49" t="s">
        <v>482</v>
      </c>
      <c r="H46" s="391" t="n">
        <v>4</v>
      </c>
      <c r="I46" s="49" t="s">
        <v>475</v>
      </c>
      <c r="J46" s="49"/>
      <c r="K46" s="49" t="s">
        <v>476</v>
      </c>
      <c r="L46" s="387" t="n">
        <v>150</v>
      </c>
      <c r="M46" s="49" t="s">
        <v>215</v>
      </c>
      <c r="N46" s="49" t="s">
        <v>521</v>
      </c>
      <c r="O46" s="49"/>
      <c r="P46" s="49"/>
      <c r="Q46" s="49"/>
      <c r="R46" s="49"/>
      <c r="S46" s="49"/>
      <c r="T46" s="49"/>
      <c r="U46" s="49"/>
      <c r="V46" s="388"/>
      <c r="W46" s="19"/>
      <c r="X46" s="19"/>
      <c r="Y46" s="19"/>
      <c r="Z46" s="19"/>
    </row>
    <row r="47" customFormat="false" ht="36" hidden="false" customHeight="true" outlineLevel="0" collapsed="false">
      <c r="A47" s="389" t="n">
        <v>5</v>
      </c>
      <c r="B47" s="390" t="s">
        <v>522</v>
      </c>
      <c r="C47" s="390"/>
      <c r="D47" s="393" t="s">
        <v>523</v>
      </c>
      <c r="E47" s="390"/>
      <c r="F47" s="390"/>
      <c r="G47" s="390" t="s">
        <v>482</v>
      </c>
      <c r="H47" s="409" t="n">
        <v>6</v>
      </c>
      <c r="I47" s="390" t="s">
        <v>506</v>
      </c>
      <c r="J47" s="390"/>
      <c r="K47" s="390" t="s">
        <v>476</v>
      </c>
      <c r="L47" s="410" t="n">
        <v>90</v>
      </c>
      <c r="M47" s="390" t="s">
        <v>215</v>
      </c>
      <c r="N47" s="390" t="s">
        <v>521</v>
      </c>
      <c r="O47" s="390"/>
      <c r="P47" s="390"/>
      <c r="Q47" s="390"/>
      <c r="R47" s="390"/>
      <c r="S47" s="390"/>
      <c r="T47" s="390"/>
      <c r="U47" s="390"/>
      <c r="V47" s="392"/>
      <c r="W47" s="19"/>
      <c r="X47" s="19"/>
      <c r="Y47" s="19"/>
      <c r="Z47" s="19"/>
    </row>
    <row r="48" customFormat="false" ht="36" hidden="false" customHeight="true" outlineLevel="0" collapsed="false">
      <c r="A48" s="386" t="n">
        <v>6</v>
      </c>
      <c r="B48" s="49" t="s">
        <v>484</v>
      </c>
      <c r="C48" s="49"/>
      <c r="D48" s="275"/>
      <c r="E48" s="49"/>
      <c r="F48" s="49"/>
      <c r="G48" s="49" t="s">
        <v>482</v>
      </c>
      <c r="H48" s="394" t="n">
        <f aca="false">20.4+20*LOG10(T48)+20*LOG10(F39/1000)+10*LOG10(V48)</f>
        <v>16.6427952255587</v>
      </c>
      <c r="I48" s="49" t="s">
        <v>506</v>
      </c>
      <c r="J48" s="49"/>
      <c r="K48" s="49" t="s">
        <v>476</v>
      </c>
      <c r="L48" s="394" t="n">
        <f aca="false">21/((F39/1000)*T48)</f>
        <v>24.0027431706481</v>
      </c>
      <c r="M48" s="49" t="s">
        <v>215</v>
      </c>
      <c r="N48" s="49" t="s">
        <v>508</v>
      </c>
      <c r="O48" s="49"/>
      <c r="P48" s="49"/>
      <c r="Q48" s="49"/>
      <c r="R48" s="49"/>
      <c r="S48" s="411" t="s">
        <v>509</v>
      </c>
      <c r="T48" s="396" t="n">
        <v>2</v>
      </c>
      <c r="U48" s="397" t="s">
        <v>510</v>
      </c>
      <c r="V48" s="398" t="n">
        <v>0.55</v>
      </c>
      <c r="W48" s="19"/>
      <c r="X48" s="19"/>
      <c r="Y48" s="19"/>
      <c r="Z48" s="19"/>
    </row>
    <row r="49" customFormat="false" ht="36" hidden="false" customHeight="true" outlineLevel="0" collapsed="false">
      <c r="A49" s="399" t="n">
        <v>7</v>
      </c>
      <c r="B49" s="400" t="s">
        <v>511</v>
      </c>
      <c r="C49" s="401"/>
      <c r="D49" s="402"/>
      <c r="E49" s="401"/>
      <c r="F49" s="401"/>
      <c r="G49" s="401" t="s">
        <v>482</v>
      </c>
      <c r="H49" s="403" t="n">
        <v>0</v>
      </c>
      <c r="I49" s="401" t="s">
        <v>512</v>
      </c>
      <c r="J49" s="401"/>
      <c r="K49" s="401" t="s">
        <v>476</v>
      </c>
      <c r="L49" s="372" t="n">
        <v>180</v>
      </c>
      <c r="M49" s="401" t="s">
        <v>215</v>
      </c>
      <c r="N49" s="400" t="s">
        <v>513</v>
      </c>
      <c r="O49" s="401"/>
      <c r="P49" s="401"/>
      <c r="Q49" s="401"/>
      <c r="R49" s="401"/>
      <c r="S49" s="401"/>
      <c r="T49" s="401"/>
      <c r="U49" s="401"/>
      <c r="V49" s="404"/>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0" t="s">
        <v>462</v>
      </c>
      <c r="C54" s="412"/>
      <c r="D54" s="267"/>
      <c r="E54" s="267"/>
      <c r="F54" s="267"/>
      <c r="G54" s="267"/>
      <c r="H54" s="267"/>
      <c r="I54" s="267"/>
      <c r="J54" s="267"/>
      <c r="K54" s="267"/>
      <c r="L54" s="268"/>
      <c r="M54" s="19"/>
      <c r="N54" s="19"/>
      <c r="O54" s="19"/>
      <c r="P54" s="19"/>
      <c r="Q54" s="19"/>
      <c r="R54" s="19"/>
      <c r="S54" s="19"/>
      <c r="T54" s="19"/>
      <c r="U54" s="19"/>
      <c r="V54" s="19"/>
      <c r="W54" s="19"/>
      <c r="X54" s="19"/>
      <c r="Y54" s="19"/>
      <c r="Z54" s="19"/>
    </row>
    <row r="55" customFormat="false" ht="12" hidden="false" customHeight="true" outlineLevel="0" collapsed="false">
      <c r="A55" s="413"/>
      <c r="B55" s="308" t="s">
        <v>0</v>
      </c>
      <c r="C55" s="308"/>
      <c r="D55" s="49" t="s">
        <v>518</v>
      </c>
      <c r="E55" s="333" t="s">
        <v>309</v>
      </c>
      <c r="F55" s="334" t="n">
        <f aca="false">F39</f>
        <v>437.45</v>
      </c>
      <c r="G55" s="49" t="s">
        <v>314</v>
      </c>
      <c r="H55" s="49"/>
      <c r="I55" s="49"/>
      <c r="J55" s="49" t="s">
        <v>464</v>
      </c>
      <c r="K55" s="335" t="n">
        <f aca="false">299.8/F55</f>
        <v>0.685335466910504</v>
      </c>
      <c r="L55" s="270" t="s">
        <v>315</v>
      </c>
      <c r="M55" s="19"/>
      <c r="N55" s="19"/>
      <c r="O55" s="19"/>
      <c r="P55" s="19"/>
      <c r="Q55" s="19"/>
      <c r="R55" s="19"/>
      <c r="S55" s="19"/>
      <c r="T55" s="19"/>
      <c r="U55" s="19"/>
      <c r="V55" s="19"/>
      <c r="W55" s="19"/>
      <c r="X55" s="19"/>
      <c r="Y55" s="19"/>
      <c r="Z55" s="19"/>
    </row>
    <row r="56" customFormat="false" ht="12" hidden="false" customHeight="true" outlineLevel="0" collapsed="false">
      <c r="A56" s="19"/>
      <c r="B56" s="269"/>
      <c r="C56" s="49"/>
      <c r="D56" s="49"/>
      <c r="E56" s="49"/>
      <c r="F56" s="49"/>
      <c r="G56" s="49"/>
      <c r="H56" s="49"/>
      <c r="I56" s="49"/>
      <c r="J56" s="49"/>
      <c r="K56" s="49"/>
      <c r="L56" s="270"/>
      <c r="M56" s="19"/>
      <c r="N56" s="19"/>
      <c r="O56" s="19"/>
      <c r="P56" s="19"/>
      <c r="Q56" s="19"/>
      <c r="R56" s="19"/>
      <c r="S56" s="19"/>
      <c r="T56" s="19"/>
      <c r="U56" s="19"/>
      <c r="V56" s="19"/>
      <c r="W56" s="19"/>
      <c r="X56" s="19"/>
      <c r="Y56" s="19"/>
      <c r="Z56" s="19"/>
    </row>
    <row r="57" customFormat="false" ht="12.75" hidden="false" customHeight="true" outlineLevel="0" collapsed="false">
      <c r="A57" s="98"/>
      <c r="B57" s="269"/>
      <c r="C57" s="49"/>
      <c r="D57" s="49"/>
      <c r="E57" s="49"/>
      <c r="F57" s="336" t="s">
        <v>465</v>
      </c>
      <c r="G57" s="49"/>
      <c r="H57" s="49"/>
      <c r="I57" s="49"/>
      <c r="J57" s="49"/>
      <c r="K57" s="49"/>
      <c r="L57" s="270"/>
      <c r="M57" s="19"/>
      <c r="N57" s="19"/>
      <c r="O57" s="19"/>
      <c r="P57" s="19"/>
      <c r="Q57" s="19"/>
      <c r="R57" s="19"/>
      <c r="S57" s="19"/>
      <c r="T57" s="19"/>
      <c r="U57" s="19"/>
      <c r="V57" s="19"/>
      <c r="W57" s="19"/>
      <c r="X57" s="19"/>
      <c r="Y57" s="19"/>
      <c r="Z57" s="19"/>
    </row>
    <row r="58" customFormat="false" ht="12.75" hidden="false" customHeight="true" outlineLevel="0" collapsed="false">
      <c r="A58" s="98"/>
      <c r="B58" s="332" t="s">
        <v>0</v>
      </c>
      <c r="C58" s="49"/>
      <c r="D58" s="49"/>
      <c r="E58" s="337" t="n">
        <v>4</v>
      </c>
      <c r="F58" s="338" t="str">
        <f aca="false" t="array" ref="F58:F58">INDEX(B60:B63,E58,1)</f>
        <v>Whip</v>
      </c>
      <c r="G58" s="339"/>
      <c r="H58" s="49"/>
      <c r="I58" s="49"/>
      <c r="J58" s="49" t="s">
        <v>466</v>
      </c>
      <c r="K58" s="50" t="s">
        <v>467</v>
      </c>
      <c r="L58" s="270"/>
      <c r="M58" s="19"/>
      <c r="N58" s="19"/>
      <c r="O58" s="19"/>
      <c r="P58" s="19"/>
      <c r="Q58" s="19"/>
      <c r="R58" s="19"/>
      <c r="S58" s="19"/>
      <c r="T58" s="19"/>
      <c r="U58" s="19"/>
      <c r="V58" s="19"/>
      <c r="W58" s="19"/>
      <c r="X58" s="19"/>
      <c r="Y58" s="19"/>
      <c r="Z58" s="19"/>
    </row>
    <row r="59" customFormat="false" ht="12.75" hidden="false" customHeight="true" outlineLevel="0" collapsed="false">
      <c r="A59" s="340" t="s">
        <v>468</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4" t="n">
        <v>1</v>
      </c>
      <c r="B60" s="345" t="s">
        <v>469</v>
      </c>
      <c r="C60" s="345"/>
      <c r="D60" s="346" t="s">
        <v>470</v>
      </c>
      <c r="E60" s="347" t="n">
        <v>4</v>
      </c>
      <c r="F60" s="345"/>
      <c r="G60" s="346" t="s">
        <v>471</v>
      </c>
      <c r="H60" s="348" t="n">
        <f aca="false" t="array" ref="H60:H60">IF(E60&lt;$B$72,"too short!",INDEX($D$72:$D$110,MATCH(E60,$B$72:$B$110,1),1))</f>
        <v>14</v>
      </c>
      <c r="I60" s="345" t="s">
        <v>472</v>
      </c>
      <c r="J60" s="349" t="s">
        <v>473</v>
      </c>
      <c r="K60" s="345"/>
      <c r="L60" s="345"/>
      <c r="M60" s="350" t="s">
        <v>474</v>
      </c>
      <c r="N60" s="351" t="n">
        <f aca="false" t="array" ref="N60:N60">IF(E60&lt;$B$72,"too short!",INDEX($F$72:$F$110,MATCH(E60,$B$72:$B$110,1),1))</f>
        <v>17.45</v>
      </c>
      <c r="O60" s="352" t="s">
        <v>475</v>
      </c>
      <c r="P60" s="352" t="s">
        <v>476</v>
      </c>
      <c r="Q60" s="353" t="n">
        <f aca="false">SQRT(40000/(10^(N60/10)))</f>
        <v>26.8243987081074</v>
      </c>
      <c r="R60" s="352" t="s">
        <v>215</v>
      </c>
      <c r="S60" s="352" t="s">
        <v>524</v>
      </c>
      <c r="T60" s="352"/>
      <c r="U60" s="354" t="n">
        <f aca="false">K55*E60</f>
        <v>2.74134186764202</v>
      </c>
      <c r="V60" s="355" t="s">
        <v>315</v>
      </c>
      <c r="W60" s="19"/>
      <c r="X60" s="19"/>
      <c r="Y60" s="19"/>
      <c r="Z60" s="19"/>
    </row>
    <row r="61" customFormat="false" ht="35.25" hidden="false" customHeight="true" outlineLevel="0" collapsed="false">
      <c r="A61" s="356" t="n">
        <v>2</v>
      </c>
      <c r="B61" s="357" t="s">
        <v>478</v>
      </c>
      <c r="C61" s="357"/>
      <c r="D61" s="357" t="s">
        <v>479</v>
      </c>
      <c r="E61" s="358" t="n">
        <v>0.5</v>
      </c>
      <c r="F61" s="357"/>
      <c r="G61" s="359" t="s">
        <v>480</v>
      </c>
      <c r="H61" s="358" t="n">
        <v>0.25</v>
      </c>
      <c r="I61" s="357"/>
      <c r="J61" s="359" t="s">
        <v>481</v>
      </c>
      <c r="K61" s="360" t="n">
        <v>1</v>
      </c>
      <c r="L61" s="357"/>
      <c r="M61" s="357" t="s">
        <v>482</v>
      </c>
      <c r="N61" s="361" t="n">
        <f aca="false">10*LOG10(15*K61^2*E61*H61)</f>
        <v>2.73001272063738</v>
      </c>
      <c r="O61" s="357" t="s">
        <v>475</v>
      </c>
      <c r="P61" s="357" t="s">
        <v>476</v>
      </c>
      <c r="Q61" s="362" t="n">
        <f aca="false">115/(K61*((E61*H61)^0.5))</f>
        <v>325.269119345812</v>
      </c>
      <c r="R61" s="357" t="s">
        <v>215</v>
      </c>
      <c r="S61" s="414" t="s">
        <v>524</v>
      </c>
      <c r="T61" s="414"/>
      <c r="U61" s="363" t="n">
        <f aca="false">H61*E61*K55</f>
        <v>0.085666933363813</v>
      </c>
      <c r="V61" s="364" t="s">
        <v>315</v>
      </c>
      <c r="W61" s="19"/>
      <c r="X61" s="19"/>
      <c r="Y61" s="19"/>
      <c r="Z61" s="19"/>
    </row>
    <row r="62" customFormat="false" ht="36" hidden="false" customHeight="true" outlineLevel="0" collapsed="false">
      <c r="A62" s="365" t="n">
        <v>3</v>
      </c>
      <c r="B62" s="366" t="s">
        <v>484</v>
      </c>
      <c r="C62" s="366"/>
      <c r="D62" s="366"/>
      <c r="E62" s="366"/>
      <c r="F62" s="366"/>
      <c r="G62" s="367" t="s">
        <v>485</v>
      </c>
      <c r="H62" s="368" t="n">
        <v>2</v>
      </c>
      <c r="I62" s="366"/>
      <c r="J62" s="367" t="s">
        <v>486</v>
      </c>
      <c r="K62" s="369" t="n">
        <v>0.6</v>
      </c>
      <c r="L62" s="366"/>
      <c r="M62" s="366" t="s">
        <v>482</v>
      </c>
      <c r="N62" s="361" t="n">
        <f aca="false">20.4+20*LOG10(H62)+20*LOG10(F55/1000)+10*LOG10(K62)</f>
        <v>17.0206808344527</v>
      </c>
      <c r="O62" s="366" t="s">
        <v>475</v>
      </c>
      <c r="P62" s="366" t="s">
        <v>476</v>
      </c>
      <c r="Q62" s="362" t="n">
        <f aca="false">21/((F55/1000)*H62)</f>
        <v>24.0027431706481</v>
      </c>
      <c r="R62" s="366" t="s">
        <v>215</v>
      </c>
      <c r="S62" s="366"/>
      <c r="T62" s="366"/>
      <c r="U62" s="366"/>
      <c r="V62" s="370"/>
      <c r="W62" s="19"/>
      <c r="X62" s="19"/>
      <c r="Y62" s="19"/>
      <c r="Z62" s="19"/>
    </row>
    <row r="63" customFormat="false" ht="36" hidden="false" customHeight="true" outlineLevel="0" collapsed="false">
      <c r="A63" s="371" t="n">
        <v>4</v>
      </c>
      <c r="B63" s="342" t="s">
        <v>487</v>
      </c>
      <c r="C63" s="342"/>
      <c r="D63" s="372" t="s">
        <v>488</v>
      </c>
      <c r="E63" s="415"/>
      <c r="F63" s="415"/>
      <c r="G63" s="416"/>
      <c r="H63" s="374"/>
      <c r="I63" s="342"/>
      <c r="J63" s="375"/>
      <c r="K63" s="376"/>
      <c r="L63" s="342"/>
      <c r="M63" s="342" t="s">
        <v>482</v>
      </c>
      <c r="N63" s="417" t="n">
        <v>2</v>
      </c>
      <c r="O63" s="342" t="s">
        <v>475</v>
      </c>
      <c r="P63" s="342" t="s">
        <v>476</v>
      </c>
      <c r="Q63" s="378" t="n">
        <v>330</v>
      </c>
      <c r="R63" s="342" t="s">
        <v>215</v>
      </c>
      <c r="S63" s="418" t="s">
        <v>525</v>
      </c>
      <c r="T63" s="342"/>
      <c r="U63" s="379" t="n">
        <v>0.375</v>
      </c>
      <c r="V63" s="380" t="s">
        <v>315</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526</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19" t="s">
        <v>527</v>
      </c>
      <c r="C67" s="420"/>
      <c r="D67" s="420"/>
      <c r="E67" s="420"/>
      <c r="F67" s="331"/>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1"/>
      <c r="C68" s="390"/>
      <c r="D68" s="390"/>
      <c r="E68" s="390"/>
      <c r="F68" s="422"/>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3" t="s">
        <v>528</v>
      </c>
      <c r="C69" s="390"/>
      <c r="D69" s="390" t="s">
        <v>529</v>
      </c>
      <c r="E69" s="390"/>
      <c r="F69" s="422" t="s">
        <v>530</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3" t="s">
        <v>531</v>
      </c>
      <c r="C70" s="390"/>
      <c r="D70" s="390" t="s">
        <v>532</v>
      </c>
      <c r="E70" s="390"/>
      <c r="F70" s="422" t="s">
        <v>533</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1"/>
      <c r="C71" s="390"/>
      <c r="D71" s="390"/>
      <c r="E71" s="390"/>
      <c r="F71" s="422"/>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4" t="n">
        <v>0.35</v>
      </c>
      <c r="C72" s="425"/>
      <c r="D72" s="425" t="n">
        <v>3</v>
      </c>
      <c r="E72" s="425"/>
      <c r="F72" s="426"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4" t="s">
        <v>0</v>
      </c>
      <c r="C73" s="425"/>
      <c r="D73" s="425"/>
      <c r="E73" s="425"/>
      <c r="F73" s="426"/>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4" t="n">
        <v>0.55</v>
      </c>
      <c r="C74" s="425"/>
      <c r="D74" s="425" t="n">
        <v>4</v>
      </c>
      <c r="E74" s="425"/>
      <c r="F74" s="426"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4"/>
      <c r="C75" s="425"/>
      <c r="D75" s="425"/>
      <c r="E75" s="425"/>
      <c r="F75" s="426"/>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4" t="n">
        <v>0.8</v>
      </c>
      <c r="C76" s="425"/>
      <c r="D76" s="425" t="n">
        <v>5</v>
      </c>
      <c r="E76" s="425"/>
      <c r="F76" s="426"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4"/>
      <c r="C77" s="425"/>
      <c r="D77" s="425"/>
      <c r="E77" s="425"/>
      <c r="F77" s="426"/>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4" t="n">
        <v>1.15</v>
      </c>
      <c r="C78" s="425"/>
      <c r="D78" s="425" t="n">
        <v>6</v>
      </c>
      <c r="E78" s="425"/>
      <c r="F78" s="426"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4"/>
      <c r="C79" s="425"/>
      <c r="D79" s="425"/>
      <c r="E79" s="425"/>
      <c r="F79" s="426"/>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4" t="n">
        <v>1.45</v>
      </c>
      <c r="C80" s="425"/>
      <c r="D80" s="425" t="n">
        <v>7</v>
      </c>
      <c r="E80" s="425"/>
      <c r="F80" s="426"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4"/>
      <c r="C81" s="425"/>
      <c r="D81" s="425"/>
      <c r="E81" s="425"/>
      <c r="F81" s="426"/>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4" t="n">
        <v>1.8</v>
      </c>
      <c r="C82" s="425"/>
      <c r="D82" s="425" t="n">
        <v>8</v>
      </c>
      <c r="E82" s="425"/>
      <c r="F82" s="426"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4"/>
      <c r="C83" s="425"/>
      <c r="D83" s="425"/>
      <c r="E83" s="425"/>
      <c r="F83" s="426"/>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4" t="n">
        <v>2.1</v>
      </c>
      <c r="C84" s="425"/>
      <c r="D84" s="425" t="n">
        <v>9</v>
      </c>
      <c r="E84" s="425"/>
      <c r="F84" s="426"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4"/>
      <c r="C85" s="425"/>
      <c r="D85" s="425"/>
      <c r="E85" s="425"/>
      <c r="F85" s="426"/>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4" t="n">
        <v>2.45</v>
      </c>
      <c r="C86" s="425"/>
      <c r="D86" s="425" t="n">
        <v>10</v>
      </c>
      <c r="E86" s="425"/>
      <c r="F86" s="426"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4"/>
      <c r="C87" s="425"/>
      <c r="D87" s="425"/>
      <c r="E87" s="425"/>
      <c r="F87" s="426"/>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4" t="n">
        <v>2.8</v>
      </c>
      <c r="C88" s="425"/>
      <c r="D88" s="425" t="n">
        <v>11</v>
      </c>
      <c r="E88" s="425"/>
      <c r="F88" s="426"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4"/>
      <c r="C89" s="425"/>
      <c r="D89" s="425"/>
      <c r="E89" s="425"/>
      <c r="F89" s="426"/>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4" t="n">
        <v>3.15</v>
      </c>
      <c r="C90" s="425"/>
      <c r="D90" s="425" t="n">
        <v>12</v>
      </c>
      <c r="E90" s="425"/>
      <c r="F90" s="426"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4"/>
      <c r="C91" s="425"/>
      <c r="D91" s="425"/>
      <c r="E91" s="425"/>
      <c r="F91" s="426"/>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4" t="n">
        <v>3.55</v>
      </c>
      <c r="C92" s="425"/>
      <c r="D92" s="425" t="n">
        <v>13</v>
      </c>
      <c r="E92" s="425"/>
      <c r="F92" s="426"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4"/>
      <c r="C93" s="425"/>
      <c r="D93" s="425"/>
      <c r="E93" s="425"/>
      <c r="F93" s="426"/>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4" t="n">
        <v>4</v>
      </c>
      <c r="C94" s="425"/>
      <c r="D94" s="425" t="n">
        <v>14</v>
      </c>
      <c r="E94" s="425"/>
      <c r="F94" s="426"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4"/>
      <c r="C95" s="425"/>
      <c r="D95" s="425"/>
      <c r="E95" s="425"/>
      <c r="F95" s="426"/>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4" t="n">
        <v>4.4</v>
      </c>
      <c r="C96" s="425"/>
      <c r="D96" s="425" t="n">
        <v>15</v>
      </c>
      <c r="E96" s="425"/>
      <c r="F96" s="426"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4"/>
      <c r="C97" s="425"/>
      <c r="D97" s="425"/>
      <c r="E97" s="425"/>
      <c r="F97" s="426"/>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4" t="n">
        <v>4.75</v>
      </c>
      <c r="C98" s="425"/>
      <c r="D98" s="425" t="n">
        <v>16</v>
      </c>
      <c r="E98" s="425"/>
      <c r="F98" s="426"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4"/>
      <c r="C99" s="425"/>
      <c r="D99" s="425"/>
      <c r="E99" s="425"/>
      <c r="F99" s="426"/>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4" t="n">
        <v>5.2</v>
      </c>
      <c r="C100" s="390"/>
      <c r="D100" s="425" t="n">
        <v>17</v>
      </c>
      <c r="E100" s="390"/>
      <c r="F100" s="426"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4"/>
      <c r="C101" s="390"/>
      <c r="D101" s="425"/>
      <c r="E101" s="390"/>
      <c r="F101" s="426"/>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4" t="n">
        <v>5.55</v>
      </c>
      <c r="C102" s="390"/>
      <c r="D102" s="425" t="n">
        <v>18</v>
      </c>
      <c r="E102" s="390"/>
      <c r="F102" s="426"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4"/>
      <c r="C103" s="390"/>
      <c r="D103" s="425"/>
      <c r="E103" s="390"/>
      <c r="F103" s="426"/>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4" t="n">
        <v>6</v>
      </c>
      <c r="C104" s="390"/>
      <c r="D104" s="425" t="n">
        <v>19</v>
      </c>
      <c r="E104" s="390"/>
      <c r="F104" s="426"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4"/>
      <c r="C105" s="390"/>
      <c r="D105" s="425"/>
      <c r="E105" s="390"/>
      <c r="F105" s="426"/>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4" t="n">
        <v>6.5</v>
      </c>
      <c r="C106" s="390"/>
      <c r="D106" s="425" t="n">
        <v>20</v>
      </c>
      <c r="E106" s="390"/>
      <c r="F106" s="426"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4"/>
      <c r="C107" s="390"/>
      <c r="D107" s="425"/>
      <c r="E107" s="390"/>
      <c r="F107" s="426"/>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4" t="n">
        <v>7</v>
      </c>
      <c r="C108" s="390"/>
      <c r="D108" s="425" t="n">
        <v>21</v>
      </c>
      <c r="E108" s="390"/>
      <c r="F108" s="426"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4"/>
      <c r="C109" s="390"/>
      <c r="D109" s="425"/>
      <c r="E109" s="390"/>
      <c r="F109" s="426"/>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4" t="n">
        <v>7.5</v>
      </c>
      <c r="C110" s="390"/>
      <c r="D110" s="425" t="n">
        <v>22</v>
      </c>
      <c r="E110" s="390"/>
      <c r="F110" s="426"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7"/>
      <c r="C111" s="345"/>
      <c r="D111" s="345"/>
      <c r="E111" s="345"/>
      <c r="F111" s="428"/>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534</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31" colorId="64" zoomScale="120" zoomScaleNormal="120" zoomScalePageLayoutView="100" workbookViewId="0">
      <selection pane="topLeft" activeCell="M89" activeCellId="0" sqref="M89"/>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535</v>
      </c>
      <c r="B1" s="10"/>
      <c r="C1" s="10"/>
      <c r="D1" s="10"/>
      <c r="E1" s="10"/>
      <c r="F1" s="10"/>
      <c r="G1" s="40" t="str">
        <f aca="false">'Title Page'!F3</f>
        <v>Coconut Cubesat</v>
      </c>
      <c r="H1" s="10"/>
      <c r="I1" s="10"/>
      <c r="J1" s="10"/>
      <c r="K1" s="41" t="str">
        <f aca="false">'Title Page'!F23</f>
        <v>2025 June 08</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29"/>
      <c r="B2" s="42"/>
      <c r="C2" s="42"/>
      <c r="D2" s="42"/>
      <c r="E2" s="42"/>
      <c r="F2" s="42"/>
      <c r="G2" s="42"/>
      <c r="H2" s="42"/>
      <c r="I2" s="430"/>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60</v>
      </c>
      <c r="C3" s="55" t="s">
        <v>312</v>
      </c>
      <c r="D3" s="42"/>
      <c r="E3" s="42"/>
      <c r="F3" s="42"/>
      <c r="G3" s="55" t="s">
        <v>322</v>
      </c>
      <c r="H3" s="42"/>
      <c r="I3" s="431"/>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1"/>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1"/>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536</v>
      </c>
      <c r="F6" s="42"/>
      <c r="G6" s="42"/>
      <c r="H6" s="42"/>
      <c r="I6" s="431"/>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537</v>
      </c>
      <c r="F7" s="42"/>
      <c r="G7" s="42"/>
      <c r="H7" s="42"/>
      <c r="I7" s="4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538</v>
      </c>
      <c r="F8" s="42"/>
      <c r="G8" s="42"/>
      <c r="H8" s="42"/>
      <c r="I8" s="431"/>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1"/>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1"/>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1"/>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1"/>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1"/>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1"/>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1"/>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1"/>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1"/>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1"/>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1"/>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539</v>
      </c>
      <c r="F21" s="42"/>
      <c r="G21" s="42"/>
      <c r="H21" s="42"/>
      <c r="I21" s="431"/>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537</v>
      </c>
      <c r="F22" s="42"/>
      <c r="G22" s="42"/>
      <c r="H22" s="42"/>
      <c r="I22" s="431"/>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540</v>
      </c>
      <c r="F23" s="42"/>
      <c r="G23" s="42"/>
      <c r="H23" s="42"/>
      <c r="I23" s="431"/>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1"/>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2" t="s">
        <v>541</v>
      </c>
      <c r="D25" s="42"/>
      <c r="E25" s="42"/>
      <c r="F25" s="42"/>
      <c r="G25" s="432" t="s">
        <v>542</v>
      </c>
      <c r="H25" s="42"/>
      <c r="I25" s="431"/>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543</v>
      </c>
      <c r="B26" s="10"/>
      <c r="C26" s="10"/>
      <c r="D26" s="10"/>
      <c r="E26" s="10"/>
      <c r="F26" s="10"/>
      <c r="G26" s="10"/>
      <c r="H26" s="10"/>
      <c r="I26" s="89"/>
      <c r="J26" s="10"/>
      <c r="K26" s="10"/>
      <c r="L26" s="10"/>
      <c r="M26" s="10"/>
      <c r="N26" s="10"/>
      <c r="O26" s="10"/>
      <c r="P26" s="10"/>
      <c r="Q26" s="10"/>
      <c r="R26" s="10"/>
      <c r="S26" s="10"/>
      <c r="T26" s="10"/>
      <c r="U26" s="10"/>
      <c r="V26" s="10"/>
      <c r="W26" s="10"/>
      <c r="X26" s="433" t="s">
        <v>544</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461</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60</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0" t="s">
        <v>462</v>
      </c>
      <c r="C32" s="331"/>
      <c r="D32" s="267"/>
      <c r="E32" s="267"/>
      <c r="F32" s="267"/>
      <c r="G32" s="267" t="s">
        <v>0</v>
      </c>
      <c r="H32" s="267"/>
      <c r="I32" s="267"/>
      <c r="J32" s="267" t="s">
        <v>0</v>
      </c>
      <c r="K32" s="267"/>
      <c r="L32" s="268"/>
      <c r="M32" s="19"/>
      <c r="N32" s="19"/>
      <c r="O32" s="19"/>
      <c r="P32" s="19"/>
      <c r="Q32" s="19"/>
      <c r="R32" s="434" t="s">
        <v>60</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2" t="s">
        <v>0</v>
      </c>
      <c r="C33" s="308"/>
      <c r="D33" s="271" t="s">
        <v>463</v>
      </c>
      <c r="E33" s="333" t="s">
        <v>309</v>
      </c>
      <c r="F33" s="334" t="n">
        <f aca="false">'Antenna Gain'!F8</f>
        <v>437.5</v>
      </c>
      <c r="G33" s="49" t="s">
        <v>314</v>
      </c>
      <c r="H33" s="49"/>
      <c r="I33" s="49"/>
      <c r="J33" s="49" t="s">
        <v>464</v>
      </c>
      <c r="K33" s="335" t="n">
        <f aca="false">'Antenna Gain'!K8</f>
        <v>0.685257142857143</v>
      </c>
      <c r="L33" s="270" t="s">
        <v>315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9"/>
      <c r="C34" s="49"/>
      <c r="D34" s="49"/>
      <c r="E34" s="49"/>
      <c r="F34" s="49"/>
      <c r="G34" s="49"/>
      <c r="H34" s="49"/>
      <c r="I34" s="49"/>
      <c r="J34" s="49"/>
      <c r="K34" s="49"/>
      <c r="L34" s="270"/>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9"/>
      <c r="C35" s="49"/>
      <c r="D35" s="49"/>
      <c r="E35" s="49"/>
      <c r="F35" s="336" t="s">
        <v>545</v>
      </c>
      <c r="G35" s="49"/>
      <c r="H35" s="49"/>
      <c r="I35" s="49"/>
      <c r="J35" s="49"/>
      <c r="K35" s="49"/>
      <c r="L35" s="270"/>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2" t="s">
        <v>0</v>
      </c>
      <c r="C36" s="49"/>
      <c r="D36" s="49"/>
      <c r="E36" s="435" t="n">
        <f aca="false">'Antenna Gain'!E11</f>
        <v>4</v>
      </c>
      <c r="F36" s="436" t="str">
        <f aca="false">'Antenna Gain'!F11</f>
        <v>Whip</v>
      </c>
      <c r="G36" s="339"/>
      <c r="H36" s="49"/>
      <c r="I36" s="49"/>
      <c r="J36" s="49" t="s">
        <v>466</v>
      </c>
      <c r="K36" s="54" t="str">
        <f aca="false">'Antenna Gain'!K11</f>
        <v>Linear</v>
      </c>
      <c r="L36" s="270"/>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1"/>
      <c r="C37" s="342"/>
      <c r="D37" s="342"/>
      <c r="E37" s="342"/>
      <c r="F37" s="342"/>
      <c r="G37" s="342"/>
      <c r="H37" s="342"/>
      <c r="I37" s="342"/>
      <c r="J37" s="342"/>
      <c r="K37" s="342"/>
      <c r="L37" s="343"/>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7" t="n">
        <v>1</v>
      </c>
      <c r="C38" s="352" t="s">
        <v>469</v>
      </c>
      <c r="D38" s="438"/>
      <c r="E38" s="352"/>
      <c r="F38" s="439" t="s">
        <v>474</v>
      </c>
      <c r="G38" s="440" t="n">
        <f aca="false">'Antenna Gain'!N13</f>
        <v>17.45</v>
      </c>
      <c r="H38" s="352" t="s">
        <v>475</v>
      </c>
      <c r="I38" s="438" t="s">
        <v>476</v>
      </c>
      <c r="J38" s="441" t="n">
        <f aca="false">'Antenna Gain'!Q13</f>
        <v>26.8243987081074</v>
      </c>
      <c r="K38" s="352" t="s">
        <v>215</v>
      </c>
      <c r="L38" s="355"/>
      <c r="M38" s="19"/>
      <c r="N38" s="19"/>
      <c r="O38" s="19"/>
      <c r="P38" s="19"/>
      <c r="Q38" s="19"/>
      <c r="R38" s="442" t="n">
        <f aca="false" t="array" ref="R38:R38">2*(F43*(79.76/INDEX(J38:J41,E36,1)))</f>
        <v>2.4169696969697</v>
      </c>
      <c r="S38" s="443"/>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4" t="n">
        <v>2</v>
      </c>
      <c r="C39" s="357" t="s">
        <v>478</v>
      </c>
      <c r="D39" s="443"/>
      <c r="E39" s="357"/>
      <c r="F39" s="443" t="s">
        <v>482</v>
      </c>
      <c r="G39" s="445" t="n">
        <f aca="false">'Antenna Gain'!N14</f>
        <v>2.73001272063738</v>
      </c>
      <c r="H39" s="357" t="s">
        <v>475</v>
      </c>
      <c r="I39" s="443" t="s">
        <v>476</v>
      </c>
      <c r="J39" s="446" t="n">
        <f aca="false">'Antenna Gain'!Q14</f>
        <v>147.643895911751</v>
      </c>
      <c r="K39" s="357" t="s">
        <v>215</v>
      </c>
      <c r="L39" s="364"/>
      <c r="M39" s="19"/>
      <c r="N39" s="19"/>
      <c r="O39" s="19"/>
      <c r="P39" s="19"/>
      <c r="Q39" s="19"/>
      <c r="R39" s="447"/>
      <c r="S39" s="448"/>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49" t="n">
        <v>3</v>
      </c>
      <c r="C40" s="366" t="s">
        <v>484</v>
      </c>
      <c r="D40" s="450"/>
      <c r="E40" s="366"/>
      <c r="F40" s="450" t="s">
        <v>482</v>
      </c>
      <c r="G40" s="451" t="n">
        <f aca="false">'Antenna Gain'!N15</f>
        <v>25.2710632385685</v>
      </c>
      <c r="H40" s="366" t="s">
        <v>475</v>
      </c>
      <c r="I40" s="450" t="s">
        <v>476</v>
      </c>
      <c r="J40" s="452" t="n">
        <f aca="false">'Antenna Gain'!Q15</f>
        <v>8.88888888888889</v>
      </c>
      <c r="K40" s="366" t="s">
        <v>215</v>
      </c>
      <c r="L40" s="370"/>
      <c r="M40" s="19"/>
      <c r="N40" s="19"/>
      <c r="O40" s="19"/>
      <c r="P40" s="19"/>
      <c r="Q40" s="19"/>
      <c r="R40" s="453"/>
      <c r="S40" s="431"/>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4" t="n">
        <v>4</v>
      </c>
      <c r="C41" s="49" t="s">
        <v>546</v>
      </c>
      <c r="D41" s="268"/>
      <c r="E41" s="49"/>
      <c r="F41" s="270" t="s">
        <v>482</v>
      </c>
      <c r="G41" s="455" t="n">
        <f aca="false">'Antenna Gain'!N16</f>
        <v>2</v>
      </c>
      <c r="H41" s="49" t="s">
        <v>475</v>
      </c>
      <c r="I41" s="270" t="s">
        <v>476</v>
      </c>
      <c r="J41" s="456" t="n">
        <f aca="false">'Antenna Gain'!Q16</f>
        <v>330</v>
      </c>
      <c r="K41" s="49" t="s">
        <v>215</v>
      </c>
      <c r="L41" s="457"/>
      <c r="M41" s="19"/>
      <c r="N41" s="19"/>
      <c r="O41" s="19"/>
      <c r="P41" s="19"/>
      <c r="Q41" s="19"/>
      <c r="R41" s="453"/>
      <c r="S41" s="431"/>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8"/>
      <c r="C42" s="290"/>
      <c r="D42" s="290"/>
      <c r="E42" s="290"/>
      <c r="F42" s="290"/>
      <c r="G42" s="290"/>
      <c r="H42" s="290"/>
      <c r="I42" s="290"/>
      <c r="J42" s="290"/>
      <c r="K42" s="290"/>
      <c r="L42" s="312"/>
      <c r="M42" s="19"/>
      <c r="N42" s="19"/>
      <c r="O42" s="19"/>
      <c r="P42" s="19"/>
      <c r="Q42" s="19"/>
      <c r="R42" s="453"/>
      <c r="S42" s="431"/>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59" t="s">
        <v>547</v>
      </c>
      <c r="D43" s="292"/>
      <c r="E43" s="292"/>
      <c r="F43" s="258" t="n">
        <v>5</v>
      </c>
      <c r="G43" s="253" t="s">
        <v>229</v>
      </c>
      <c r="H43" s="459" t="s">
        <v>548</v>
      </c>
      <c r="I43" s="292"/>
      <c r="J43" s="292"/>
      <c r="K43" s="460" t="n">
        <f aca="false">-10*LOG10(3282.81*((SIN(RADIANS(R38))^2/(R38^2))))</f>
        <v>0.00257140920303451</v>
      </c>
      <c r="L43" s="339" t="s">
        <v>258</v>
      </c>
      <c r="M43" s="19"/>
      <c r="N43" s="19"/>
      <c r="O43" s="19"/>
      <c r="P43" s="19"/>
      <c r="Q43" s="19"/>
      <c r="R43" s="453"/>
      <c r="S43" s="431"/>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3"/>
      <c r="S44" s="431"/>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3"/>
      <c r="S45" s="431"/>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3"/>
      <c r="S46" s="431"/>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3"/>
      <c r="S47" s="431"/>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1"/>
      <c r="S48" s="462"/>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0" t="s">
        <v>489</v>
      </c>
      <c r="C49" s="331"/>
      <c r="D49" s="267"/>
      <c r="E49" s="267"/>
      <c r="F49" s="267"/>
      <c r="G49" s="267"/>
      <c r="H49" s="267"/>
      <c r="I49" s="267"/>
      <c r="J49" s="267"/>
      <c r="K49" s="267"/>
      <c r="L49" s="268"/>
      <c r="M49" s="19"/>
      <c r="N49" s="19"/>
      <c r="O49" s="19"/>
      <c r="P49" s="19"/>
      <c r="Q49" s="19"/>
      <c r="R49" s="266"/>
      <c r="S49" s="268"/>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9"/>
      <c r="C50" s="49"/>
      <c r="D50" s="271" t="s">
        <v>463</v>
      </c>
      <c r="E50" s="49" t="s">
        <v>309</v>
      </c>
      <c r="F50" s="334" t="n">
        <f aca="false">'Antenna Gain'!F22</f>
        <v>437.5</v>
      </c>
      <c r="G50" s="49" t="s">
        <v>314</v>
      </c>
      <c r="H50" s="49"/>
      <c r="I50" s="49"/>
      <c r="J50" s="49" t="s">
        <v>464</v>
      </c>
      <c r="K50" s="335" t="n">
        <f aca="false">'Antenna Gain'!K22</f>
        <v>0.685257142857143</v>
      </c>
      <c r="L50" s="270" t="s">
        <v>315</v>
      </c>
      <c r="M50" s="19"/>
      <c r="N50" s="19"/>
      <c r="O50" s="19"/>
      <c r="P50" s="19"/>
      <c r="Q50" s="19"/>
      <c r="R50" s="269" t="s">
        <v>549</v>
      </c>
      <c r="S50" s="463"/>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9"/>
      <c r="C51" s="49"/>
      <c r="D51" s="49" t="s">
        <v>0</v>
      </c>
      <c r="E51" s="49" t="s">
        <v>0</v>
      </c>
      <c r="F51" s="336" t="s">
        <v>545</v>
      </c>
      <c r="G51" s="49"/>
      <c r="H51" s="49"/>
      <c r="I51" s="49"/>
      <c r="J51" s="49"/>
      <c r="K51" s="49"/>
      <c r="L51" s="270"/>
      <c r="M51" s="19"/>
      <c r="N51" s="19"/>
      <c r="O51" s="19"/>
      <c r="P51" s="19"/>
      <c r="Q51" s="19"/>
      <c r="R51" s="464"/>
      <c r="S51" s="463"/>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2" t="s">
        <v>0</v>
      </c>
      <c r="C52" s="49"/>
      <c r="D52" s="49"/>
      <c r="E52" s="465" t="n">
        <v>7</v>
      </c>
      <c r="F52" s="381" t="str">
        <f aca="false">'Antenna Gain'!F24</f>
        <v>Circular Turnstyle</v>
      </c>
      <c r="G52" s="339"/>
      <c r="H52" s="49"/>
      <c r="I52" s="49"/>
      <c r="J52" s="49" t="s">
        <v>466</v>
      </c>
      <c r="K52" s="54" t="str">
        <f aca="false">'Antenna Gain'!K24</f>
        <v>RHCP</v>
      </c>
      <c r="L52" s="270"/>
      <c r="M52" s="19"/>
      <c r="N52" s="19"/>
      <c r="O52" s="466" t="s">
        <v>550</v>
      </c>
      <c r="P52" s="19"/>
      <c r="Q52" s="19"/>
      <c r="R52" s="269" t="s">
        <v>551</v>
      </c>
      <c r="S52" s="463"/>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9"/>
      <c r="C53" s="49"/>
      <c r="D53" s="49"/>
      <c r="E53" s="49"/>
      <c r="F53" s="49" t="s">
        <v>0</v>
      </c>
      <c r="G53" s="49"/>
      <c r="H53" s="49"/>
      <c r="I53" s="49"/>
      <c r="J53" s="49"/>
      <c r="K53" s="49"/>
      <c r="L53" s="270"/>
      <c r="M53" s="19"/>
      <c r="N53" s="19"/>
      <c r="O53" s="467" t="s">
        <v>552</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2" t="n">
        <v>1</v>
      </c>
      <c r="C54" s="383" t="s">
        <v>493</v>
      </c>
      <c r="D54" s="383"/>
      <c r="E54" s="383"/>
      <c r="F54" s="383"/>
      <c r="G54" s="383" t="s">
        <v>482</v>
      </c>
      <c r="H54" s="383" t="n">
        <f aca="false">'Antenna Gain'!H26</f>
        <v>2.15</v>
      </c>
      <c r="I54" s="383" t="s">
        <v>494</v>
      </c>
      <c r="J54" s="383" t="s">
        <v>476</v>
      </c>
      <c r="K54" s="383" t="n">
        <f aca="false">'Antenna Gain'!L26</f>
        <v>156.2</v>
      </c>
      <c r="L54" s="385" t="s">
        <v>215</v>
      </c>
      <c r="M54" s="227"/>
      <c r="N54" s="228"/>
      <c r="O54" s="468" t="s">
        <v>553</v>
      </c>
      <c r="P54" s="469" t="s">
        <v>554</v>
      </c>
      <c r="Q54" s="470"/>
      <c r="R54" s="471" t="n">
        <f aca="false">IF(G63&lt;100,-10*LOG10(COS(RADIANS(90-G63))),"No Signal")</f>
        <v>3.740517406</v>
      </c>
      <c r="S54" s="244" t="s">
        <v>258</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6" t="n">
        <v>2</v>
      </c>
      <c r="C55" s="49" t="s">
        <v>496</v>
      </c>
      <c r="D55" s="49"/>
      <c r="E55" s="49"/>
      <c r="F55" s="49"/>
      <c r="G55" s="49" t="s">
        <v>482</v>
      </c>
      <c r="H55" s="49" t="n">
        <f aca="false">'Antenna Gain'!H27</f>
        <v>2.15</v>
      </c>
      <c r="I55" s="49" t="s">
        <v>494</v>
      </c>
      <c r="J55" s="49" t="s">
        <v>476</v>
      </c>
      <c r="K55" s="49" t="n">
        <f aca="false">'Antenna Gain'!L27</f>
        <v>156.2</v>
      </c>
      <c r="L55" s="388" t="s">
        <v>215</v>
      </c>
      <c r="M55" s="227"/>
      <c r="N55" s="228"/>
      <c r="O55" s="472" t="s">
        <v>555</v>
      </c>
      <c r="P55" s="469" t="s">
        <v>556</v>
      </c>
      <c r="Q55" s="470"/>
      <c r="R55" s="473" t="n">
        <f aca="false">IF(G63&lt;90.001,-10*LOG10(COS(RADIANS($G$63))),-10*LOG(-COS(RADIANS($G$63))))</f>
        <v>0.4272428851</v>
      </c>
      <c r="S55" s="270" t="s">
        <v>258</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89" t="n">
        <v>3</v>
      </c>
      <c r="C56" s="390" t="s">
        <v>498</v>
      </c>
      <c r="D56" s="390"/>
      <c r="E56" s="390"/>
      <c r="F56" s="390"/>
      <c r="G56" s="390" t="s">
        <v>482</v>
      </c>
      <c r="H56" s="474" t="n">
        <f aca="false">'Antenna Gain'!H28</f>
        <v>0.5</v>
      </c>
      <c r="I56" s="390" t="s">
        <v>475</v>
      </c>
      <c r="J56" s="390" t="s">
        <v>476</v>
      </c>
      <c r="K56" s="390" t="n">
        <f aca="false">'Antenna Gain'!L28</f>
        <v>180</v>
      </c>
      <c r="L56" s="392" t="s">
        <v>215</v>
      </c>
      <c r="M56" s="227"/>
      <c r="N56" s="228"/>
      <c r="O56" s="475" t="s">
        <v>557</v>
      </c>
      <c r="P56" s="469" t="s">
        <v>558</v>
      </c>
      <c r="Q56" s="470"/>
      <c r="R56" s="471" t="n">
        <f aca="false">IF(K52=K36,0.00075*(G63)^2,0.00075*(180-G63)^2)</f>
        <v>18.01875</v>
      </c>
      <c r="S56" s="244" t="s">
        <v>258</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6" t="n">
        <v>4</v>
      </c>
      <c r="C57" s="49" t="s">
        <v>501</v>
      </c>
      <c r="D57" s="49"/>
      <c r="E57" s="272" t="s">
        <v>502</v>
      </c>
      <c r="F57" s="49" t="s">
        <v>503</v>
      </c>
      <c r="G57" s="49" t="s">
        <v>482</v>
      </c>
      <c r="H57" s="313" t="n">
        <f aca="false">'Antenna Gain'!H29</f>
        <v>4</v>
      </c>
      <c r="I57" s="49" t="s">
        <v>475</v>
      </c>
      <c r="J57" s="49" t="s">
        <v>476</v>
      </c>
      <c r="K57" s="49" t="n">
        <f aca="false">'Antenna Gain'!L29</f>
        <v>150</v>
      </c>
      <c r="L57" s="388" t="s">
        <v>215</v>
      </c>
      <c r="M57" s="227"/>
      <c r="N57" s="228"/>
      <c r="O57" s="472" t="s">
        <v>559</v>
      </c>
      <c r="P57" s="469" t="s">
        <v>560</v>
      </c>
      <c r="Q57" s="470"/>
      <c r="R57" s="473" t="n">
        <f aca="false">-1.5*(-(4-10*LOG10(1.256*(1+COS(RADIANS(G63))))))</f>
        <v>0.3122600802</v>
      </c>
      <c r="S57" s="270" t="s">
        <v>258</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89" t="n">
        <v>5</v>
      </c>
      <c r="C58" s="390" t="s">
        <v>505</v>
      </c>
      <c r="D58" s="390"/>
      <c r="E58" s="476" t="s">
        <v>0</v>
      </c>
      <c r="F58" s="390"/>
      <c r="G58" s="390" t="s">
        <v>482</v>
      </c>
      <c r="H58" s="477" t="n">
        <f aca="false">'Antenna Gain'!H30</f>
        <v>6</v>
      </c>
      <c r="I58" s="390" t="s">
        <v>561</v>
      </c>
      <c r="J58" s="390" t="s">
        <v>476</v>
      </c>
      <c r="K58" s="390" t="n">
        <f aca="false">'Antenna Gain'!L30</f>
        <v>90</v>
      </c>
      <c r="L58" s="392" t="s">
        <v>215</v>
      </c>
      <c r="M58" s="478"/>
      <c r="N58" s="479"/>
      <c r="O58" s="475" t="s">
        <v>562</v>
      </c>
      <c r="P58" s="469" t="s">
        <v>563</v>
      </c>
      <c r="Q58" s="470"/>
      <c r="R58" s="298" t="n">
        <f aca="false">-10*LOG10(3282.81*((SIN(RADIANS(G63*1.7724))^2)/((G63*1.7724)^2)))</f>
        <v>0.8837496046</v>
      </c>
      <c r="S58" s="244" t="s">
        <v>258</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6" t="n">
        <v>6</v>
      </c>
      <c r="C59" s="49" t="s">
        <v>484</v>
      </c>
      <c r="D59" s="49"/>
      <c r="E59" s="480" t="s">
        <v>564</v>
      </c>
      <c r="F59" s="49"/>
      <c r="G59" s="49" t="s">
        <v>482</v>
      </c>
      <c r="H59" s="456" t="n">
        <f aca="false">'Antenna Gain'!H31</f>
        <v>25.2710632385685</v>
      </c>
      <c r="I59" s="49" t="s">
        <v>561</v>
      </c>
      <c r="J59" s="49" t="s">
        <v>476</v>
      </c>
      <c r="K59" s="313" t="n">
        <f aca="false">'Antenna Gain'!L31</f>
        <v>8.88888888888889</v>
      </c>
      <c r="L59" s="388" t="s">
        <v>215</v>
      </c>
      <c r="M59" s="227"/>
      <c r="N59" s="227"/>
      <c r="O59" s="481" t="s">
        <v>565</v>
      </c>
      <c r="P59" s="482" t="s">
        <v>566</v>
      </c>
      <c r="Q59" s="470"/>
      <c r="R59" s="313" t="n">
        <f aca="false">-10*LOG10(3282.1*((SIN(RADIANS(U59))^2/(U59^2))))</f>
        <v>17.8790466255749</v>
      </c>
      <c r="S59" s="281" t="s">
        <v>258</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399" t="n">
        <v>7</v>
      </c>
      <c r="C60" s="401" t="s">
        <v>522</v>
      </c>
      <c r="D60" s="401"/>
      <c r="E60" s="483" t="s">
        <v>567</v>
      </c>
      <c r="F60" s="401"/>
      <c r="G60" s="401" t="s">
        <v>482</v>
      </c>
      <c r="H60" s="484" t="n">
        <f aca="false">'Antenna Gain'!H32</f>
        <v>0</v>
      </c>
      <c r="I60" s="401" t="s">
        <v>512</v>
      </c>
      <c r="J60" s="401" t="s">
        <v>476</v>
      </c>
      <c r="K60" s="401" t="n">
        <f aca="false">'Antenna Gain'!L32</f>
        <v>180</v>
      </c>
      <c r="L60" s="404" t="s">
        <v>215</v>
      </c>
      <c r="M60" s="227"/>
      <c r="N60" s="227"/>
      <c r="O60" s="485" t="s">
        <v>568</v>
      </c>
      <c r="P60" s="482" t="s">
        <v>569</v>
      </c>
      <c r="Q60" s="470"/>
      <c r="R60" s="318" t="n">
        <v>0</v>
      </c>
      <c r="S60" s="253" t="s">
        <v>258</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6"/>
      <c r="C61" s="487"/>
      <c r="D61" s="487"/>
      <c r="E61" s="487"/>
      <c r="F61" s="487"/>
      <c r="G61" s="487"/>
      <c r="H61" s="487"/>
      <c r="I61" s="487"/>
      <c r="J61" s="487"/>
      <c r="K61" s="487"/>
      <c r="L61" s="488"/>
      <c r="M61" s="19"/>
      <c r="N61" s="19"/>
      <c r="O61" s="19"/>
      <c r="P61" s="19"/>
      <c r="Q61" s="19"/>
      <c r="R61" s="453"/>
      <c r="S61" s="431"/>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89"/>
      <c r="C62" s="459" t="s">
        <v>570</v>
      </c>
      <c r="D62" s="459"/>
      <c r="E62" s="459"/>
      <c r="F62" s="459"/>
      <c r="G62" s="292"/>
      <c r="H62" s="292"/>
      <c r="I62" s="490" t="s">
        <v>571</v>
      </c>
      <c r="J62" s="490"/>
      <c r="K62" s="292"/>
      <c r="L62" s="491"/>
      <c r="M62" s="19"/>
      <c r="N62" s="19"/>
      <c r="O62" s="19"/>
      <c r="P62" s="19"/>
      <c r="Q62" s="19"/>
      <c r="R62" s="453"/>
      <c r="S62" s="431"/>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89"/>
      <c r="C63" s="459" t="s">
        <v>572</v>
      </c>
      <c r="D63" s="459"/>
      <c r="E63" s="459"/>
      <c r="F63" s="459"/>
      <c r="G63" s="492" t="n">
        <v>25</v>
      </c>
      <c r="H63" s="253" t="s">
        <v>215</v>
      </c>
      <c r="I63" s="490" t="s">
        <v>573</v>
      </c>
      <c r="J63" s="490"/>
      <c r="K63" s="460" t="n">
        <f aca="false" t="array" ref="K63:K63">INDEX(R54:R60,E52,1)</f>
        <v>0</v>
      </c>
      <c r="L63" s="493" t="s">
        <v>258</v>
      </c>
      <c r="M63" s="19"/>
      <c r="N63" s="19"/>
      <c r="O63" s="19"/>
      <c r="P63" s="19"/>
      <c r="Q63" s="19"/>
      <c r="R63" s="453"/>
      <c r="S63" s="431"/>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4"/>
      <c r="C64" s="495"/>
      <c r="D64" s="495"/>
      <c r="E64" s="495"/>
      <c r="F64" s="495"/>
      <c r="G64" s="496"/>
      <c r="H64" s="495"/>
      <c r="I64" s="495"/>
      <c r="J64" s="495"/>
      <c r="K64" s="495"/>
      <c r="L64" s="497"/>
      <c r="M64" s="19" t="s">
        <v>0</v>
      </c>
      <c r="N64" s="19" t="s">
        <v>0</v>
      </c>
      <c r="O64" s="19"/>
      <c r="P64" s="19"/>
      <c r="Q64" s="19"/>
      <c r="R64" s="453"/>
      <c r="S64" s="431"/>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3"/>
      <c r="S65" s="431"/>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3"/>
      <c r="S66" s="431"/>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8"/>
      <c r="B67" s="498"/>
      <c r="C67" s="499" t="s">
        <v>514</v>
      </c>
      <c r="D67" s="498"/>
      <c r="E67" s="498"/>
      <c r="F67" s="498"/>
      <c r="G67" s="498"/>
      <c r="H67" s="498"/>
      <c r="I67" s="498"/>
      <c r="J67" s="499" t="s">
        <v>515</v>
      </c>
      <c r="K67" s="498"/>
      <c r="L67" s="498"/>
      <c r="M67" s="498"/>
      <c r="N67" s="498"/>
      <c r="O67" s="498"/>
      <c r="P67" s="498"/>
      <c r="Q67" s="498"/>
      <c r="R67" s="453"/>
      <c r="S67" s="431"/>
      <c r="T67" s="498"/>
      <c r="U67" s="498"/>
      <c r="V67" s="498"/>
      <c r="W67" s="498"/>
      <c r="X67" s="498"/>
      <c r="Y67" s="498"/>
      <c r="Z67" s="498"/>
      <c r="AA67" s="498"/>
      <c r="AB67" s="498"/>
      <c r="AC67" s="498"/>
      <c r="AD67" s="498"/>
      <c r="AE67" s="498"/>
      <c r="AF67" s="498"/>
      <c r="AG67" s="498"/>
      <c r="AH67" s="498"/>
      <c r="AI67" s="498"/>
      <c r="AJ67" s="498"/>
      <c r="AK67" s="498"/>
      <c r="AL67" s="498"/>
      <c r="AM67" s="498"/>
      <c r="AN67" s="498"/>
      <c r="AO67" s="498"/>
      <c r="AP67" s="498"/>
      <c r="AQ67" s="498"/>
      <c r="AR67" s="498"/>
      <c r="AS67" s="498"/>
      <c r="AT67" s="498"/>
      <c r="AU67" s="498"/>
      <c r="AV67" s="498"/>
      <c r="AW67" s="498"/>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3"/>
      <c r="S68" s="431"/>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574</v>
      </c>
      <c r="B69" s="46"/>
      <c r="C69" s="46"/>
      <c r="D69" s="45"/>
      <c r="E69" s="19"/>
      <c r="F69" s="19"/>
      <c r="G69" s="19"/>
      <c r="H69" s="19"/>
      <c r="I69" s="19"/>
      <c r="J69" s="19"/>
      <c r="K69" s="19"/>
      <c r="L69" s="19"/>
      <c r="M69" s="19"/>
      <c r="N69" s="19"/>
      <c r="O69" s="19"/>
      <c r="P69" s="19"/>
      <c r="Q69" s="19"/>
      <c r="R69" s="453"/>
      <c r="S69" s="431"/>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1"/>
      <c r="S70" s="462"/>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0" t="s">
        <v>489</v>
      </c>
      <c r="C71" s="331"/>
      <c r="D71" s="267"/>
      <c r="E71" s="267"/>
      <c r="F71" s="267"/>
      <c r="G71" s="267"/>
      <c r="H71" s="267"/>
      <c r="I71" s="267"/>
      <c r="J71" s="267"/>
      <c r="K71" s="267"/>
      <c r="L71" s="268"/>
      <c r="M71" s="19"/>
      <c r="N71" s="19"/>
      <c r="O71" s="19"/>
      <c r="P71" s="19"/>
      <c r="Q71" s="19"/>
      <c r="R71" s="266"/>
      <c r="S71" s="268"/>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9"/>
      <c r="C72" s="49"/>
      <c r="D72" s="271" t="s">
        <v>575</v>
      </c>
      <c r="E72" s="49" t="s">
        <v>309</v>
      </c>
      <c r="F72" s="334" t="n">
        <f aca="false">'Antenna Gain'!F39</f>
        <v>437.45</v>
      </c>
      <c r="G72" s="49" t="s">
        <v>314</v>
      </c>
      <c r="H72" s="49"/>
      <c r="I72" s="49"/>
      <c r="J72" s="49" t="s">
        <v>464</v>
      </c>
      <c r="K72" s="335" t="n">
        <f aca="false">'Antenna Gain'!K39</f>
        <v>0.685335466910504</v>
      </c>
      <c r="L72" s="270" t="s">
        <v>315</v>
      </c>
      <c r="M72" s="19"/>
      <c r="N72" s="19"/>
      <c r="O72" s="19"/>
      <c r="P72" s="19"/>
      <c r="Q72" s="19"/>
      <c r="R72" s="269" t="s">
        <v>549</v>
      </c>
      <c r="S72" s="463"/>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9"/>
      <c r="C73" s="49"/>
      <c r="D73" s="49" t="s">
        <v>0</v>
      </c>
      <c r="E73" s="49" t="s">
        <v>0</v>
      </c>
      <c r="F73" s="336" t="s">
        <v>545</v>
      </c>
      <c r="G73" s="49"/>
      <c r="H73" s="49"/>
      <c r="I73" s="49"/>
      <c r="J73" s="49"/>
      <c r="K73" s="49"/>
      <c r="L73" s="270"/>
      <c r="M73" s="19"/>
      <c r="N73" s="19"/>
      <c r="O73" s="19"/>
      <c r="P73" s="19"/>
      <c r="Q73" s="19"/>
      <c r="R73" s="464"/>
      <c r="S73" s="463"/>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2" t="s">
        <v>0</v>
      </c>
      <c r="C74" s="49"/>
      <c r="D74" s="49"/>
      <c r="E74" s="465" t="n">
        <f aca="false">'Antenna Gain'!E41</f>
        <v>7</v>
      </c>
      <c r="F74" s="381" t="str">
        <f aca="false">'Antenna Gain'!F41</f>
        <v>Deployable Turnstyle</v>
      </c>
      <c r="G74" s="339"/>
      <c r="H74" s="49"/>
      <c r="I74" s="49"/>
      <c r="J74" s="49" t="s">
        <v>466</v>
      </c>
      <c r="K74" s="54" t="str">
        <f aca="false">'Antenna Gain'!K41</f>
        <v>RHCP</v>
      </c>
      <c r="L74" s="270"/>
      <c r="M74" s="19"/>
      <c r="N74" s="19"/>
      <c r="O74" s="466" t="s">
        <v>550</v>
      </c>
      <c r="P74" s="19"/>
      <c r="Q74" s="19"/>
      <c r="R74" s="269" t="s">
        <v>551</v>
      </c>
      <c r="S74" s="463"/>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9"/>
      <c r="C75" s="49"/>
      <c r="D75" s="49"/>
      <c r="E75" s="49"/>
      <c r="F75" s="49" t="s">
        <v>0</v>
      </c>
      <c r="G75" s="49"/>
      <c r="H75" s="49"/>
      <c r="I75" s="49"/>
      <c r="J75" s="49"/>
      <c r="K75" s="49"/>
      <c r="L75" s="270"/>
      <c r="M75" s="19"/>
      <c r="N75" s="19"/>
      <c r="O75" s="467" t="s">
        <v>552</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2" t="n">
        <v>1</v>
      </c>
      <c r="C76" s="383" t="s">
        <v>493</v>
      </c>
      <c r="D76" s="383"/>
      <c r="E76" s="383"/>
      <c r="F76" s="383"/>
      <c r="G76" s="383" t="s">
        <v>482</v>
      </c>
      <c r="H76" s="383" t="n">
        <f aca="false">'Antenna Gain'!H43</f>
        <v>2.15</v>
      </c>
      <c r="I76" s="383" t="s">
        <v>494</v>
      </c>
      <c r="J76" s="383" t="s">
        <v>476</v>
      </c>
      <c r="K76" s="383" t="n">
        <f aca="false">'Antenna Gain'!L43</f>
        <v>156.2</v>
      </c>
      <c r="L76" s="385" t="s">
        <v>215</v>
      </c>
      <c r="M76" s="227"/>
      <c r="N76" s="228"/>
      <c r="O76" s="468" t="s">
        <v>576</v>
      </c>
      <c r="P76" s="469" t="s">
        <v>554</v>
      </c>
      <c r="Q76" s="470"/>
      <c r="R76" s="471" t="n">
        <f aca="false">IF(G85&lt;100,-10*LOG10(COS(RADIANS(90-G85))),"No Signal")</f>
        <v>3.740517406</v>
      </c>
      <c r="S76" s="244" t="s">
        <v>258</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6" t="n">
        <v>2</v>
      </c>
      <c r="C77" s="49" t="s">
        <v>496</v>
      </c>
      <c r="D77" s="49"/>
      <c r="E77" s="49"/>
      <c r="F77" s="49"/>
      <c r="G77" s="49" t="s">
        <v>482</v>
      </c>
      <c r="H77" s="49" t="n">
        <f aca="false">'Antenna Gain'!H44</f>
        <v>2.15</v>
      </c>
      <c r="I77" s="49" t="s">
        <v>494</v>
      </c>
      <c r="J77" s="49" t="s">
        <v>476</v>
      </c>
      <c r="K77" s="49" t="n">
        <f aca="false">'Antenna Gain'!L44</f>
        <v>156.2</v>
      </c>
      <c r="L77" s="388" t="s">
        <v>215</v>
      </c>
      <c r="M77" s="227"/>
      <c r="N77" s="228"/>
      <c r="O77" s="472" t="s">
        <v>577</v>
      </c>
      <c r="P77" s="469" t="s">
        <v>556</v>
      </c>
      <c r="Q77" s="470"/>
      <c r="R77" s="473" t="n">
        <f aca="false">IF(G85&lt;90.001,-10*LOG10(COS(RADIANS(G85))),-10*LOG(-COS(RADIANS(G85))))</f>
        <v>0.4272428851</v>
      </c>
      <c r="S77" s="270" t="s">
        <v>258</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89" t="n">
        <v>3</v>
      </c>
      <c r="C78" s="390" t="s">
        <v>498</v>
      </c>
      <c r="D78" s="390"/>
      <c r="E78" s="390"/>
      <c r="F78" s="390"/>
      <c r="G78" s="390" t="s">
        <v>482</v>
      </c>
      <c r="H78" s="474" t="n">
        <f aca="false">'Antenna Gain'!H45</f>
        <v>0.5</v>
      </c>
      <c r="I78" s="390" t="s">
        <v>475</v>
      </c>
      <c r="J78" s="390" t="s">
        <v>476</v>
      </c>
      <c r="K78" s="390" t="n">
        <f aca="false">'Antenna Gain'!L45</f>
        <v>180</v>
      </c>
      <c r="L78" s="392" t="s">
        <v>215</v>
      </c>
      <c r="M78" s="227"/>
      <c r="N78" s="228"/>
      <c r="O78" s="475" t="s">
        <v>578</v>
      </c>
      <c r="P78" s="469" t="s">
        <v>558</v>
      </c>
      <c r="Q78" s="470"/>
      <c r="R78" s="500" t="n">
        <f aca="false">IF(K74=K95,0.00075*(G85)^2,0.00075*(180-G85)^2)</f>
        <v>18.01875</v>
      </c>
      <c r="S78" s="422" t="s">
        <v>258</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6" t="n">
        <v>4</v>
      </c>
      <c r="C79" s="49" t="s">
        <v>501</v>
      </c>
      <c r="D79" s="49"/>
      <c r="E79" s="272" t="s">
        <v>502</v>
      </c>
      <c r="F79" s="49" t="s">
        <v>503</v>
      </c>
      <c r="G79" s="49" t="s">
        <v>482</v>
      </c>
      <c r="H79" s="313" t="n">
        <f aca="false">'Antenna Gain'!H46</f>
        <v>4</v>
      </c>
      <c r="I79" s="49" t="s">
        <v>475</v>
      </c>
      <c r="J79" s="49" t="s">
        <v>476</v>
      </c>
      <c r="K79" s="49" t="n">
        <f aca="false">'Antenna Gain'!L46</f>
        <v>150</v>
      </c>
      <c r="L79" s="388" t="s">
        <v>215</v>
      </c>
      <c r="M79" s="227"/>
      <c r="N79" s="228"/>
      <c r="O79" s="472" t="s">
        <v>579</v>
      </c>
      <c r="P79" s="469" t="s">
        <v>560</v>
      </c>
      <c r="Q79" s="470"/>
      <c r="R79" s="501" t="n">
        <f aca="false">1.5*((4-10*LOG10(1.256*(1+COS(RADIANS(G85))))))</f>
        <v>0.3122600802</v>
      </c>
      <c r="S79" s="281" t="s">
        <v>258</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89" t="n">
        <v>5</v>
      </c>
      <c r="C80" s="390" t="s">
        <v>522</v>
      </c>
      <c r="D80" s="390"/>
      <c r="E80" s="476" t="s">
        <v>523</v>
      </c>
      <c r="F80" s="390"/>
      <c r="G80" s="390" t="s">
        <v>482</v>
      </c>
      <c r="H80" s="477" t="n">
        <f aca="false">'Antenna Gain'!H47</f>
        <v>6</v>
      </c>
      <c r="I80" s="390" t="s">
        <v>512</v>
      </c>
      <c r="J80" s="390" t="s">
        <v>476</v>
      </c>
      <c r="K80" s="390" t="n">
        <f aca="false">'Antenna Gain'!L47</f>
        <v>90</v>
      </c>
      <c r="L80" s="392" t="s">
        <v>215</v>
      </c>
      <c r="M80" s="478"/>
      <c r="N80" s="479"/>
      <c r="O80" s="475" t="s">
        <v>580</v>
      </c>
      <c r="P80" s="469" t="str">
        <f aca="false">E80</f>
        <v>Patch (Example)</v>
      </c>
      <c r="Q80" s="470"/>
      <c r="R80" s="318" t="n">
        <f aca="false">-10*LOG10(3282.81*((SIN(RADIANS(G85*1.7724))^2)/((G85*1.7724)^2)))</f>
        <v>0.8837496046</v>
      </c>
      <c r="S80" s="253" t="s">
        <v>258</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6" t="n">
        <v>6</v>
      </c>
      <c r="C81" s="49" t="s">
        <v>484</v>
      </c>
      <c r="D81" s="49"/>
      <c r="E81" s="480" t="s">
        <v>564</v>
      </c>
      <c r="F81" s="49"/>
      <c r="G81" s="49" t="s">
        <v>482</v>
      </c>
      <c r="H81" s="456" t="n">
        <f aca="false">'Antenna Gain'!H48</f>
        <v>16.6427952255587</v>
      </c>
      <c r="I81" s="49" t="s">
        <v>561</v>
      </c>
      <c r="J81" s="49" t="s">
        <v>476</v>
      </c>
      <c r="K81" s="313" t="n">
        <f aca="false">'Antenna Gain'!L48</f>
        <v>24.0027431706481</v>
      </c>
      <c r="L81" s="388" t="s">
        <v>215</v>
      </c>
      <c r="M81" s="227"/>
      <c r="N81" s="227"/>
      <c r="O81" s="481" t="s">
        <v>565</v>
      </c>
      <c r="P81" s="482" t="s">
        <v>566</v>
      </c>
      <c r="Q81" s="470"/>
      <c r="R81" s="313" t="n">
        <f aca="false">-10*LOG10(3282.1*((SIN(RADIANS(U81))^2/(U81^2))))</f>
        <v>21.6651508299647</v>
      </c>
      <c r="S81" s="281" t="s">
        <v>258</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399" t="n">
        <v>7</v>
      </c>
      <c r="C82" s="401" t="s">
        <v>522</v>
      </c>
      <c r="D82" s="401"/>
      <c r="E82" s="483" t="s">
        <v>567</v>
      </c>
      <c r="F82" s="401"/>
      <c r="G82" s="401" t="s">
        <v>482</v>
      </c>
      <c r="H82" s="484" t="n">
        <f aca="false">'Antenna Gain'!H49</f>
        <v>0</v>
      </c>
      <c r="I82" s="401" t="s">
        <v>512</v>
      </c>
      <c r="J82" s="401" t="s">
        <v>476</v>
      </c>
      <c r="K82" s="401" t="n">
        <f aca="false">'Antenna Gain'!L49</f>
        <v>180</v>
      </c>
      <c r="L82" s="404" t="s">
        <v>215</v>
      </c>
      <c r="M82" s="227"/>
      <c r="N82" s="227"/>
      <c r="O82" s="485" t="s">
        <v>568</v>
      </c>
      <c r="P82" s="482" t="s">
        <v>569</v>
      </c>
      <c r="Q82" s="470"/>
      <c r="R82" s="318" t="n">
        <v>0</v>
      </c>
      <c r="S82" s="253" t="s">
        <v>258</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6"/>
      <c r="C83" s="487"/>
      <c r="D83" s="487"/>
      <c r="E83" s="487"/>
      <c r="F83" s="487"/>
      <c r="G83" s="487"/>
      <c r="H83" s="487"/>
      <c r="I83" s="487"/>
      <c r="J83" s="487"/>
      <c r="K83" s="487"/>
      <c r="L83" s="488"/>
      <c r="M83" s="19"/>
      <c r="N83" s="19"/>
      <c r="O83" s="19"/>
      <c r="P83" s="19"/>
      <c r="Q83" s="19"/>
      <c r="R83" s="447"/>
      <c r="S83" s="448"/>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89"/>
      <c r="C84" s="459" t="s">
        <v>570</v>
      </c>
      <c r="D84" s="459"/>
      <c r="E84" s="459"/>
      <c r="F84" s="459"/>
      <c r="G84" s="292"/>
      <c r="H84" s="292"/>
      <c r="I84" s="490" t="s">
        <v>571</v>
      </c>
      <c r="J84" s="490"/>
      <c r="K84" s="292"/>
      <c r="L84" s="491"/>
      <c r="M84" s="19"/>
      <c r="N84" s="19"/>
      <c r="O84" s="19"/>
      <c r="P84" s="19"/>
      <c r="Q84" s="19"/>
      <c r="R84" s="453"/>
      <c r="S84" s="431"/>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89"/>
      <c r="C85" s="459" t="s">
        <v>581</v>
      </c>
      <c r="D85" s="459"/>
      <c r="E85" s="459"/>
      <c r="F85" s="459"/>
      <c r="G85" s="492" t="n">
        <v>25</v>
      </c>
      <c r="H85" s="253" t="s">
        <v>215</v>
      </c>
      <c r="I85" s="490" t="s">
        <v>573</v>
      </c>
      <c r="J85" s="490"/>
      <c r="K85" s="460" t="n">
        <f aca="false" t="array" ref="K85:K85">INDEX(R76:R82,E74,1)</f>
        <v>0</v>
      </c>
      <c r="L85" s="493" t="s">
        <v>258</v>
      </c>
      <c r="M85" s="19"/>
      <c r="N85" s="19"/>
      <c r="O85" s="19"/>
      <c r="P85" s="19" t="s">
        <v>0</v>
      </c>
      <c r="Q85" s="19"/>
      <c r="R85" s="453"/>
      <c r="S85" s="431"/>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4"/>
      <c r="C86" s="495"/>
      <c r="D86" s="495"/>
      <c r="E86" s="495"/>
      <c r="F86" s="495"/>
      <c r="G86" s="496"/>
      <c r="H86" s="495"/>
      <c r="I86" s="495"/>
      <c r="J86" s="495"/>
      <c r="K86" s="495"/>
      <c r="L86" s="497"/>
      <c r="M86" s="19"/>
      <c r="N86" s="19" t="s">
        <v>0</v>
      </c>
      <c r="O86" s="19"/>
      <c r="P86" s="19"/>
      <c r="Q86" s="19"/>
      <c r="R86" s="453"/>
      <c r="S86" s="431"/>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3"/>
      <c r="S87" s="431"/>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3"/>
      <c r="S88" s="431"/>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3"/>
      <c r="S89" s="431"/>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3"/>
      <c r="S90" s="431"/>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0" t="s">
        <v>462</v>
      </c>
      <c r="C91" s="331"/>
      <c r="D91" s="267"/>
      <c r="E91" s="267"/>
      <c r="F91" s="267"/>
      <c r="G91" s="267" t="s">
        <v>0</v>
      </c>
      <c r="H91" s="267"/>
      <c r="I91" s="267"/>
      <c r="J91" s="267" t="s">
        <v>0</v>
      </c>
      <c r="K91" s="267"/>
      <c r="L91" s="268"/>
      <c r="M91" s="19"/>
      <c r="N91" s="19"/>
      <c r="O91" s="19"/>
      <c r="P91" s="19"/>
      <c r="Q91" s="19"/>
      <c r="R91" s="502"/>
      <c r="S91" s="431"/>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2" t="s">
        <v>0</v>
      </c>
      <c r="C92" s="308"/>
      <c r="D92" s="271" t="s">
        <v>518</v>
      </c>
      <c r="E92" s="333" t="s">
        <v>309</v>
      </c>
      <c r="F92" s="334" t="n">
        <f aca="false">'Antenna Gain'!F55</f>
        <v>437.45</v>
      </c>
      <c r="G92" s="49" t="s">
        <v>314</v>
      </c>
      <c r="H92" s="49"/>
      <c r="I92" s="49"/>
      <c r="J92" s="49" t="s">
        <v>464</v>
      </c>
      <c r="K92" s="335" t="n">
        <f aca="false">'Antenna Gain'!K55</f>
        <v>0.685335466910504</v>
      </c>
      <c r="L92" s="270" t="s">
        <v>315</v>
      </c>
      <c r="M92" s="19"/>
      <c r="N92" s="19"/>
      <c r="O92" s="19"/>
      <c r="P92" s="19"/>
      <c r="Q92" s="19"/>
      <c r="R92" s="453"/>
      <c r="S92" s="431"/>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9"/>
      <c r="C93" s="49"/>
      <c r="D93" s="49"/>
      <c r="E93" s="49"/>
      <c r="F93" s="49"/>
      <c r="G93" s="49"/>
      <c r="H93" s="49"/>
      <c r="I93" s="49"/>
      <c r="J93" s="49"/>
      <c r="K93" s="49"/>
      <c r="L93" s="270"/>
      <c r="M93" s="19"/>
      <c r="N93" s="19"/>
      <c r="O93" s="19"/>
      <c r="P93" s="19"/>
      <c r="Q93" s="19"/>
      <c r="R93" s="453"/>
      <c r="S93" s="431"/>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9"/>
      <c r="C94" s="49"/>
      <c r="D94" s="49"/>
      <c r="E94" s="49"/>
      <c r="F94" s="336" t="s">
        <v>582</v>
      </c>
      <c r="G94" s="49"/>
      <c r="H94" s="49"/>
      <c r="I94" s="49"/>
      <c r="J94" s="49"/>
      <c r="K94" s="49"/>
      <c r="L94" s="270"/>
      <c r="M94" s="19"/>
      <c r="N94" s="19"/>
      <c r="O94" s="19"/>
      <c r="P94" s="19"/>
      <c r="Q94" s="19"/>
      <c r="R94" s="453"/>
      <c r="S94" s="431"/>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2" t="s">
        <v>0</v>
      </c>
      <c r="C95" s="49"/>
      <c r="D95" s="49"/>
      <c r="E95" s="435" t="n">
        <f aca="false">'Antenna Gain'!E58</f>
        <v>4</v>
      </c>
      <c r="F95" s="436" t="str">
        <f aca="false">'Antenna Gain'!F58</f>
        <v>Whip</v>
      </c>
      <c r="G95" s="339"/>
      <c r="H95" s="49"/>
      <c r="I95" s="49"/>
      <c r="J95" s="49" t="s">
        <v>466</v>
      </c>
      <c r="K95" s="54" t="str">
        <f aca="false">'Antenna Gain'!K58</f>
        <v>Linear</v>
      </c>
      <c r="L95" s="270"/>
      <c r="M95" s="19"/>
      <c r="N95" s="19"/>
      <c r="O95" s="19"/>
      <c r="P95" s="19"/>
      <c r="Q95" s="19"/>
      <c r="R95" s="453"/>
      <c r="S95" s="431"/>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1"/>
      <c r="C96" s="342"/>
      <c r="D96" s="342"/>
      <c r="E96" s="342"/>
      <c r="F96" s="342"/>
      <c r="G96" s="342"/>
      <c r="H96" s="342"/>
      <c r="I96" s="342"/>
      <c r="J96" s="342"/>
      <c r="K96" s="342"/>
      <c r="L96" s="343"/>
      <c r="M96" s="19"/>
      <c r="N96" s="19"/>
      <c r="O96" s="19"/>
      <c r="P96" s="19"/>
      <c r="Q96" s="19"/>
      <c r="R96" s="461"/>
      <c r="S96" s="462"/>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7" t="n">
        <v>1</v>
      </c>
      <c r="C97" s="352" t="s">
        <v>469</v>
      </c>
      <c r="D97" s="438"/>
      <c r="E97" s="352"/>
      <c r="F97" s="439" t="s">
        <v>474</v>
      </c>
      <c r="G97" s="440" t="n">
        <f aca="false">'Antenna Gain'!N60</f>
        <v>17.45</v>
      </c>
      <c r="H97" s="352" t="s">
        <v>475</v>
      </c>
      <c r="I97" s="438" t="s">
        <v>476</v>
      </c>
      <c r="J97" s="441" t="n">
        <f aca="false">'Antenna Gain'!Q60</f>
        <v>26.8243987081074</v>
      </c>
      <c r="K97" s="352" t="s">
        <v>215</v>
      </c>
      <c r="L97" s="355"/>
      <c r="M97" s="19"/>
      <c r="N97" s="19"/>
      <c r="O97" s="19"/>
      <c r="P97" s="19"/>
      <c r="Q97" s="19"/>
      <c r="R97" s="442" t="n">
        <f aca="false" t="array" ref="R97:R97">2*(F102*(79.76/INDEX(J97:J100,E95,1)))</f>
        <v>2.4169696969697</v>
      </c>
      <c r="S97" s="443"/>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4" t="n">
        <v>2</v>
      </c>
      <c r="C98" s="357" t="s">
        <v>478</v>
      </c>
      <c r="D98" s="443"/>
      <c r="E98" s="357"/>
      <c r="F98" s="443" t="s">
        <v>482</v>
      </c>
      <c r="G98" s="445" t="n">
        <f aca="false">'Antenna Gain'!N61</f>
        <v>2.73001272063738</v>
      </c>
      <c r="H98" s="357" t="s">
        <v>475</v>
      </c>
      <c r="I98" s="443" t="s">
        <v>476</v>
      </c>
      <c r="J98" s="446" t="n">
        <f aca="false">'Antenna Gain'!Q61</f>
        <v>325.269119345812</v>
      </c>
      <c r="K98" s="357" t="s">
        <v>215</v>
      </c>
      <c r="L98" s="364"/>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49" t="n">
        <v>3</v>
      </c>
      <c r="C99" s="366" t="s">
        <v>484</v>
      </c>
      <c r="D99" s="450"/>
      <c r="E99" s="366"/>
      <c r="F99" s="450" t="s">
        <v>482</v>
      </c>
      <c r="G99" s="451" t="n">
        <f aca="false">'Antenna Gain'!N62</f>
        <v>17.0206808344527</v>
      </c>
      <c r="H99" s="366" t="s">
        <v>475</v>
      </c>
      <c r="I99" s="450" t="s">
        <v>476</v>
      </c>
      <c r="J99" s="452" t="n">
        <f aca="false">'Antenna Gain'!Q62</f>
        <v>24.0027431706481</v>
      </c>
      <c r="K99" s="366" t="s">
        <v>215</v>
      </c>
      <c r="L99" s="370"/>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4" t="n">
        <v>4</v>
      </c>
      <c r="C100" s="49" t="s">
        <v>546</v>
      </c>
      <c r="D100" s="268"/>
      <c r="E100" s="49"/>
      <c r="F100" s="270" t="s">
        <v>482</v>
      </c>
      <c r="G100" s="455" t="n">
        <v>18.5</v>
      </c>
      <c r="H100" s="49" t="s">
        <v>475</v>
      </c>
      <c r="I100" s="270" t="s">
        <v>476</v>
      </c>
      <c r="J100" s="456" t="n">
        <f aca="false">'Antenna Gain'!Q63</f>
        <v>330</v>
      </c>
      <c r="K100" s="49" t="s">
        <v>215</v>
      </c>
      <c r="L100" s="457"/>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8"/>
      <c r="C101" s="290"/>
      <c r="D101" s="290"/>
      <c r="E101" s="290"/>
      <c r="F101" s="290"/>
      <c r="G101" s="290"/>
      <c r="H101" s="290"/>
      <c r="I101" s="290"/>
      <c r="J101" s="290"/>
      <c r="K101" s="290"/>
      <c r="L101" s="312"/>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59" t="s">
        <v>583</v>
      </c>
      <c r="D102" s="292"/>
      <c r="E102" s="292"/>
      <c r="F102" s="258" t="n">
        <v>5</v>
      </c>
      <c r="G102" s="253" t="s">
        <v>229</v>
      </c>
      <c r="H102" s="459" t="s">
        <v>548</v>
      </c>
      <c r="I102" s="292"/>
      <c r="J102" s="292"/>
      <c r="K102" s="460" t="n">
        <f aca="false">-10*LOG10(3282.81*((SIN(RADIANS(R97))^2/(R97^2))))</f>
        <v>0.00257140920303451</v>
      </c>
      <c r="L102" s="339" t="s">
        <v>258</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I55" activeCellId="0" sqref="I5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584</v>
      </c>
      <c r="B1" s="39"/>
      <c r="C1" s="503"/>
      <c r="D1" s="503"/>
      <c r="E1" s="503"/>
      <c r="F1" s="503"/>
      <c r="G1" s="503"/>
      <c r="H1" s="10"/>
      <c r="I1" s="10"/>
      <c r="J1" s="40" t="str">
        <f aca="false">'Title Page'!F3</f>
        <v>Coconut Cubesat</v>
      </c>
      <c r="K1" s="10"/>
      <c r="L1" s="10"/>
      <c r="M1" s="10"/>
      <c r="N1" s="41" t="str">
        <f aca="false">'Title Page'!F23</f>
        <v>2025 June 08</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4" t="s">
        <v>585</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586</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4" t="s">
        <v>587</v>
      </c>
      <c r="F5" s="19"/>
      <c r="G5" s="19"/>
      <c r="H5" s="19"/>
      <c r="I5" s="19"/>
      <c r="J5" s="19"/>
      <c r="K5" s="21" t="s">
        <v>588</v>
      </c>
      <c r="L5" s="19"/>
      <c r="M5" s="19"/>
      <c r="N5" s="21" t="s">
        <v>589</v>
      </c>
      <c r="O5" s="19"/>
      <c r="P5" s="19"/>
      <c r="Q5" s="21" t="s">
        <v>590</v>
      </c>
      <c r="R5" s="19"/>
      <c r="S5" s="19"/>
      <c r="T5" s="19"/>
      <c r="U5" s="19"/>
      <c r="V5" s="19"/>
    </row>
    <row r="6" customFormat="false" ht="12" hidden="false" customHeight="true" outlineLevel="0" collapsed="false">
      <c r="A6" s="19"/>
      <c r="B6" s="23" t="s">
        <v>60</v>
      </c>
      <c r="C6" s="19"/>
      <c r="D6" s="19"/>
      <c r="E6" s="19"/>
      <c r="F6" s="19"/>
      <c r="G6" s="19"/>
      <c r="H6" s="19"/>
      <c r="I6" s="19"/>
      <c r="J6" s="19"/>
      <c r="K6" s="19" t="s">
        <v>591</v>
      </c>
      <c r="L6" s="19"/>
      <c r="M6" s="19"/>
      <c r="N6" s="19" t="s">
        <v>591</v>
      </c>
      <c r="O6" s="19"/>
      <c r="P6" s="19"/>
      <c r="Q6" s="19" t="s">
        <v>592</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593</v>
      </c>
      <c r="R10" s="19"/>
      <c r="S10" s="19"/>
      <c r="T10" s="19"/>
      <c r="U10" s="19"/>
      <c r="V10" s="19"/>
    </row>
    <row r="11" customFormat="false" ht="12" hidden="false" customHeight="true" outlineLevel="0" collapsed="false">
      <c r="A11" s="19"/>
      <c r="B11" s="19"/>
      <c r="C11" s="19"/>
      <c r="D11" s="19"/>
      <c r="E11" s="19"/>
      <c r="F11" s="19"/>
      <c r="G11" s="19"/>
      <c r="H11" s="21" t="s">
        <v>594</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595</v>
      </c>
      <c r="R20" s="19"/>
      <c r="S20" s="19"/>
      <c r="T20" s="19"/>
      <c r="U20" s="19"/>
      <c r="V20" s="19"/>
    </row>
    <row r="21" customFormat="false" ht="12" hidden="false" customHeight="true" outlineLevel="0" collapsed="false">
      <c r="A21" s="19"/>
      <c r="B21" s="19"/>
      <c r="C21" s="19"/>
      <c r="D21" s="19"/>
      <c r="E21" s="19"/>
      <c r="F21" s="19"/>
      <c r="G21" s="19"/>
      <c r="H21" s="21" t="s">
        <v>596</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60</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7"/>
      <c r="L28" s="505"/>
      <c r="M28" s="505"/>
      <c r="N28" s="448"/>
      <c r="O28" s="19"/>
      <c r="P28" s="19"/>
      <c r="Q28" s="19"/>
      <c r="R28" s="19"/>
      <c r="S28" s="19"/>
      <c r="T28" s="19"/>
      <c r="U28" s="19"/>
      <c r="V28" s="19"/>
    </row>
    <row r="29" customFormat="false" ht="12.75" hidden="false" customHeight="true" outlineLevel="0" collapsed="false">
      <c r="A29" s="19"/>
      <c r="B29" s="506" t="s">
        <v>278</v>
      </c>
      <c r="C29" s="215" t="s">
        <v>597</v>
      </c>
      <c r="D29" s="19"/>
      <c r="E29" s="19"/>
      <c r="F29" s="19"/>
      <c r="G29" s="19"/>
      <c r="H29" s="19"/>
      <c r="I29" s="19"/>
      <c r="J29" s="19"/>
      <c r="K29" s="453"/>
      <c r="L29" s="42"/>
      <c r="M29" s="42"/>
      <c r="N29" s="431"/>
      <c r="O29" s="19"/>
      <c r="P29" s="19"/>
      <c r="Q29" s="19"/>
      <c r="R29" s="19"/>
      <c r="S29" s="19"/>
      <c r="T29" s="19"/>
      <c r="U29" s="19"/>
      <c r="V29" s="19"/>
    </row>
    <row r="30" customFormat="false" ht="12" hidden="false" customHeight="true" outlineLevel="0" collapsed="false">
      <c r="A30" s="19"/>
      <c r="B30" s="507" t="s">
        <v>0</v>
      </c>
      <c r="C30" s="508" t="s">
        <v>598</v>
      </c>
      <c r="D30" s="508"/>
      <c r="E30" s="509"/>
      <c r="F30" s="509"/>
      <c r="G30" s="510"/>
      <c r="H30" s="19"/>
      <c r="I30" s="19"/>
      <c r="J30" s="19"/>
      <c r="K30" s="453"/>
      <c r="L30" s="42"/>
      <c r="M30" s="42"/>
      <c r="N30" s="431"/>
      <c r="O30" s="19"/>
      <c r="P30" s="19"/>
      <c r="Q30" s="19"/>
      <c r="R30" s="19"/>
      <c r="S30" s="19"/>
      <c r="T30" s="19"/>
      <c r="U30" s="19"/>
      <c r="V30" s="19"/>
    </row>
    <row r="31" customFormat="false" ht="12" hidden="false" customHeight="true" outlineLevel="0" collapsed="false">
      <c r="A31" s="19"/>
      <c r="B31" s="511" t="s">
        <v>599</v>
      </c>
      <c r="C31" s="390"/>
      <c r="D31" s="390"/>
      <c r="E31" s="390"/>
      <c r="F31" s="390"/>
      <c r="G31" s="392"/>
      <c r="H31" s="19"/>
      <c r="I31" s="19"/>
      <c r="J31" s="19"/>
      <c r="K31" s="453"/>
      <c r="L31" s="42"/>
      <c r="M31" s="42"/>
      <c r="N31" s="431"/>
      <c r="O31" s="19"/>
      <c r="P31" s="19"/>
      <c r="Q31" s="19"/>
      <c r="R31" s="19"/>
      <c r="S31" s="19"/>
      <c r="T31" s="19"/>
      <c r="U31" s="19"/>
      <c r="V31" s="19"/>
    </row>
    <row r="32" customFormat="false" ht="12" hidden="false" customHeight="true" outlineLevel="0" collapsed="false">
      <c r="A32" s="19"/>
      <c r="B32" s="512"/>
      <c r="C32" s="19"/>
      <c r="D32" s="19"/>
      <c r="E32" s="28" t="s">
        <v>600</v>
      </c>
      <c r="F32" s="246" t="n">
        <v>30</v>
      </c>
      <c r="G32" s="513" t="s">
        <v>601</v>
      </c>
      <c r="H32" s="19"/>
      <c r="I32" s="19"/>
      <c r="J32" s="19"/>
      <c r="K32" s="453"/>
      <c r="L32" s="42"/>
      <c r="M32" s="42"/>
      <c r="N32" s="431"/>
      <c r="O32" s="19"/>
      <c r="P32" s="447" t="s">
        <v>602</v>
      </c>
      <c r="Q32" s="505"/>
      <c r="R32" s="505"/>
      <c r="S32" s="448"/>
      <c r="T32" s="19"/>
      <c r="U32" s="19"/>
      <c r="V32" s="19"/>
    </row>
    <row r="33" customFormat="false" ht="12" hidden="false" customHeight="true" outlineLevel="0" collapsed="false">
      <c r="A33" s="19"/>
      <c r="B33" s="512"/>
      <c r="C33" s="19"/>
      <c r="D33" s="19"/>
      <c r="E33" s="28" t="s">
        <v>603</v>
      </c>
      <c r="F33" s="514" t="n">
        <f aca="false">10^(F32/20)</f>
        <v>31.6227766016838</v>
      </c>
      <c r="G33" s="513" t="s">
        <v>604</v>
      </c>
      <c r="H33" s="19"/>
      <c r="I33" s="19"/>
      <c r="J33" s="19"/>
      <c r="K33" s="453"/>
      <c r="L33" s="42"/>
      <c r="M33" s="42"/>
      <c r="N33" s="431"/>
      <c r="O33" s="19"/>
      <c r="P33" s="453" t="s">
        <v>605</v>
      </c>
      <c r="Q33" s="42"/>
      <c r="R33" s="42"/>
      <c r="S33" s="431"/>
      <c r="T33" s="19"/>
      <c r="U33" s="19"/>
      <c r="V33" s="19"/>
    </row>
    <row r="34" customFormat="false" ht="12" hidden="false" customHeight="true" outlineLevel="0" collapsed="false">
      <c r="A34" s="19"/>
      <c r="B34" s="512"/>
      <c r="C34" s="19"/>
      <c r="D34" s="19"/>
      <c r="E34" s="28" t="s">
        <v>606</v>
      </c>
      <c r="F34" s="246" t="n">
        <v>0</v>
      </c>
      <c r="G34" s="513" t="s">
        <v>601</v>
      </c>
      <c r="H34" s="19"/>
      <c r="I34" s="19"/>
      <c r="J34" s="19"/>
      <c r="K34" s="453"/>
      <c r="L34" s="42"/>
      <c r="M34" s="42"/>
      <c r="N34" s="431"/>
      <c r="O34" s="19"/>
      <c r="P34" s="461" t="s">
        <v>607</v>
      </c>
      <c r="Q34" s="515"/>
      <c r="R34" s="515"/>
      <c r="S34" s="462"/>
      <c r="T34" s="19"/>
      <c r="U34" s="19"/>
      <c r="V34" s="19"/>
    </row>
    <row r="35" customFormat="false" ht="12" hidden="false" customHeight="true" outlineLevel="0" collapsed="false">
      <c r="A35" s="19"/>
      <c r="B35" s="512"/>
      <c r="C35" s="19"/>
      <c r="D35" s="19"/>
      <c r="E35" s="28" t="s">
        <v>608</v>
      </c>
      <c r="F35" s="514" t="n">
        <f aca="false">10^(F34/20)</f>
        <v>1</v>
      </c>
      <c r="G35" s="513" t="s">
        <v>604</v>
      </c>
      <c r="H35" s="19"/>
      <c r="I35" s="19"/>
      <c r="J35" s="19"/>
      <c r="K35" s="453"/>
      <c r="L35" s="42"/>
      <c r="M35" s="42"/>
      <c r="N35" s="431"/>
      <c r="O35" s="19"/>
      <c r="P35" s="19"/>
      <c r="Q35" s="19"/>
      <c r="R35" s="19"/>
      <c r="S35" s="19"/>
      <c r="T35" s="19"/>
      <c r="U35" s="19"/>
      <c r="V35" s="19"/>
    </row>
    <row r="36" customFormat="false" ht="12" hidden="false" customHeight="true" outlineLevel="0" collapsed="false">
      <c r="A36" s="19"/>
      <c r="B36" s="512"/>
      <c r="C36" s="19"/>
      <c r="D36" s="19"/>
      <c r="E36" s="28" t="s">
        <v>609</v>
      </c>
      <c r="F36" s="250" t="n">
        <v>90</v>
      </c>
      <c r="G36" s="513" t="s">
        <v>610</v>
      </c>
      <c r="H36" s="19"/>
      <c r="I36" s="19"/>
      <c r="J36" s="19"/>
      <c r="K36" s="453"/>
      <c r="L36" s="42"/>
      <c r="M36" s="42"/>
      <c r="N36" s="431"/>
      <c r="O36" s="19"/>
      <c r="P36" s="19" t="s">
        <v>0</v>
      </c>
      <c r="Q36" s="19"/>
      <c r="R36" s="19"/>
      <c r="S36" s="19"/>
      <c r="T36" s="19"/>
      <c r="U36" s="19"/>
      <c r="V36" s="19"/>
    </row>
    <row r="37" customFormat="false" ht="12" hidden="false" customHeight="true" outlineLevel="0" collapsed="false">
      <c r="A37" s="19"/>
      <c r="B37" s="512"/>
      <c r="C37" s="19"/>
      <c r="D37" s="19"/>
      <c r="E37" s="28" t="s">
        <v>609</v>
      </c>
      <c r="F37" s="43" t="n">
        <f aca="false">RADIANS(F36)</f>
        <v>1.570796327</v>
      </c>
      <c r="G37" s="513" t="s">
        <v>611</v>
      </c>
      <c r="H37" s="19"/>
      <c r="I37" s="19"/>
      <c r="J37" s="19"/>
      <c r="K37" s="453"/>
      <c r="L37" s="42"/>
      <c r="M37" s="42"/>
      <c r="N37" s="431"/>
      <c r="O37" s="19"/>
      <c r="P37" s="19"/>
      <c r="Q37" s="19"/>
      <c r="R37" s="19"/>
      <c r="S37" s="19"/>
      <c r="T37" s="19"/>
      <c r="U37" s="19"/>
      <c r="V37" s="19"/>
    </row>
    <row r="38" customFormat="false" ht="12" hidden="false" customHeight="true" outlineLevel="0" collapsed="false">
      <c r="A38" s="19"/>
      <c r="B38" s="512"/>
      <c r="C38" s="19"/>
      <c r="D38" s="19"/>
      <c r="E38" s="19"/>
      <c r="F38" s="98"/>
      <c r="G38" s="516"/>
      <c r="H38" s="19"/>
      <c r="I38" s="19"/>
      <c r="J38" s="19"/>
      <c r="K38" s="461"/>
      <c r="L38" s="515"/>
      <c r="M38" s="515"/>
      <c r="N38" s="462"/>
      <c r="O38" s="19"/>
      <c r="P38" s="19"/>
      <c r="Q38" s="19"/>
      <c r="R38" s="19"/>
      <c r="S38" s="19"/>
      <c r="T38" s="19"/>
      <c r="U38" s="19"/>
      <c r="V38" s="19"/>
    </row>
    <row r="39" customFormat="false" ht="12.75" hidden="false" customHeight="true" outlineLevel="0" collapsed="false">
      <c r="A39" s="19"/>
      <c r="B39" s="512"/>
      <c r="C39" s="19"/>
      <c r="D39" s="19"/>
      <c r="E39" s="28" t="s">
        <v>612</v>
      </c>
      <c r="F39" s="517" t="n">
        <f aca="false">0.5*(1+((1-F33^2)*(1-F35^2)*COS(2*F37)+4*F33*F35)/((1+F33^2)*(1+F35^2)))</f>
        <v>0.531591185416268</v>
      </c>
      <c r="G39" s="513" t="s">
        <v>604</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2"/>
      <c r="C40" s="19"/>
      <c r="D40" s="19"/>
      <c r="E40" s="28" t="s">
        <v>613</v>
      </c>
      <c r="F40" s="518" t="n">
        <f aca="false">-10*LOG(F39)</f>
        <v>2.74422228927224</v>
      </c>
      <c r="G40" s="513" t="s">
        <v>601</v>
      </c>
      <c r="H40" s="19"/>
      <c r="I40" s="19"/>
      <c r="J40" s="19"/>
      <c r="K40" s="19"/>
      <c r="L40" s="21" t="s">
        <v>614</v>
      </c>
      <c r="M40" s="19"/>
      <c r="N40" s="19"/>
      <c r="O40" s="19"/>
      <c r="P40" s="19"/>
      <c r="Q40" s="19"/>
      <c r="R40" s="19"/>
      <c r="S40" s="19"/>
      <c r="T40" s="19"/>
      <c r="U40" s="19"/>
      <c r="V40" s="19"/>
    </row>
    <row r="41" customFormat="false" ht="12" hidden="false" customHeight="true" outlineLevel="0" collapsed="false">
      <c r="A41" s="19"/>
      <c r="B41" s="512"/>
      <c r="C41" s="19"/>
      <c r="D41" s="19"/>
      <c r="E41" s="28"/>
      <c r="F41" s="519"/>
      <c r="G41" s="513"/>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1" t="s">
        <v>615</v>
      </c>
      <c r="C42" s="390"/>
      <c r="D42" s="390"/>
      <c r="E42" s="520"/>
      <c r="F42" s="521"/>
      <c r="G42" s="522"/>
      <c r="H42" s="19"/>
      <c r="I42" s="21" t="s">
        <v>616</v>
      </c>
      <c r="J42" s="21" t="s">
        <v>617</v>
      </c>
      <c r="K42" s="19"/>
      <c r="L42" s="19"/>
      <c r="M42" s="19"/>
      <c r="N42" s="19"/>
      <c r="O42" s="19"/>
      <c r="P42" s="19"/>
      <c r="Q42" s="19"/>
      <c r="R42" s="19"/>
      <c r="S42" s="19"/>
      <c r="T42" s="19"/>
      <c r="U42" s="19"/>
      <c r="V42" s="19"/>
    </row>
    <row r="43" customFormat="false" ht="12" hidden="false" customHeight="true" outlineLevel="0" collapsed="false">
      <c r="A43" s="19"/>
      <c r="B43" s="512"/>
      <c r="C43" s="19" t="s">
        <v>618</v>
      </c>
      <c r="D43" s="19"/>
      <c r="E43" s="28"/>
      <c r="F43" s="523" t="n">
        <f aca="false">1-F39</f>
        <v>0.468408814583733</v>
      </c>
      <c r="G43" s="513"/>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2"/>
      <c r="C44" s="19" t="s">
        <v>618</v>
      </c>
      <c r="D44" s="19"/>
      <c r="E44" s="19"/>
      <c r="F44" s="524" t="n">
        <f aca="false">10*LOG10(1-F39)</f>
        <v>-3.29374940907412</v>
      </c>
      <c r="G44" s="513" t="s">
        <v>601</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2"/>
      <c r="C45" s="19" t="s">
        <v>619</v>
      </c>
      <c r="D45" s="19"/>
      <c r="E45" s="19"/>
      <c r="F45" s="525" t="n">
        <f aca="false">F40-F44</f>
        <v>6.03797169834635</v>
      </c>
      <c r="G45" s="513" t="s">
        <v>601</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6"/>
      <c r="C46" s="107"/>
      <c r="D46" s="107"/>
      <c r="E46" s="107"/>
      <c r="F46" s="107" t="s">
        <v>0</v>
      </c>
      <c r="G46" s="527"/>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620</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0" t="s">
        <v>621</v>
      </c>
      <c r="C49" s="412"/>
      <c r="D49" s="215" t="s">
        <v>597</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7" t="s">
        <v>0</v>
      </c>
      <c r="C50" s="508" t="s">
        <v>598</v>
      </c>
      <c r="D50" s="508"/>
      <c r="E50" s="509"/>
      <c r="F50" s="509"/>
      <c r="G50" s="510"/>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1" t="s">
        <v>599</v>
      </c>
      <c r="C51" s="390"/>
      <c r="D51" s="390"/>
      <c r="E51" s="390"/>
      <c r="F51" s="390"/>
      <c r="G51" s="392"/>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2"/>
      <c r="C52" s="19"/>
      <c r="D52" s="19"/>
      <c r="E52" s="28" t="s">
        <v>600</v>
      </c>
      <c r="F52" s="246" t="n">
        <v>0</v>
      </c>
      <c r="G52" s="513" t="s">
        <v>601</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2"/>
      <c r="C53" s="19"/>
      <c r="D53" s="19"/>
      <c r="E53" s="28" t="s">
        <v>603</v>
      </c>
      <c r="F53" s="514" t="n">
        <f aca="false">10^(F52/20)</f>
        <v>1</v>
      </c>
      <c r="G53" s="513" t="s">
        <v>604</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2"/>
      <c r="C54" s="19"/>
      <c r="D54" s="19"/>
      <c r="E54" s="28" t="s">
        <v>606</v>
      </c>
      <c r="F54" s="246" t="n">
        <v>30</v>
      </c>
      <c r="G54" s="513" t="s">
        <v>601</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2"/>
      <c r="C55" s="19"/>
      <c r="D55" s="19"/>
      <c r="E55" s="28" t="s">
        <v>608</v>
      </c>
      <c r="F55" s="514" t="n">
        <f aca="false">10^(F54/20)</f>
        <v>31.6227766016838</v>
      </c>
      <c r="G55" s="513" t="s">
        <v>604</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2"/>
      <c r="C56" s="19"/>
      <c r="D56" s="19"/>
      <c r="E56" s="28" t="s">
        <v>609</v>
      </c>
      <c r="F56" s="250" t="n">
        <v>90</v>
      </c>
      <c r="G56" s="513" t="s">
        <v>610</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2"/>
      <c r="C57" s="19"/>
      <c r="D57" s="19"/>
      <c r="E57" s="28" t="s">
        <v>609</v>
      </c>
      <c r="F57" s="43" t="n">
        <f aca="false">RADIANS(F56)</f>
        <v>1.570796327</v>
      </c>
      <c r="G57" s="513" t="s">
        <v>611</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2"/>
      <c r="C58" s="19"/>
      <c r="D58" s="19"/>
      <c r="E58" s="19"/>
      <c r="F58" s="98"/>
      <c r="G58" s="516"/>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2"/>
      <c r="C59" s="19"/>
      <c r="D59" s="19"/>
      <c r="E59" s="28" t="s">
        <v>612</v>
      </c>
      <c r="F59" s="517" t="n">
        <f aca="false">0.5*(1+((1-F53^2)*(1-F55^2)*COS(2*F57)+4*F53*F55)/((1+F53^2)*(1+F55^2)))</f>
        <v>0.531591185416268</v>
      </c>
      <c r="G59" s="513" t="s">
        <v>604</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2"/>
      <c r="C60" s="19"/>
      <c r="D60" s="19"/>
      <c r="E60" s="28" t="s">
        <v>613</v>
      </c>
      <c r="F60" s="518" t="n">
        <f aca="false">-10*LOG(F59)</f>
        <v>2.74422228927224</v>
      </c>
      <c r="G60" s="513" t="s">
        <v>601</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2"/>
      <c r="C61" s="19"/>
      <c r="D61" s="19"/>
      <c r="E61" s="28"/>
      <c r="F61" s="519"/>
      <c r="G61" s="513"/>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1" t="s">
        <v>615</v>
      </c>
      <c r="C62" s="390"/>
      <c r="D62" s="390"/>
      <c r="E62" s="520"/>
      <c r="F62" s="521"/>
      <c r="G62" s="522"/>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2"/>
      <c r="C63" s="19" t="s">
        <v>618</v>
      </c>
      <c r="D63" s="19"/>
      <c r="E63" s="28"/>
      <c r="F63" s="523" t="n">
        <f aca="false">1-F59</f>
        <v>0.468408814583733</v>
      </c>
      <c r="G63" s="513"/>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2"/>
      <c r="C64" s="19" t="s">
        <v>618</v>
      </c>
      <c r="D64" s="19"/>
      <c r="E64" s="19"/>
      <c r="F64" s="528" t="n">
        <f aca="false">10*LOG10(1-F59)</f>
        <v>-3.29374940907412</v>
      </c>
      <c r="G64" s="513" t="s">
        <v>601</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2"/>
      <c r="C65" s="19" t="s">
        <v>619</v>
      </c>
      <c r="D65" s="19"/>
      <c r="E65" s="19"/>
      <c r="F65" s="518" t="n">
        <f aca="false">F60-F64</f>
        <v>6.03797169834635</v>
      </c>
      <c r="G65" s="513" t="s">
        <v>601</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6"/>
      <c r="C66" s="107"/>
      <c r="D66" s="107"/>
      <c r="E66" s="107"/>
      <c r="F66" s="107" t="s">
        <v>0</v>
      </c>
      <c r="G66" s="527"/>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8"/>
      <c r="C70" s="498"/>
      <c r="D70" s="498"/>
      <c r="E70" s="498"/>
      <c r="F70" s="529" t="s">
        <v>622</v>
      </c>
      <c r="G70" s="498"/>
      <c r="H70" s="498"/>
      <c r="I70" s="498" t="s">
        <v>0</v>
      </c>
      <c r="J70" s="498"/>
      <c r="K70" s="19"/>
      <c r="L70" s="19"/>
      <c r="M70" s="19"/>
      <c r="N70" s="19"/>
      <c r="O70" s="19"/>
      <c r="P70" s="19"/>
      <c r="Q70" s="19"/>
      <c r="R70" s="19"/>
      <c r="S70" s="19"/>
      <c r="T70" s="19"/>
      <c r="U70" s="19"/>
      <c r="V70" s="19"/>
    </row>
    <row r="71" customFormat="false" ht="12" hidden="false" customHeight="true" outlineLevel="0" collapsed="false">
      <c r="A71" s="19"/>
      <c r="B71" s="112"/>
      <c r="C71" s="112"/>
      <c r="D71" s="530" t="s">
        <v>623</v>
      </c>
      <c r="E71" s="112"/>
      <c r="F71" s="530" t="s">
        <v>624</v>
      </c>
      <c r="G71" s="112"/>
      <c r="H71" s="531" t="s">
        <v>625</v>
      </c>
      <c r="I71" s="112"/>
      <c r="J71" s="208" t="s">
        <v>626</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627</v>
      </c>
      <c r="E72" s="208"/>
      <c r="F72" s="208" t="s">
        <v>628</v>
      </c>
      <c r="G72" s="208"/>
      <c r="H72" s="208" t="s">
        <v>629</v>
      </c>
      <c r="I72" s="112"/>
      <c r="J72" s="208" t="s">
        <v>630</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630</v>
      </c>
      <c r="E73" s="208"/>
      <c r="F73" s="208" t="s">
        <v>630</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2" t="s">
        <v>631</v>
      </c>
      <c r="C75" s="533"/>
      <c r="D75" s="451" t="n">
        <v>0</v>
      </c>
      <c r="E75" s="451"/>
      <c r="F75" s="451" t="n">
        <v>0</v>
      </c>
      <c r="G75" s="451"/>
      <c r="H75" s="451" t="n">
        <v>90</v>
      </c>
      <c r="I75" s="451"/>
      <c r="J75" s="534" t="n">
        <v>0</v>
      </c>
      <c r="K75" s="19"/>
      <c r="L75" s="19"/>
      <c r="M75" s="19"/>
      <c r="N75" s="19"/>
      <c r="O75" s="19"/>
      <c r="P75" s="19"/>
      <c r="Q75" s="19"/>
      <c r="R75" s="19"/>
      <c r="S75" s="19"/>
      <c r="T75" s="19"/>
      <c r="U75" s="19"/>
      <c r="V75" s="19"/>
    </row>
    <row r="76" customFormat="false" ht="12" hidden="false" customHeight="true" outlineLevel="0" collapsed="false">
      <c r="A76" s="19"/>
      <c r="B76" s="532" t="s">
        <v>632</v>
      </c>
      <c r="C76" s="533"/>
      <c r="D76" s="451" t="n">
        <v>0</v>
      </c>
      <c r="E76" s="451"/>
      <c r="F76" s="451" t="n">
        <v>1</v>
      </c>
      <c r="G76" s="451"/>
      <c r="H76" s="451" t="n">
        <v>90</v>
      </c>
      <c r="I76" s="451"/>
      <c r="J76" s="534" t="n">
        <v>-0.01</v>
      </c>
      <c r="K76" s="19"/>
      <c r="L76" s="19"/>
      <c r="M76" s="19"/>
      <c r="N76" s="19"/>
      <c r="O76" s="19"/>
      <c r="P76" s="19"/>
      <c r="Q76" s="19"/>
      <c r="R76" s="19"/>
      <c r="S76" s="19"/>
      <c r="T76" s="19"/>
      <c r="U76" s="19"/>
      <c r="V76" s="19"/>
    </row>
    <row r="77" customFormat="false" ht="12" hidden="false" customHeight="true" outlineLevel="0" collapsed="false">
      <c r="A77" s="19"/>
      <c r="B77" s="533"/>
      <c r="C77" s="533"/>
      <c r="D77" s="451" t="n">
        <v>0</v>
      </c>
      <c r="E77" s="451"/>
      <c r="F77" s="451" t="n">
        <v>2</v>
      </c>
      <c r="G77" s="451"/>
      <c r="H77" s="451" t="n">
        <v>90</v>
      </c>
      <c r="I77" s="451"/>
      <c r="J77" s="534" t="n">
        <v>-0.06</v>
      </c>
      <c r="K77" s="19"/>
      <c r="L77" s="19"/>
      <c r="M77" s="19"/>
      <c r="N77" s="19"/>
      <c r="O77" s="19"/>
      <c r="P77" s="19"/>
      <c r="Q77" s="19"/>
      <c r="R77" s="19"/>
      <c r="S77" s="19"/>
      <c r="T77" s="19"/>
      <c r="U77" s="19"/>
      <c r="V77" s="19"/>
    </row>
    <row r="78" customFormat="false" ht="12" hidden="false" customHeight="true" outlineLevel="0" collapsed="false">
      <c r="A78" s="19"/>
      <c r="B78" s="533"/>
      <c r="C78" s="533"/>
      <c r="D78" s="451" t="n">
        <v>0</v>
      </c>
      <c r="E78" s="451"/>
      <c r="F78" s="451" t="n">
        <v>3</v>
      </c>
      <c r="G78" s="451"/>
      <c r="H78" s="451" t="n">
        <v>90</v>
      </c>
      <c r="I78" s="535"/>
      <c r="J78" s="534" t="n">
        <v>-0.13</v>
      </c>
      <c r="K78" s="19"/>
      <c r="L78" s="19"/>
      <c r="M78" s="19"/>
      <c r="N78" s="19"/>
      <c r="O78" s="19"/>
      <c r="P78" s="19"/>
      <c r="Q78" s="19"/>
      <c r="R78" s="19"/>
      <c r="S78" s="19"/>
      <c r="T78" s="19"/>
      <c r="U78" s="19"/>
      <c r="V78" s="19"/>
    </row>
    <row r="79" customFormat="false" ht="12" hidden="false" customHeight="true" outlineLevel="0" collapsed="false">
      <c r="A79" s="19"/>
      <c r="B79" s="533"/>
      <c r="C79" s="533"/>
      <c r="D79" s="451" t="n">
        <v>0</v>
      </c>
      <c r="E79" s="451"/>
      <c r="F79" s="451" t="n">
        <v>6</v>
      </c>
      <c r="G79" s="451"/>
      <c r="H79" s="451" t="n">
        <v>90</v>
      </c>
      <c r="I79" s="535"/>
      <c r="J79" s="534" t="n">
        <v>-0.45</v>
      </c>
      <c r="K79" s="19"/>
      <c r="L79" s="19"/>
      <c r="M79" s="19"/>
      <c r="N79" s="19"/>
      <c r="O79" s="19"/>
      <c r="P79" s="19"/>
      <c r="Q79" s="19"/>
      <c r="R79" s="19"/>
      <c r="S79" s="19"/>
      <c r="T79" s="19"/>
      <c r="U79" s="19"/>
      <c r="V79" s="19"/>
    </row>
    <row r="80" customFormat="false" ht="12" hidden="false" customHeight="true" outlineLevel="0" collapsed="false">
      <c r="A80" s="19"/>
      <c r="B80" s="533"/>
      <c r="C80" s="533"/>
      <c r="D80" s="451" t="n">
        <v>0</v>
      </c>
      <c r="E80" s="451"/>
      <c r="F80" s="451" t="n">
        <v>10</v>
      </c>
      <c r="G80" s="451"/>
      <c r="H80" s="451" t="n">
        <v>90</v>
      </c>
      <c r="I80" s="451"/>
      <c r="J80" s="534" t="n">
        <v>-1.04</v>
      </c>
      <c r="K80" s="19"/>
      <c r="L80" s="19"/>
      <c r="M80" s="19"/>
      <c r="N80" s="19"/>
      <c r="O80" s="19"/>
      <c r="P80" s="19"/>
      <c r="Q80" s="19"/>
      <c r="R80" s="19"/>
      <c r="S80" s="19"/>
      <c r="T80" s="19"/>
      <c r="U80" s="19"/>
      <c r="V80" s="19"/>
    </row>
    <row r="81" customFormat="false" ht="12" hidden="false" customHeight="true" outlineLevel="0" collapsed="false">
      <c r="A81" s="19"/>
      <c r="B81" s="533"/>
      <c r="C81" s="533"/>
      <c r="D81" s="451" t="n">
        <v>0</v>
      </c>
      <c r="E81" s="451"/>
      <c r="F81" s="451" t="n">
        <v>30</v>
      </c>
      <c r="G81" s="451"/>
      <c r="H81" s="451" t="n">
        <v>90</v>
      </c>
      <c r="I81" s="451"/>
      <c r="J81" s="534" t="n">
        <v>-2.74</v>
      </c>
      <c r="K81" s="19"/>
      <c r="L81" s="536" t="s">
        <v>633</v>
      </c>
      <c r="M81" s="537"/>
      <c r="N81" s="537"/>
      <c r="O81" s="538"/>
      <c r="P81" s="19"/>
      <c r="Q81" s="19"/>
      <c r="R81" s="19"/>
      <c r="S81" s="19"/>
      <c r="T81" s="19"/>
      <c r="U81" s="19"/>
      <c r="V81" s="19"/>
    </row>
    <row r="82" customFormat="false" ht="12" hidden="false" customHeight="true" outlineLevel="0" collapsed="false">
      <c r="A82" s="19"/>
      <c r="B82" s="533"/>
      <c r="C82" s="533"/>
      <c r="D82" s="451" t="n">
        <v>0</v>
      </c>
      <c r="E82" s="451"/>
      <c r="F82" s="451" t="n">
        <v>30</v>
      </c>
      <c r="G82" s="451"/>
      <c r="H82" s="451" t="n">
        <v>0</v>
      </c>
      <c r="I82" s="451"/>
      <c r="J82" s="534" t="n">
        <v>-2.74</v>
      </c>
      <c r="K82" s="19"/>
      <c r="L82" s="539" t="s">
        <v>634</v>
      </c>
      <c r="M82" s="478"/>
      <c r="N82" s="478"/>
      <c r="O82" s="479"/>
      <c r="P82" s="19"/>
      <c r="Q82" s="19"/>
      <c r="R82" s="19"/>
      <c r="S82" s="19"/>
      <c r="T82" s="19"/>
      <c r="U82" s="19"/>
      <c r="V82" s="19"/>
    </row>
    <row r="83" customFormat="false" ht="12" hidden="false" customHeight="true" outlineLevel="0" collapsed="false">
      <c r="A83" s="19"/>
      <c r="B83" s="533"/>
      <c r="C83" s="533"/>
      <c r="D83" s="451"/>
      <c r="E83" s="451"/>
      <c r="F83" s="451"/>
      <c r="G83" s="451"/>
      <c r="H83" s="451"/>
      <c r="I83" s="451"/>
      <c r="J83" s="451"/>
      <c r="K83" s="19"/>
      <c r="L83" s="19"/>
      <c r="M83" s="19"/>
      <c r="N83" s="19"/>
      <c r="O83" s="19"/>
      <c r="P83" s="19"/>
      <c r="Q83" s="19"/>
      <c r="R83" s="19"/>
      <c r="S83" s="19"/>
      <c r="T83" s="19"/>
      <c r="U83" s="19"/>
      <c r="V83" s="19"/>
    </row>
    <row r="84" customFormat="false" ht="12" hidden="false" customHeight="true" outlineLevel="0" collapsed="false">
      <c r="A84" s="19"/>
      <c r="B84" s="533"/>
      <c r="C84" s="533"/>
      <c r="D84" s="451"/>
      <c r="E84" s="451"/>
      <c r="F84" s="451"/>
      <c r="G84" s="451"/>
      <c r="H84" s="451"/>
      <c r="I84" s="451" t="s">
        <v>0</v>
      </c>
      <c r="J84" s="451"/>
      <c r="K84" s="19"/>
      <c r="L84" s="19"/>
      <c r="M84" s="19"/>
      <c r="N84" s="19"/>
      <c r="O84" s="19"/>
      <c r="P84" s="19"/>
      <c r="Q84" s="19"/>
      <c r="R84" s="19"/>
      <c r="S84" s="19"/>
      <c r="T84" s="19"/>
      <c r="U84" s="19"/>
      <c r="V84" s="19"/>
    </row>
    <row r="85" customFormat="false" ht="12" hidden="false" customHeight="true" outlineLevel="0" collapsed="false">
      <c r="A85" s="19"/>
      <c r="B85" s="532" t="s">
        <v>635</v>
      </c>
      <c r="C85" s="533"/>
      <c r="D85" s="451" t="n">
        <v>3</v>
      </c>
      <c r="E85" s="451"/>
      <c r="F85" s="451" t="n">
        <v>3</v>
      </c>
      <c r="G85" s="451"/>
      <c r="H85" s="451" t="n">
        <v>0</v>
      </c>
      <c r="I85" s="451"/>
      <c r="J85" s="534" t="n">
        <v>0</v>
      </c>
      <c r="K85" s="19"/>
      <c r="L85" s="19"/>
      <c r="M85" s="19"/>
      <c r="N85" s="19"/>
      <c r="O85" s="19"/>
      <c r="P85" s="19"/>
      <c r="Q85" s="19"/>
      <c r="R85" s="19"/>
      <c r="S85" s="19"/>
      <c r="T85" s="19"/>
      <c r="U85" s="19"/>
      <c r="V85" s="19"/>
    </row>
    <row r="86" customFormat="false" ht="12" hidden="false" customHeight="true" outlineLevel="0" collapsed="false">
      <c r="A86" s="19"/>
      <c r="B86" s="533"/>
      <c r="C86" s="533"/>
      <c r="D86" s="451" t="n">
        <v>3</v>
      </c>
      <c r="E86" s="451"/>
      <c r="F86" s="451" t="n">
        <v>3</v>
      </c>
      <c r="G86" s="451"/>
      <c r="H86" s="451" t="n">
        <v>45</v>
      </c>
      <c r="I86" s="451"/>
      <c r="J86" s="534" t="n">
        <v>-0.25</v>
      </c>
      <c r="K86" s="19"/>
      <c r="L86" s="540" t="s">
        <v>636</v>
      </c>
      <c r="M86" s="227"/>
      <c r="N86" s="227"/>
      <c r="O86" s="228"/>
      <c r="P86" s="19"/>
      <c r="Q86" s="19"/>
      <c r="R86" s="19"/>
      <c r="S86" s="19"/>
      <c r="T86" s="19"/>
      <c r="U86" s="19"/>
      <c r="V86" s="19"/>
    </row>
    <row r="87" customFormat="false" ht="12" hidden="false" customHeight="true" outlineLevel="0" collapsed="false">
      <c r="A87" s="19"/>
      <c r="B87" s="533"/>
      <c r="C87" s="533"/>
      <c r="D87" s="451" t="n">
        <v>3</v>
      </c>
      <c r="E87" s="451"/>
      <c r="F87" s="451" t="n">
        <v>3</v>
      </c>
      <c r="G87" s="451"/>
      <c r="H87" s="451" t="n">
        <v>90</v>
      </c>
      <c r="I87" s="451"/>
      <c r="J87" s="534" t="n">
        <v>-0.51</v>
      </c>
      <c r="K87" s="19"/>
      <c r="L87" s="19"/>
      <c r="M87" s="19"/>
      <c r="N87" s="19"/>
      <c r="O87" s="19"/>
      <c r="P87" s="19"/>
      <c r="Q87" s="19"/>
      <c r="R87" s="19"/>
      <c r="S87" s="19"/>
      <c r="T87" s="19"/>
      <c r="U87" s="19"/>
      <c r="V87" s="19"/>
    </row>
    <row r="88" customFormat="false" ht="12" hidden="false" customHeight="true" outlineLevel="0" collapsed="false">
      <c r="A88" s="19"/>
      <c r="B88" s="533"/>
      <c r="C88" s="533"/>
      <c r="D88" s="541"/>
      <c r="E88" s="541"/>
      <c r="F88" s="541"/>
      <c r="G88" s="541"/>
      <c r="H88" s="541"/>
      <c r="I88" s="541"/>
      <c r="J88" s="541"/>
      <c r="K88" s="19"/>
      <c r="L88" s="19"/>
      <c r="M88" s="19"/>
      <c r="N88" s="19"/>
      <c r="O88" s="19"/>
      <c r="P88" s="19"/>
      <c r="Q88" s="19"/>
      <c r="R88" s="19"/>
      <c r="S88" s="19"/>
      <c r="T88" s="19"/>
      <c r="U88" s="19"/>
      <c r="V88" s="19"/>
    </row>
    <row r="89" customFormat="false" ht="12" hidden="false" customHeight="true" outlineLevel="0" collapsed="false">
      <c r="A89" s="19"/>
      <c r="B89" s="533"/>
      <c r="C89" s="533"/>
      <c r="D89" s="541"/>
      <c r="E89" s="541"/>
      <c r="F89" s="541"/>
      <c r="G89" s="541"/>
      <c r="H89" s="541"/>
      <c r="I89" s="541"/>
      <c r="J89" s="541"/>
      <c r="K89" s="19"/>
      <c r="L89" s="19"/>
      <c r="M89" s="19"/>
      <c r="N89" s="19"/>
      <c r="O89" s="19"/>
      <c r="P89" s="19"/>
      <c r="Q89" s="19"/>
      <c r="R89" s="19"/>
      <c r="S89" s="19"/>
      <c r="T89" s="19"/>
      <c r="U89" s="19"/>
      <c r="V89" s="19"/>
    </row>
    <row r="90" customFormat="false" ht="12" hidden="false" customHeight="true" outlineLevel="0" collapsed="false">
      <c r="A90" s="19"/>
      <c r="B90" s="533" t="s">
        <v>637</v>
      </c>
      <c r="C90" s="533"/>
      <c r="D90" s="451" t="n">
        <v>30</v>
      </c>
      <c r="E90" s="451"/>
      <c r="F90" s="451" t="n">
        <v>30</v>
      </c>
      <c r="G90" s="451"/>
      <c r="H90" s="451" t="n">
        <v>0</v>
      </c>
      <c r="I90" s="451"/>
      <c r="J90" s="534" t="n">
        <v>0</v>
      </c>
      <c r="K90" s="19"/>
      <c r="L90" s="19"/>
      <c r="M90" s="19"/>
      <c r="N90" s="19"/>
      <c r="O90" s="19"/>
      <c r="P90" s="19"/>
      <c r="Q90" s="19"/>
      <c r="R90" s="19"/>
      <c r="S90" s="19"/>
      <c r="T90" s="19"/>
      <c r="U90" s="19"/>
      <c r="V90" s="19"/>
    </row>
    <row r="91" customFormat="false" ht="12" hidden="false" customHeight="true" outlineLevel="0" collapsed="false">
      <c r="A91" s="19"/>
      <c r="B91" s="533"/>
      <c r="C91" s="533"/>
      <c r="D91" s="451" t="n">
        <v>30</v>
      </c>
      <c r="E91" s="451"/>
      <c r="F91" s="451" t="n">
        <v>30</v>
      </c>
      <c r="G91" s="451"/>
      <c r="H91" s="451" t="n">
        <v>30</v>
      </c>
      <c r="I91" s="451"/>
      <c r="J91" s="534" t="n">
        <v>-1.24</v>
      </c>
      <c r="K91" s="19"/>
      <c r="L91" s="19"/>
      <c r="M91" s="19"/>
      <c r="N91" s="19"/>
      <c r="O91" s="19"/>
      <c r="P91" s="19"/>
      <c r="Q91" s="19"/>
      <c r="R91" s="19"/>
      <c r="S91" s="19"/>
      <c r="T91" s="19"/>
      <c r="U91" s="19"/>
      <c r="V91" s="19"/>
    </row>
    <row r="92" customFormat="false" ht="12" hidden="false" customHeight="true" outlineLevel="0" collapsed="false">
      <c r="A92" s="19"/>
      <c r="B92" s="533"/>
      <c r="C92" s="533"/>
      <c r="D92" s="451" t="n">
        <v>30</v>
      </c>
      <c r="E92" s="451"/>
      <c r="F92" s="451" t="n">
        <v>30</v>
      </c>
      <c r="G92" s="451"/>
      <c r="H92" s="451" t="n">
        <v>45</v>
      </c>
      <c r="I92" s="451"/>
      <c r="J92" s="534" t="n">
        <v>-2.99</v>
      </c>
      <c r="K92" s="19"/>
      <c r="L92" s="19"/>
      <c r="M92" s="19"/>
      <c r="N92" s="19"/>
      <c r="O92" s="19"/>
      <c r="P92" s="19"/>
      <c r="Q92" s="19"/>
      <c r="R92" s="19"/>
      <c r="S92" s="19"/>
      <c r="T92" s="19"/>
      <c r="U92" s="19"/>
      <c r="V92" s="19"/>
    </row>
    <row r="93" customFormat="false" ht="12" hidden="false" customHeight="true" outlineLevel="0" collapsed="false">
      <c r="A93" s="19"/>
      <c r="B93" s="533"/>
      <c r="C93" s="533"/>
      <c r="D93" s="451" t="n">
        <v>30</v>
      </c>
      <c r="E93" s="451"/>
      <c r="F93" s="451" t="n">
        <v>30</v>
      </c>
      <c r="G93" s="451"/>
      <c r="H93" s="451" t="n">
        <v>60</v>
      </c>
      <c r="I93" s="451"/>
      <c r="J93" s="534" t="n">
        <v>-5.97</v>
      </c>
      <c r="K93" s="19"/>
      <c r="L93" s="19"/>
      <c r="M93" s="19"/>
      <c r="N93" s="19"/>
      <c r="O93" s="19"/>
      <c r="P93" s="19"/>
      <c r="Q93" s="19"/>
      <c r="R93" s="19"/>
      <c r="S93" s="19"/>
      <c r="T93" s="19"/>
      <c r="U93" s="19"/>
      <c r="V93" s="19"/>
    </row>
    <row r="94" customFormat="false" ht="12" hidden="false" customHeight="true" outlineLevel="0" collapsed="false">
      <c r="A94" s="19"/>
      <c r="B94" s="533"/>
      <c r="C94" s="533"/>
      <c r="D94" s="451" t="n">
        <v>30</v>
      </c>
      <c r="E94" s="451"/>
      <c r="F94" s="451" t="n">
        <v>30</v>
      </c>
      <c r="G94" s="451"/>
      <c r="H94" s="451" t="n">
        <v>90</v>
      </c>
      <c r="I94" s="451"/>
      <c r="J94" s="534" t="n">
        <v>-23.99</v>
      </c>
      <c r="K94" s="19"/>
      <c r="L94" s="19"/>
      <c r="M94" s="19"/>
      <c r="N94" s="19"/>
      <c r="O94" s="19"/>
      <c r="P94" s="19"/>
      <c r="Q94" s="19"/>
      <c r="R94" s="19"/>
      <c r="S94" s="19"/>
      <c r="T94" s="19"/>
      <c r="U94" s="19"/>
      <c r="V94" s="19"/>
    </row>
    <row r="95" customFormat="false" ht="12" hidden="false" customHeight="true" outlineLevel="0" collapsed="false">
      <c r="A95" s="19"/>
      <c r="B95" s="533"/>
      <c r="C95" s="533"/>
      <c r="D95" s="451"/>
      <c r="E95" s="451"/>
      <c r="F95" s="451"/>
      <c r="G95" s="451"/>
      <c r="H95" s="451"/>
      <c r="I95" s="451"/>
      <c r="J95" s="451"/>
      <c r="K95" s="19"/>
      <c r="L95" s="19"/>
      <c r="M95" s="19"/>
      <c r="N95" s="19"/>
      <c r="O95" s="19"/>
      <c r="P95" s="19"/>
      <c r="Q95" s="19"/>
      <c r="R95" s="19"/>
      <c r="S95" s="19"/>
      <c r="T95" s="19"/>
      <c r="U95" s="19"/>
      <c r="V95" s="19"/>
    </row>
    <row r="96" customFormat="false" ht="12" hidden="false" customHeight="true" outlineLevel="0" collapsed="false">
      <c r="A96" s="19"/>
      <c r="B96" s="532" t="s">
        <v>638</v>
      </c>
      <c r="C96" s="532"/>
      <c r="D96" s="451" t="n">
        <v>2</v>
      </c>
      <c r="E96" s="451"/>
      <c r="F96" s="451" t="n">
        <v>30</v>
      </c>
      <c r="G96" s="451"/>
      <c r="H96" s="451" t="n">
        <v>0</v>
      </c>
      <c r="I96" s="451"/>
      <c r="J96" s="534" t="n">
        <v>-1.91</v>
      </c>
      <c r="K96" s="19"/>
      <c r="L96" s="19" t="s">
        <v>0</v>
      </c>
      <c r="M96" s="19"/>
      <c r="N96" s="19"/>
      <c r="O96" s="19"/>
      <c r="P96" s="19"/>
      <c r="Q96" s="19"/>
      <c r="R96" s="19"/>
      <c r="S96" s="19"/>
      <c r="T96" s="19"/>
      <c r="U96" s="19"/>
      <c r="V96" s="19"/>
    </row>
    <row r="97" customFormat="false" ht="12" hidden="false" customHeight="true" outlineLevel="0" collapsed="false">
      <c r="A97" s="19"/>
      <c r="B97" s="532" t="s">
        <v>639</v>
      </c>
      <c r="C97" s="532"/>
      <c r="D97" s="451" t="n">
        <v>2</v>
      </c>
      <c r="E97" s="451"/>
      <c r="F97" s="451" t="n">
        <v>30</v>
      </c>
      <c r="G97" s="451"/>
      <c r="H97" s="451" t="n">
        <v>45</v>
      </c>
      <c r="I97" s="451"/>
      <c r="J97" s="534" t="n">
        <v>-2.75</v>
      </c>
      <c r="K97" s="19"/>
      <c r="L97" s="540" t="s">
        <v>640</v>
      </c>
      <c r="M97" s="227"/>
      <c r="N97" s="227"/>
      <c r="O97" s="227"/>
      <c r="P97" s="228"/>
      <c r="Q97" s="19"/>
      <c r="R97" s="19"/>
      <c r="S97" s="19"/>
      <c r="T97" s="19"/>
      <c r="U97" s="19"/>
      <c r="V97" s="19"/>
    </row>
    <row r="98" customFormat="false" ht="12" hidden="false" customHeight="true" outlineLevel="0" collapsed="false">
      <c r="A98" s="19"/>
      <c r="B98" s="532"/>
      <c r="C98" s="532"/>
      <c r="D98" s="451" t="n">
        <v>2</v>
      </c>
      <c r="E98" s="451"/>
      <c r="F98" s="451" t="n">
        <v>30</v>
      </c>
      <c r="G98" s="451"/>
      <c r="H98" s="451" t="n">
        <v>90</v>
      </c>
      <c r="I98" s="451"/>
      <c r="J98" s="534" t="n">
        <v>-3.79</v>
      </c>
      <c r="K98" s="19"/>
      <c r="L98" s="19"/>
      <c r="M98" s="19"/>
      <c r="N98" s="19"/>
      <c r="O98" s="19"/>
      <c r="P98" s="19"/>
      <c r="Q98" s="19"/>
      <c r="R98" s="19"/>
      <c r="S98" s="19"/>
      <c r="T98" s="19"/>
      <c r="U98" s="19"/>
      <c r="V98" s="19"/>
    </row>
    <row r="99" customFormat="false" ht="12" hidden="false" customHeight="true" outlineLevel="0" collapsed="false">
      <c r="A99" s="19"/>
      <c r="B99" s="390"/>
      <c r="C99" s="390"/>
      <c r="D99" s="425"/>
      <c r="E99" s="425"/>
      <c r="F99" s="425"/>
      <c r="G99" s="425"/>
      <c r="H99" s="425"/>
      <c r="I99" s="425"/>
      <c r="J99" s="425"/>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2"/>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2"/>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641</v>
      </c>
      <c r="B1" s="10"/>
      <c r="C1" s="10"/>
      <c r="D1" s="10"/>
      <c r="E1" s="10"/>
      <c r="F1" s="10"/>
      <c r="G1" s="10"/>
      <c r="H1" s="327" t="str">
        <f aca="false">'Title Page'!F3</f>
        <v>Coconut Cubesat</v>
      </c>
      <c r="I1" s="10"/>
      <c r="J1" s="10"/>
      <c r="K1" s="10"/>
      <c r="L1" s="10"/>
      <c r="M1" s="41" t="str">
        <f aca="false">'Title Page'!F23</f>
        <v>2025 June 08</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3" t="s">
        <v>642</v>
      </c>
      <c r="C3" s="544"/>
      <c r="D3" s="544"/>
      <c r="E3" s="545"/>
      <c r="F3" s="42"/>
      <c r="G3" s="42"/>
      <c r="H3" s="432" t="s">
        <v>643</v>
      </c>
      <c r="I3" s="432"/>
      <c r="J3" s="432"/>
      <c r="K3" s="432"/>
      <c r="L3" s="432"/>
      <c r="M3" s="432"/>
      <c r="N3" s="432"/>
      <c r="O3" s="432"/>
      <c r="P3" s="42"/>
      <c r="Q3" s="42"/>
    </row>
    <row r="4" customFormat="false" ht="12" hidden="false" customHeight="true" outlineLevel="0" collapsed="false">
      <c r="A4" s="42"/>
      <c r="B4" s="546" t="s">
        <v>644</v>
      </c>
      <c r="C4" s="547"/>
      <c r="D4" s="19"/>
      <c r="E4" s="413"/>
      <c r="F4" s="42"/>
      <c r="G4" s="42"/>
      <c r="H4" s="42"/>
      <c r="I4" s="42"/>
      <c r="J4" s="42"/>
      <c r="K4" s="42"/>
      <c r="L4" s="42"/>
      <c r="M4" s="42"/>
      <c r="N4" s="42"/>
      <c r="O4" s="42"/>
      <c r="P4" s="42"/>
      <c r="Q4" s="42"/>
    </row>
    <row r="5" customFormat="false" ht="12" hidden="false" customHeight="true" outlineLevel="0" collapsed="false">
      <c r="A5" s="42"/>
      <c r="B5" s="548" t="s">
        <v>244</v>
      </c>
      <c r="C5" s="549"/>
      <c r="D5" s="550" t="s">
        <v>645</v>
      </c>
      <c r="E5" s="551" t="s">
        <v>208</v>
      </c>
      <c r="F5" s="42"/>
      <c r="G5" s="42"/>
      <c r="H5" s="42"/>
      <c r="I5" s="42"/>
      <c r="J5" s="42"/>
      <c r="K5" s="42"/>
      <c r="L5" s="42"/>
      <c r="M5" s="42"/>
      <c r="N5" s="42"/>
      <c r="O5" s="42"/>
      <c r="P5" s="42"/>
      <c r="Q5" s="42"/>
    </row>
    <row r="6" customFormat="false" ht="12" hidden="false" customHeight="true" outlineLevel="0" collapsed="false">
      <c r="A6" s="42"/>
      <c r="B6" s="552" t="n">
        <v>0</v>
      </c>
      <c r="C6" s="19" t="s">
        <v>215</v>
      </c>
      <c r="D6" s="98" t="n">
        <v>10.2</v>
      </c>
      <c r="E6" s="413" t="s">
        <v>258</v>
      </c>
      <c r="F6" s="42"/>
      <c r="G6" s="42" t="s">
        <v>646</v>
      </c>
      <c r="H6" s="42"/>
      <c r="I6" s="42"/>
      <c r="J6" s="42"/>
      <c r="K6" s="42"/>
      <c r="L6" s="42"/>
      <c r="M6" s="42"/>
      <c r="N6" s="42"/>
      <c r="O6" s="42"/>
      <c r="P6" s="42"/>
      <c r="Q6" s="42"/>
    </row>
    <row r="7" customFormat="false" ht="12" hidden="false" customHeight="true" outlineLevel="0" collapsed="false">
      <c r="A7" s="42"/>
      <c r="B7" s="552"/>
      <c r="C7" s="19"/>
      <c r="D7" s="98"/>
      <c r="E7" s="413"/>
      <c r="F7" s="42"/>
      <c r="G7" s="42" t="s">
        <v>647</v>
      </c>
      <c r="H7" s="42"/>
      <c r="I7" s="42"/>
      <c r="J7" s="42"/>
      <c r="K7" s="42"/>
      <c r="L7" s="42"/>
      <c r="M7" s="42"/>
      <c r="N7" s="42"/>
      <c r="O7" s="42"/>
      <c r="P7" s="42"/>
      <c r="Q7" s="42"/>
    </row>
    <row r="8" customFormat="false" ht="12" hidden="false" customHeight="true" outlineLevel="0" collapsed="false">
      <c r="A8" s="42"/>
      <c r="B8" s="552" t="n">
        <v>2.5</v>
      </c>
      <c r="C8" s="19" t="s">
        <v>215</v>
      </c>
      <c r="D8" s="98" t="n">
        <v>4.6</v>
      </c>
      <c r="E8" s="413" t="s">
        <v>258</v>
      </c>
      <c r="F8" s="42"/>
      <c r="G8" s="42" t="s">
        <v>648</v>
      </c>
      <c r="H8" s="42"/>
      <c r="I8" s="42"/>
      <c r="J8" s="42"/>
      <c r="K8" s="42"/>
      <c r="L8" s="42"/>
      <c r="M8" s="42"/>
      <c r="N8" s="42"/>
      <c r="O8" s="42"/>
      <c r="P8" s="42"/>
      <c r="Q8" s="42"/>
    </row>
    <row r="9" customFormat="false" ht="12" hidden="false" customHeight="true" outlineLevel="0" collapsed="false">
      <c r="A9" s="42"/>
      <c r="B9" s="552"/>
      <c r="C9" s="19"/>
      <c r="D9" s="98"/>
      <c r="E9" s="413"/>
      <c r="F9" s="42"/>
      <c r="G9" s="42" t="s">
        <v>649</v>
      </c>
      <c r="H9" s="42"/>
      <c r="I9" s="42"/>
      <c r="J9" s="42"/>
      <c r="K9" s="42"/>
      <c r="L9" s="42"/>
      <c r="M9" s="42"/>
      <c r="N9" s="42"/>
      <c r="O9" s="42"/>
      <c r="P9" s="42"/>
      <c r="Q9" s="42"/>
    </row>
    <row r="10" customFormat="false" ht="12" hidden="false" customHeight="true" outlineLevel="0" collapsed="false">
      <c r="A10" s="42"/>
      <c r="B10" s="552" t="n">
        <v>5</v>
      </c>
      <c r="C10" s="19" t="s">
        <v>215</v>
      </c>
      <c r="D10" s="98" t="n">
        <v>2.1</v>
      </c>
      <c r="E10" s="413" t="s">
        <v>258</v>
      </c>
      <c r="F10" s="42"/>
      <c r="G10" s="42" t="s">
        <v>650</v>
      </c>
      <c r="H10" s="42"/>
      <c r="I10" s="42"/>
      <c r="J10" s="42"/>
      <c r="K10" s="42"/>
      <c r="L10" s="42"/>
      <c r="M10" s="42"/>
      <c r="N10" s="42"/>
      <c r="O10" s="42"/>
      <c r="P10" s="42"/>
      <c r="Q10" s="42"/>
    </row>
    <row r="11" customFormat="false" ht="12" hidden="false" customHeight="true" outlineLevel="0" collapsed="false">
      <c r="A11" s="42"/>
      <c r="B11" s="552"/>
      <c r="C11" s="19"/>
      <c r="D11" s="98"/>
      <c r="E11" s="413"/>
      <c r="F11" s="42"/>
      <c r="G11" s="42"/>
      <c r="H11" s="42"/>
      <c r="I11" s="42"/>
      <c r="J11" s="42"/>
      <c r="K11" s="42"/>
      <c r="L11" s="42"/>
      <c r="M11" s="42"/>
      <c r="N11" s="42"/>
      <c r="O11" s="42"/>
      <c r="P11" s="42"/>
      <c r="Q11" s="42"/>
    </row>
    <row r="12" customFormat="false" ht="12" hidden="false" customHeight="true" outlineLevel="0" collapsed="false">
      <c r="A12" s="42"/>
      <c r="B12" s="552" t="n">
        <v>10</v>
      </c>
      <c r="C12" s="19" t="s">
        <v>215</v>
      </c>
      <c r="D12" s="98" t="n">
        <v>1.1</v>
      </c>
      <c r="E12" s="413" t="s">
        <v>258</v>
      </c>
      <c r="F12" s="42"/>
      <c r="G12" s="42" t="s">
        <v>651</v>
      </c>
      <c r="H12" s="42"/>
      <c r="I12" s="42"/>
      <c r="J12" s="42"/>
      <c r="K12" s="42"/>
      <c r="L12" s="42"/>
      <c r="M12" s="42"/>
      <c r="N12" s="42"/>
      <c r="O12" s="42"/>
      <c r="P12" s="42"/>
      <c r="Q12" s="42"/>
    </row>
    <row r="13" customFormat="false" ht="12" hidden="false" customHeight="true" outlineLevel="0" collapsed="false">
      <c r="A13" s="42"/>
      <c r="B13" s="552"/>
      <c r="C13" s="19"/>
      <c r="D13" s="98"/>
      <c r="E13" s="413"/>
      <c r="F13" s="42"/>
      <c r="G13" s="42" t="s">
        <v>652</v>
      </c>
      <c r="H13" s="42"/>
      <c r="I13" s="42"/>
      <c r="J13" s="42"/>
      <c r="K13" s="42"/>
      <c r="L13" s="42"/>
      <c r="M13" s="42"/>
      <c r="N13" s="42"/>
      <c r="O13" s="42"/>
      <c r="P13" s="42"/>
      <c r="Q13" s="42"/>
    </row>
    <row r="14" customFormat="false" ht="12" hidden="false" customHeight="true" outlineLevel="0" collapsed="false">
      <c r="A14" s="42"/>
      <c r="B14" s="552" t="n">
        <v>30</v>
      </c>
      <c r="C14" s="19" t="s">
        <v>215</v>
      </c>
      <c r="D14" s="98" t="n">
        <v>0.4</v>
      </c>
      <c r="E14" s="413" t="s">
        <v>258</v>
      </c>
      <c r="F14" s="42"/>
      <c r="G14" s="42" t="s">
        <v>653</v>
      </c>
      <c r="H14" s="42"/>
      <c r="I14" s="42"/>
      <c r="J14" s="42"/>
      <c r="K14" s="42"/>
      <c r="L14" s="42"/>
      <c r="M14" s="42"/>
      <c r="N14" s="42"/>
      <c r="O14" s="42"/>
      <c r="P14" s="42"/>
      <c r="Q14" s="42"/>
    </row>
    <row r="15" customFormat="false" ht="12" hidden="false" customHeight="true" outlineLevel="0" collapsed="false">
      <c r="A15" s="42"/>
      <c r="B15" s="552"/>
      <c r="C15" s="19"/>
      <c r="D15" s="98"/>
      <c r="E15" s="413"/>
      <c r="F15" s="42"/>
      <c r="G15" s="42"/>
      <c r="H15" s="42"/>
      <c r="I15" s="42"/>
      <c r="J15" s="42"/>
      <c r="K15" s="42"/>
      <c r="L15" s="42"/>
      <c r="M15" s="42"/>
      <c r="N15" s="42"/>
      <c r="O15" s="42"/>
      <c r="P15" s="42"/>
      <c r="Q15" s="42"/>
    </row>
    <row r="16" customFormat="false" ht="12" hidden="false" customHeight="true" outlineLevel="0" collapsed="false">
      <c r="A16" s="42"/>
      <c r="B16" s="552" t="n">
        <v>45</v>
      </c>
      <c r="C16" s="19" t="s">
        <v>215</v>
      </c>
      <c r="D16" s="98" t="n">
        <v>0.3</v>
      </c>
      <c r="E16" s="413" t="s">
        <v>258</v>
      </c>
      <c r="F16" s="42"/>
      <c r="G16" s="42" t="s">
        <v>654</v>
      </c>
      <c r="H16" s="42"/>
      <c r="I16" s="42"/>
      <c r="J16" s="42"/>
      <c r="K16" s="42"/>
      <c r="L16" s="42"/>
      <c r="M16" s="42"/>
      <c r="N16" s="42"/>
      <c r="O16" s="42"/>
      <c r="P16" s="42"/>
      <c r="Q16" s="42"/>
    </row>
    <row r="17" customFormat="false" ht="12" hidden="false" customHeight="true" outlineLevel="0" collapsed="false">
      <c r="A17" s="42"/>
      <c r="B17" s="552"/>
      <c r="C17" s="19"/>
      <c r="D17" s="98"/>
      <c r="E17" s="413"/>
      <c r="F17" s="42"/>
      <c r="G17" s="42" t="s">
        <v>655</v>
      </c>
      <c r="H17" s="42"/>
      <c r="I17" s="42"/>
      <c r="J17" s="42"/>
      <c r="K17" s="42"/>
      <c r="L17" s="42"/>
      <c r="M17" s="42"/>
      <c r="N17" s="42"/>
      <c r="O17" s="42"/>
      <c r="P17" s="42"/>
      <c r="Q17" s="42"/>
    </row>
    <row r="18" customFormat="false" ht="12" hidden="false" customHeight="true" outlineLevel="0" collapsed="false">
      <c r="A18" s="42"/>
      <c r="B18" s="552" t="n">
        <v>90</v>
      </c>
      <c r="C18" s="19" t="s">
        <v>215</v>
      </c>
      <c r="D18" s="213" t="n">
        <v>0</v>
      </c>
      <c r="E18" s="413" t="s">
        <v>258</v>
      </c>
      <c r="F18" s="42"/>
      <c r="G18" s="42"/>
      <c r="H18" s="42"/>
      <c r="I18" s="42"/>
      <c r="J18" s="42"/>
      <c r="K18" s="42"/>
      <c r="L18" s="42"/>
      <c r="M18" s="42"/>
      <c r="N18" s="42"/>
      <c r="O18" s="42"/>
      <c r="P18" s="42"/>
      <c r="Q18" s="42"/>
    </row>
    <row r="19" customFormat="false" ht="12" hidden="false" customHeight="true" outlineLevel="0" collapsed="false">
      <c r="A19" s="42"/>
      <c r="B19" s="552"/>
      <c r="C19" s="19"/>
      <c r="D19" s="19"/>
      <c r="E19" s="413"/>
      <c r="F19" s="42"/>
      <c r="G19" s="42" t="s">
        <v>656</v>
      </c>
      <c r="H19" s="42"/>
      <c r="I19" s="42"/>
      <c r="J19" s="42"/>
      <c r="K19" s="42"/>
      <c r="L19" s="42"/>
      <c r="M19" s="42"/>
      <c r="N19" s="42"/>
      <c r="O19" s="42"/>
      <c r="P19" s="42"/>
      <c r="Q19" s="42"/>
    </row>
    <row r="20" customFormat="false" ht="12.75" hidden="false" customHeight="true" outlineLevel="0" collapsed="false">
      <c r="A20" s="42"/>
      <c r="B20" s="552"/>
      <c r="C20" s="19"/>
      <c r="D20" s="19"/>
      <c r="E20" s="413"/>
      <c r="F20" s="42"/>
      <c r="G20" s="42" t="s">
        <v>657</v>
      </c>
      <c r="H20" s="42"/>
      <c r="I20" s="42"/>
      <c r="J20" s="42"/>
      <c r="K20" s="42"/>
      <c r="L20" s="42"/>
      <c r="M20" s="42"/>
      <c r="N20" s="42"/>
      <c r="O20" s="42"/>
      <c r="P20" s="42"/>
      <c r="Q20" s="42"/>
    </row>
    <row r="21" customFormat="false" ht="12.75" hidden="false" customHeight="true" outlineLevel="0" collapsed="false">
      <c r="A21" s="42"/>
      <c r="B21" s="552" t="s">
        <v>658</v>
      </c>
      <c r="C21" s="19"/>
      <c r="D21" s="553" t="n">
        <v>10</v>
      </c>
      <c r="E21" s="19" t="s">
        <v>252</v>
      </c>
      <c r="F21" s="554" t="s">
        <v>60</v>
      </c>
      <c r="G21" s="42"/>
      <c r="H21" s="42"/>
      <c r="I21" s="42"/>
      <c r="J21" s="42"/>
      <c r="K21" s="42"/>
      <c r="L21" s="42"/>
      <c r="M21" s="42"/>
      <c r="N21" s="42"/>
      <c r="O21" s="42"/>
      <c r="P21" s="42"/>
      <c r="Q21" s="42"/>
    </row>
    <row r="22" customFormat="false" ht="12" hidden="false" customHeight="true" outlineLevel="0" collapsed="false">
      <c r="A22" s="42"/>
      <c r="B22" s="552"/>
      <c r="C22" s="19"/>
      <c r="D22" s="19"/>
      <c r="E22" s="413"/>
      <c r="F22" s="42"/>
      <c r="G22" s="42" t="s">
        <v>659</v>
      </c>
      <c r="H22" s="42"/>
      <c r="I22" s="42"/>
      <c r="J22" s="42"/>
      <c r="K22" s="42"/>
      <c r="L22" s="42"/>
      <c r="M22" s="42"/>
      <c r="N22" s="42"/>
      <c r="O22" s="42"/>
      <c r="P22" s="42"/>
      <c r="Q22" s="42"/>
    </row>
    <row r="23" customFormat="false" ht="12" hidden="false" customHeight="true" outlineLevel="0" collapsed="false">
      <c r="A23" s="42"/>
      <c r="B23" s="552" t="s">
        <v>660</v>
      </c>
      <c r="C23" s="19"/>
      <c r="D23" s="555" t="n">
        <f aca="false" t="array" ref="D23:D23">IF(D21&lt;B8,4.6,INDEX(D6:D18,MATCH(D21,B6:B18,1),1))</f>
        <v>1.1</v>
      </c>
      <c r="E23" s="413" t="s">
        <v>258</v>
      </c>
      <c r="F23" s="42"/>
      <c r="G23" s="42" t="s">
        <v>661</v>
      </c>
      <c r="H23" s="42"/>
      <c r="I23" s="42"/>
      <c r="J23" s="42"/>
      <c r="K23" s="42"/>
      <c r="L23" s="42"/>
      <c r="M23" s="42"/>
      <c r="N23" s="42"/>
      <c r="O23" s="42"/>
      <c r="P23" s="42"/>
      <c r="Q23" s="42"/>
    </row>
    <row r="24" customFormat="false" ht="12" hidden="false" customHeight="true" outlineLevel="0" collapsed="false">
      <c r="A24" s="42"/>
      <c r="B24" s="539"/>
      <c r="C24" s="478"/>
      <c r="D24" s="478"/>
      <c r="E24" s="479"/>
      <c r="F24" s="42"/>
      <c r="G24" s="515"/>
      <c r="H24" s="515"/>
      <c r="I24" s="515"/>
      <c r="J24" s="515"/>
      <c r="K24" s="515"/>
      <c r="L24" s="515"/>
      <c r="M24" s="515"/>
      <c r="N24" s="515"/>
      <c r="O24" s="515"/>
      <c r="P24" s="515"/>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2" t="s">
        <v>662</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3" t="s">
        <v>663</v>
      </c>
      <c r="C28" s="556"/>
      <c r="D28" s="556"/>
      <c r="E28" s="545"/>
      <c r="F28" s="42"/>
      <c r="G28" s="42" t="s">
        <v>664</v>
      </c>
      <c r="H28" s="42"/>
      <c r="I28" s="42"/>
      <c r="J28" s="42"/>
      <c r="K28" s="42"/>
      <c r="L28" s="42"/>
      <c r="M28" s="42"/>
      <c r="N28" s="42"/>
      <c r="O28" s="42"/>
      <c r="P28" s="42"/>
      <c r="Q28" s="42"/>
    </row>
    <row r="29" customFormat="false" ht="12" hidden="false" customHeight="true" outlineLevel="0" collapsed="false">
      <c r="A29" s="42"/>
      <c r="B29" s="557" t="s">
        <v>312</v>
      </c>
      <c r="C29" s="19" t="s">
        <v>665</v>
      </c>
      <c r="D29" s="19"/>
      <c r="E29" s="558" t="n">
        <f aca="false">'Uplink Budget'!B17</f>
        <v>0.4</v>
      </c>
      <c r="F29" s="42"/>
      <c r="G29" s="559" t="s">
        <v>666</v>
      </c>
      <c r="H29" s="42"/>
      <c r="I29" s="42"/>
      <c r="J29" s="42"/>
      <c r="K29" s="42"/>
      <c r="L29" s="42"/>
      <c r="M29" s="42"/>
      <c r="N29" s="42"/>
      <c r="O29" s="42"/>
      <c r="P29" s="42"/>
      <c r="Q29" s="42"/>
    </row>
    <row r="30" customFormat="false" ht="12" hidden="false" customHeight="true" outlineLevel="0" collapsed="false">
      <c r="A30" s="42"/>
      <c r="B30" s="560" t="s">
        <v>309</v>
      </c>
      <c r="C30" s="550" t="s">
        <v>208</v>
      </c>
      <c r="D30" s="550" t="s">
        <v>645</v>
      </c>
      <c r="E30" s="551" t="s">
        <v>208</v>
      </c>
      <c r="F30" s="42"/>
      <c r="G30" s="42" t="s">
        <v>667</v>
      </c>
      <c r="H30" s="42"/>
      <c r="I30" s="42"/>
      <c r="J30" s="42"/>
      <c r="K30" s="42"/>
      <c r="L30" s="42"/>
      <c r="M30" s="42"/>
      <c r="N30" s="42"/>
      <c r="O30" s="42"/>
      <c r="P30" s="42"/>
      <c r="Q30" s="42"/>
    </row>
    <row r="31" customFormat="false" ht="12" hidden="false" customHeight="true" outlineLevel="0" collapsed="false">
      <c r="A31" s="42"/>
      <c r="B31" s="552"/>
      <c r="C31" s="19"/>
      <c r="D31" s="19"/>
      <c r="E31" s="413"/>
      <c r="F31" s="42"/>
      <c r="G31" s="42" t="s">
        <v>668</v>
      </c>
      <c r="H31" s="42"/>
      <c r="I31" s="42"/>
      <c r="J31" s="42"/>
      <c r="K31" s="42"/>
      <c r="L31" s="42"/>
      <c r="M31" s="42"/>
      <c r="N31" s="42"/>
      <c r="O31" s="42"/>
      <c r="P31" s="42"/>
      <c r="Q31" s="42"/>
    </row>
    <row r="32" customFormat="false" ht="12" hidden="false" customHeight="true" outlineLevel="0" collapsed="false">
      <c r="A32" s="42"/>
      <c r="B32" s="540" t="n">
        <v>146</v>
      </c>
      <c r="C32" s="227" t="s">
        <v>314</v>
      </c>
      <c r="D32" s="561" t="n">
        <v>0.7</v>
      </c>
      <c r="E32" s="228" t="s">
        <v>258</v>
      </c>
      <c r="F32" s="42"/>
      <c r="G32" s="42" t="s">
        <v>669</v>
      </c>
      <c r="H32" s="42"/>
      <c r="I32" s="42"/>
      <c r="J32" s="42"/>
      <c r="K32" s="42"/>
      <c r="L32" s="42"/>
      <c r="M32" s="42"/>
      <c r="N32" s="42"/>
      <c r="O32" s="42"/>
      <c r="P32" s="42"/>
      <c r="Q32" s="42"/>
    </row>
    <row r="33" customFormat="false" ht="12" hidden="false" customHeight="true" outlineLevel="0" collapsed="false">
      <c r="A33" s="42"/>
      <c r="B33" s="540" t="n">
        <v>438</v>
      </c>
      <c r="C33" s="227" t="s">
        <v>314</v>
      </c>
      <c r="D33" s="561" t="n">
        <v>0.4</v>
      </c>
      <c r="E33" s="228" t="s">
        <v>258</v>
      </c>
      <c r="F33" s="42"/>
      <c r="G33" s="42"/>
      <c r="H33" s="42"/>
      <c r="I33" s="42"/>
      <c r="J33" s="42"/>
      <c r="K33" s="42"/>
      <c r="L33" s="42"/>
      <c r="M33" s="42"/>
      <c r="N33" s="42"/>
      <c r="O33" s="42"/>
      <c r="P33" s="42"/>
      <c r="Q33" s="42"/>
    </row>
    <row r="34" customFormat="false" ht="12.75" hidden="false" customHeight="true" outlineLevel="0" collapsed="false">
      <c r="A34" s="42"/>
      <c r="B34" s="540" t="n">
        <v>2410</v>
      </c>
      <c r="C34" s="227" t="s">
        <v>314</v>
      </c>
      <c r="D34" s="562" t="n">
        <v>0.1</v>
      </c>
      <c r="E34" s="228" t="s">
        <v>258</v>
      </c>
      <c r="F34" s="42"/>
      <c r="G34" s="42" t="s">
        <v>670</v>
      </c>
      <c r="H34" s="42"/>
      <c r="I34" s="42"/>
      <c r="J34" s="42"/>
      <c r="K34" s="42"/>
      <c r="L34" s="42"/>
      <c r="M34" s="42"/>
      <c r="N34" s="42"/>
      <c r="O34" s="42"/>
      <c r="P34" s="42"/>
      <c r="Q34" s="42"/>
    </row>
    <row r="35" customFormat="false" ht="12.75" hidden="false" customHeight="true" outlineLevel="0" collapsed="false">
      <c r="A35" s="42"/>
      <c r="B35" s="563" t="n">
        <f aca="false">Frequency!C13</f>
        <v>450</v>
      </c>
      <c r="C35" s="227" t="s">
        <v>314</v>
      </c>
      <c r="D35" s="564" t="n">
        <v>0.4</v>
      </c>
      <c r="E35" s="228" t="s">
        <v>258</v>
      </c>
      <c r="F35" s="42"/>
      <c r="G35" s="42" t="s">
        <v>671</v>
      </c>
      <c r="H35" s="42"/>
      <c r="I35" s="42"/>
      <c r="J35" s="42"/>
      <c r="K35" s="42"/>
      <c r="L35" s="42"/>
      <c r="M35" s="42"/>
      <c r="N35" s="42"/>
      <c r="O35" s="42"/>
      <c r="P35" s="42"/>
      <c r="Q35" s="42"/>
    </row>
    <row r="36" customFormat="false" ht="12" hidden="false" customHeight="true" outlineLevel="0" collapsed="false">
      <c r="A36" s="42"/>
      <c r="B36" s="539"/>
      <c r="C36" s="478"/>
      <c r="D36" s="478"/>
      <c r="E36" s="479"/>
      <c r="F36" s="42"/>
      <c r="G36" s="42" t="s">
        <v>672</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673</v>
      </c>
      <c r="H37" s="42"/>
      <c r="I37" s="42"/>
      <c r="J37" s="42"/>
      <c r="K37" s="42"/>
      <c r="L37" s="42"/>
      <c r="M37" s="42"/>
      <c r="N37" s="42"/>
      <c r="O37" s="42"/>
      <c r="P37" s="42"/>
      <c r="Q37" s="42"/>
    </row>
    <row r="38" customFormat="false" ht="12" hidden="false" customHeight="true" outlineLevel="0" collapsed="false">
      <c r="A38" s="42"/>
      <c r="B38" s="565" t="s">
        <v>674</v>
      </c>
      <c r="C38" s="42"/>
      <c r="D38" s="42"/>
      <c r="E38" s="42"/>
      <c r="F38" s="42"/>
      <c r="G38" s="42" t="s">
        <v>675</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676</v>
      </c>
      <c r="H40" s="42"/>
      <c r="I40" s="42"/>
      <c r="J40" s="42"/>
      <c r="K40" s="42"/>
      <c r="L40" s="42"/>
      <c r="M40" s="42"/>
      <c r="N40" s="42"/>
      <c r="O40" s="42"/>
      <c r="P40" s="42"/>
      <c r="Q40" s="42"/>
    </row>
    <row r="41" customFormat="false" ht="12" hidden="false" customHeight="true" outlineLevel="0" collapsed="false">
      <c r="A41" s="42"/>
      <c r="B41" s="543" t="s">
        <v>663</v>
      </c>
      <c r="C41" s="556"/>
      <c r="D41" s="556"/>
      <c r="E41" s="545"/>
      <c r="F41" s="42"/>
      <c r="G41" s="42" t="s">
        <v>677</v>
      </c>
      <c r="H41" s="42"/>
      <c r="I41" s="42"/>
      <c r="J41" s="42"/>
      <c r="K41" s="42"/>
      <c r="L41" s="42"/>
      <c r="M41" s="42"/>
      <c r="N41" s="42"/>
      <c r="O41" s="42"/>
      <c r="P41" s="42"/>
      <c r="Q41" s="42"/>
    </row>
    <row r="42" customFormat="false" ht="12" hidden="false" customHeight="true" outlineLevel="0" collapsed="false">
      <c r="A42" s="42"/>
      <c r="B42" s="566" t="s">
        <v>322</v>
      </c>
      <c r="C42" s="19" t="s">
        <v>678</v>
      </c>
      <c r="D42" s="19"/>
      <c r="E42" s="567" t="n">
        <f aca="false">'Downlink Budget'!B17</f>
        <v>0.4</v>
      </c>
      <c r="F42" s="42"/>
      <c r="G42" s="42" t="s">
        <v>679</v>
      </c>
      <c r="H42" s="42"/>
      <c r="I42" s="42"/>
      <c r="J42" s="42"/>
      <c r="K42" s="42"/>
      <c r="L42" s="42"/>
      <c r="M42" s="42"/>
      <c r="N42" s="42"/>
      <c r="O42" s="42"/>
      <c r="P42" s="42"/>
      <c r="Q42" s="42"/>
    </row>
    <row r="43" customFormat="false" ht="12" hidden="false" customHeight="true" outlineLevel="0" collapsed="false">
      <c r="A43" s="42"/>
      <c r="B43" s="568" t="s">
        <v>309</v>
      </c>
      <c r="C43" s="209" t="s">
        <v>208</v>
      </c>
      <c r="D43" s="209" t="s">
        <v>645</v>
      </c>
      <c r="E43" s="569" t="s">
        <v>208</v>
      </c>
      <c r="F43" s="42"/>
      <c r="G43" s="42" t="s">
        <v>680</v>
      </c>
      <c r="H43" s="42"/>
      <c r="I43" s="42"/>
      <c r="J43" s="42"/>
      <c r="K43" s="42"/>
      <c r="L43" s="42"/>
      <c r="M43" s="42"/>
      <c r="N43" s="42"/>
      <c r="O43" s="42"/>
      <c r="P43" s="42"/>
      <c r="Q43" s="42"/>
    </row>
    <row r="44" customFormat="false" ht="12" hidden="false" customHeight="true" outlineLevel="0" collapsed="false">
      <c r="A44" s="42"/>
      <c r="B44" s="552"/>
      <c r="C44" s="19"/>
      <c r="D44" s="19"/>
      <c r="E44" s="413"/>
      <c r="F44" s="42"/>
      <c r="G44" s="42"/>
      <c r="H44" s="42"/>
      <c r="I44" s="42"/>
      <c r="J44" s="42"/>
      <c r="K44" s="42"/>
      <c r="L44" s="42"/>
      <c r="M44" s="42"/>
      <c r="N44" s="42"/>
      <c r="O44" s="42"/>
      <c r="P44" s="42"/>
      <c r="Q44" s="42"/>
    </row>
    <row r="45" customFormat="false" ht="12" hidden="false" customHeight="true" outlineLevel="0" collapsed="false">
      <c r="A45" s="42"/>
      <c r="B45" s="540" t="n">
        <v>146</v>
      </c>
      <c r="C45" s="227" t="s">
        <v>314</v>
      </c>
      <c r="D45" s="570" t="n">
        <v>0.7</v>
      </c>
      <c r="E45" s="228" t="s">
        <v>258</v>
      </c>
      <c r="F45" s="42"/>
      <c r="G45" s="42" t="s">
        <v>681</v>
      </c>
      <c r="H45" s="42"/>
      <c r="I45" s="42"/>
      <c r="J45" s="42"/>
      <c r="K45" s="42"/>
      <c r="L45" s="42"/>
      <c r="M45" s="42"/>
      <c r="N45" s="42"/>
      <c r="O45" s="42"/>
      <c r="P45" s="42"/>
      <c r="Q45" s="42"/>
    </row>
    <row r="46" customFormat="false" ht="12" hidden="false" customHeight="true" outlineLevel="0" collapsed="false">
      <c r="A46" s="42"/>
      <c r="B46" s="540" t="n">
        <v>438</v>
      </c>
      <c r="C46" s="227" t="s">
        <v>314</v>
      </c>
      <c r="D46" s="570" t="n">
        <v>0.4</v>
      </c>
      <c r="E46" s="228" t="s">
        <v>258</v>
      </c>
      <c r="F46" s="42"/>
      <c r="G46" s="42" t="s">
        <v>682</v>
      </c>
      <c r="H46" s="42"/>
      <c r="I46" s="42"/>
      <c r="J46" s="42"/>
      <c r="K46" s="42"/>
      <c r="L46" s="42"/>
      <c r="M46" s="42"/>
      <c r="N46" s="42"/>
      <c r="O46" s="42"/>
      <c r="P46" s="42"/>
      <c r="Q46" s="42"/>
    </row>
    <row r="47" customFormat="false" ht="12" hidden="false" customHeight="true" outlineLevel="0" collapsed="false">
      <c r="A47" s="42"/>
      <c r="B47" s="540" t="n">
        <v>2410</v>
      </c>
      <c r="C47" s="227" t="s">
        <v>314</v>
      </c>
      <c r="D47" s="570" t="n">
        <v>0.1</v>
      </c>
      <c r="E47" s="228" t="s">
        <v>258</v>
      </c>
      <c r="F47" s="42"/>
      <c r="G47" s="42" t="s">
        <v>683</v>
      </c>
      <c r="H47" s="42"/>
      <c r="I47" s="42"/>
      <c r="J47" s="42"/>
      <c r="K47" s="42"/>
      <c r="L47" s="42"/>
      <c r="M47" s="42"/>
      <c r="N47" s="42"/>
      <c r="O47" s="42"/>
      <c r="P47" s="42"/>
      <c r="Q47" s="42"/>
    </row>
    <row r="48" customFormat="false" ht="12" hidden="false" customHeight="true" outlineLevel="0" collapsed="false">
      <c r="A48" s="42"/>
      <c r="B48" s="563" t="n">
        <f aca="false">Frequency!C19</f>
        <v>136</v>
      </c>
      <c r="C48" s="227" t="s">
        <v>314</v>
      </c>
      <c r="D48" s="181" t="n">
        <v>0.8</v>
      </c>
      <c r="E48" s="228" t="s">
        <v>258</v>
      </c>
      <c r="F48" s="42"/>
      <c r="G48" s="42" t="s">
        <v>684</v>
      </c>
      <c r="H48" s="42"/>
      <c r="I48" s="42"/>
      <c r="J48" s="42"/>
      <c r="K48" s="42"/>
      <c r="L48" s="42"/>
      <c r="M48" s="42"/>
      <c r="N48" s="42"/>
      <c r="O48" s="42"/>
      <c r="P48" s="42"/>
      <c r="Q48" s="42"/>
    </row>
    <row r="49" customFormat="false" ht="12" hidden="false" customHeight="true" outlineLevel="0" collapsed="false">
      <c r="A49" s="42"/>
      <c r="B49" s="540"/>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5"/>
      <c r="I50" s="42"/>
      <c r="J50" s="42"/>
      <c r="K50" s="42"/>
      <c r="L50" s="42"/>
      <c r="M50" s="42"/>
      <c r="N50" s="42"/>
      <c r="O50" s="42"/>
      <c r="P50" s="42"/>
      <c r="Q50" s="42"/>
    </row>
    <row r="51" customFormat="false" ht="12" hidden="false" customHeight="true" outlineLevel="0" collapsed="false">
      <c r="A51" s="42"/>
      <c r="B51" s="565" t="s">
        <v>674</v>
      </c>
      <c r="C51" s="42"/>
      <c r="D51" s="42"/>
      <c r="E51" s="42"/>
      <c r="F51" s="42"/>
      <c r="G51" s="42" t="s">
        <v>685</v>
      </c>
      <c r="H51" s="42"/>
      <c r="I51" s="42"/>
      <c r="J51" s="42"/>
      <c r="K51" s="42"/>
      <c r="L51" s="42"/>
      <c r="M51" s="42"/>
      <c r="N51" s="42"/>
      <c r="O51" s="42"/>
      <c r="P51" s="42"/>
      <c r="Q51" s="42"/>
    </row>
    <row r="52" customFormat="false" ht="12" hidden="false" customHeight="true" outlineLevel="0" collapsed="false">
      <c r="A52" s="42"/>
      <c r="B52" s="42" t="s">
        <v>686</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687</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688</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689</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6"/>
      <c r="C75" s="326"/>
      <c r="D75" s="326"/>
      <c r="E75" s="326"/>
      <c r="F75" s="42"/>
      <c r="G75" s="42"/>
      <c r="H75" s="42"/>
      <c r="I75" s="42"/>
      <c r="J75" s="42"/>
      <c r="K75" s="42"/>
      <c r="L75" s="42"/>
      <c r="M75" s="42"/>
      <c r="N75" s="42"/>
      <c r="O75" s="42"/>
      <c r="P75" s="42"/>
      <c r="Q75" s="42"/>
      <c r="R75" s="42"/>
    </row>
    <row r="76" customFormat="false" ht="12" hidden="false" customHeight="true" outlineLevel="0" collapsed="false">
      <c r="A76" s="42"/>
      <c r="B76" s="326"/>
      <c r="C76" s="326"/>
      <c r="D76" s="326"/>
      <c r="E76" s="326"/>
      <c r="F76" s="42"/>
      <c r="G76" s="42"/>
      <c r="H76" s="42"/>
      <c r="I76" s="42"/>
      <c r="J76" s="42"/>
      <c r="K76" s="42"/>
      <c r="L76" s="42"/>
      <c r="M76" s="42"/>
      <c r="N76" s="42"/>
      <c r="O76" s="42"/>
      <c r="P76" s="42"/>
      <c r="Q76" s="42"/>
      <c r="R76" s="42"/>
    </row>
    <row r="77" customFormat="false" ht="12" hidden="false" customHeight="true" outlineLevel="0" collapsed="false">
      <c r="A77" s="42"/>
      <c r="B77" s="326"/>
      <c r="C77" s="326"/>
      <c r="D77" s="326"/>
      <c r="E77" s="326"/>
      <c r="F77" s="42"/>
      <c r="G77" s="42"/>
      <c r="H77" s="42"/>
      <c r="I77" s="42"/>
      <c r="J77" s="42"/>
      <c r="K77" s="42"/>
      <c r="L77" s="42"/>
      <c r="M77" s="42"/>
      <c r="N77" s="42"/>
      <c r="O77" s="42"/>
      <c r="P77" s="42"/>
      <c r="Q77" s="42"/>
      <c r="R77" s="42"/>
    </row>
    <row r="78" customFormat="false" ht="12" hidden="false" customHeight="true" outlineLevel="0" collapsed="false">
      <c r="A78" s="42"/>
      <c r="B78" s="326"/>
      <c r="C78" s="326"/>
      <c r="D78" s="326"/>
      <c r="E78" s="326"/>
      <c r="F78" s="42"/>
      <c r="G78" s="42"/>
      <c r="H78" s="42"/>
      <c r="I78" s="42"/>
      <c r="J78" s="42"/>
      <c r="K78" s="42"/>
      <c r="L78" s="42"/>
      <c r="M78" s="42"/>
      <c r="N78" s="42"/>
      <c r="O78" s="42"/>
      <c r="P78" s="42"/>
      <c r="Q78" s="42"/>
      <c r="R78" s="42"/>
    </row>
    <row r="79" customFormat="false" ht="12" hidden="false" customHeight="true" outlineLevel="0" collapsed="false">
      <c r="A79" s="42"/>
      <c r="B79" s="326"/>
      <c r="C79" s="326"/>
      <c r="D79" s="326"/>
      <c r="E79" s="326"/>
      <c r="F79" s="42"/>
      <c r="G79" s="42"/>
      <c r="H79" s="42"/>
      <c r="I79" s="42"/>
      <c r="J79" s="42"/>
      <c r="K79" s="42"/>
      <c r="L79" s="42"/>
      <c r="M79" s="42"/>
      <c r="N79" s="42"/>
      <c r="O79" s="42"/>
      <c r="P79" s="42"/>
      <c r="Q79" s="42"/>
      <c r="R79" s="42"/>
    </row>
    <row r="80" customFormat="false" ht="12" hidden="false" customHeight="true" outlineLevel="0" collapsed="false">
      <c r="A80" s="42"/>
      <c r="B80" s="326"/>
      <c r="C80" s="326"/>
      <c r="D80" s="326"/>
      <c r="E80" s="326"/>
      <c r="F80" s="42"/>
      <c r="G80" s="42"/>
      <c r="H80" s="42"/>
      <c r="I80" s="42"/>
      <c r="J80" s="42"/>
      <c r="K80" s="42"/>
      <c r="L80" s="42"/>
      <c r="M80" s="42"/>
      <c r="N80" s="42"/>
      <c r="O80" s="42"/>
      <c r="P80" s="42"/>
      <c r="Q80" s="42"/>
      <c r="R80" s="42"/>
    </row>
    <row r="81" customFormat="false" ht="12" hidden="false" customHeight="true" outlineLevel="0" collapsed="false">
      <c r="A81" s="42"/>
      <c r="B81" s="326"/>
      <c r="C81" s="326"/>
      <c r="D81" s="326"/>
      <c r="E81" s="326"/>
      <c r="F81" s="42"/>
      <c r="G81" s="42"/>
      <c r="H81" s="42"/>
      <c r="I81" s="42"/>
      <c r="J81" s="42"/>
      <c r="K81" s="42"/>
      <c r="L81" s="42"/>
      <c r="M81" s="42"/>
      <c r="N81" s="42"/>
      <c r="O81" s="42"/>
      <c r="P81" s="42"/>
      <c r="Q81" s="42"/>
      <c r="R81" s="42"/>
    </row>
    <row r="82" customFormat="false" ht="12" hidden="false" customHeight="true" outlineLevel="0" collapsed="false">
      <c r="A82" s="42"/>
      <c r="B82" s="326"/>
      <c r="C82" s="326"/>
      <c r="D82" s="326"/>
      <c r="E82" s="326"/>
      <c r="F82" s="42"/>
      <c r="G82" s="42"/>
      <c r="H82" s="42"/>
      <c r="I82" s="42"/>
      <c r="J82" s="42"/>
      <c r="K82" s="42"/>
      <c r="L82" s="42"/>
      <c r="M82" s="42"/>
      <c r="N82" s="42"/>
      <c r="O82" s="42"/>
      <c r="P82" s="42"/>
      <c r="Q82" s="42"/>
      <c r="R82" s="42"/>
    </row>
    <row r="83" customFormat="false" ht="12" hidden="false" customHeight="true" outlineLevel="0" collapsed="false">
      <c r="A83" s="42"/>
      <c r="B83" s="326"/>
      <c r="C83" s="326"/>
      <c r="D83" s="326"/>
      <c r="E83" s="326"/>
      <c r="F83" s="42"/>
      <c r="G83" s="42"/>
      <c r="H83" s="42"/>
      <c r="I83" s="42"/>
      <c r="J83" s="42"/>
      <c r="K83" s="42"/>
      <c r="L83" s="42"/>
      <c r="M83" s="42"/>
      <c r="N83" s="42"/>
      <c r="O83" s="42"/>
      <c r="P83" s="42"/>
      <c r="Q83" s="42"/>
      <c r="R83" s="42"/>
    </row>
    <row r="84" customFormat="false" ht="12" hidden="false" customHeight="true" outlineLevel="0" collapsed="false">
      <c r="A84" s="42"/>
      <c r="B84" s="326"/>
      <c r="C84" s="326"/>
      <c r="D84" s="326"/>
      <c r="E84" s="326"/>
      <c r="F84" s="42"/>
      <c r="G84" s="42"/>
      <c r="H84" s="42"/>
      <c r="I84" s="42"/>
      <c r="J84" s="42"/>
      <c r="K84" s="42"/>
      <c r="L84" s="42"/>
      <c r="M84" s="42"/>
      <c r="N84" s="42"/>
      <c r="O84" s="42"/>
      <c r="P84" s="42"/>
      <c r="Q84" s="42"/>
      <c r="R84" s="42"/>
    </row>
    <row r="85" customFormat="false" ht="12" hidden="false" customHeight="true" outlineLevel="0" collapsed="false">
      <c r="A85" s="326"/>
      <c r="B85" s="326"/>
      <c r="C85" s="326"/>
      <c r="D85" s="326"/>
      <c r="E85" s="326"/>
      <c r="F85" s="326"/>
      <c r="G85" s="326"/>
      <c r="H85" s="326"/>
      <c r="I85" s="326"/>
      <c r="J85" s="326"/>
      <c r="K85" s="326"/>
      <c r="L85" s="326"/>
      <c r="M85" s="326"/>
      <c r="N85" s="326"/>
      <c r="O85" s="326"/>
      <c r="P85" s="326"/>
      <c r="Q85" s="326"/>
      <c r="R85" s="326"/>
    </row>
    <row r="86" customFormat="false" ht="12" hidden="false" customHeight="true" outlineLevel="0" collapsed="false">
      <c r="A86" s="326"/>
      <c r="B86" s="326"/>
      <c r="C86" s="326"/>
      <c r="D86" s="326"/>
      <c r="E86" s="326"/>
      <c r="F86" s="326"/>
      <c r="G86" s="326"/>
      <c r="H86" s="326"/>
      <c r="I86" s="326"/>
      <c r="J86" s="326"/>
      <c r="K86" s="326"/>
      <c r="L86" s="326"/>
      <c r="M86" s="326"/>
      <c r="N86" s="326"/>
      <c r="O86" s="326"/>
      <c r="P86" s="326"/>
      <c r="Q86" s="326"/>
      <c r="R86" s="326"/>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C13" colorId="64" zoomScale="120" zoomScaleNormal="120" zoomScalePageLayoutView="100" workbookViewId="0">
      <selection pane="topLeft" activeCell="H32" activeCellId="0" sqref="H32"/>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37.13"/>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3" t="s">
        <v>690</v>
      </c>
      <c r="B1" s="10"/>
      <c r="C1" s="10"/>
      <c r="D1" s="10"/>
      <c r="E1" s="327" t="str">
        <f aca="false">'Title Page'!F3</f>
        <v>Coconut Cubesat</v>
      </c>
      <c r="F1" s="10"/>
      <c r="G1" s="41" t="str">
        <f aca="false">'Title Page'!F23</f>
        <v>2025 June 08</v>
      </c>
      <c r="H1" s="10"/>
      <c r="I1" s="10"/>
      <c r="J1" s="10"/>
      <c r="K1" s="10"/>
      <c r="L1" s="10"/>
      <c r="M1" s="10"/>
      <c r="N1" s="10"/>
      <c r="O1" s="10"/>
      <c r="P1" s="10"/>
      <c r="Q1" s="10"/>
      <c r="R1" s="10"/>
      <c r="S1" s="10"/>
      <c r="T1" s="10"/>
      <c r="U1" s="10"/>
    </row>
    <row r="2" customFormat="false" ht="12.75" hidden="false" customHeight="true" outlineLevel="0" collapsed="false">
      <c r="A2" s="571" t="s">
        <v>691</v>
      </c>
      <c r="B2" s="572"/>
      <c r="C2" s="573" t="s">
        <v>0</v>
      </c>
      <c r="D2" s="19"/>
      <c r="E2" s="215" t="s">
        <v>692</v>
      </c>
      <c r="F2" s="19" t="s">
        <v>693</v>
      </c>
      <c r="G2" s="42" t="s">
        <v>694</v>
      </c>
      <c r="H2" s="42"/>
      <c r="I2" s="42"/>
      <c r="J2" s="42"/>
      <c r="K2" s="42"/>
      <c r="L2" s="42"/>
      <c r="M2" s="42"/>
      <c r="N2" s="42"/>
      <c r="O2" s="42"/>
      <c r="P2" s="42"/>
      <c r="Q2" s="42"/>
      <c r="R2" s="42"/>
      <c r="S2" s="42"/>
      <c r="T2" s="42"/>
      <c r="U2" s="42"/>
    </row>
    <row r="3" customFormat="false" ht="15.75" hidden="false" customHeight="true" outlineLevel="0" collapsed="false">
      <c r="A3" s="574" t="s">
        <v>695</v>
      </c>
      <c r="B3" s="575"/>
      <c r="C3" s="576" t="s">
        <v>696</v>
      </c>
      <c r="D3" s="577"/>
      <c r="E3" s="578" t="n">
        <v>18</v>
      </c>
      <c r="F3" s="579" t="str">
        <f aca="false" t="array" ref="F3:F3">INDEX(C6:C23,E3,1)</f>
        <v>LoRa</v>
      </c>
      <c r="G3" s="42"/>
      <c r="H3" s="580" t="s">
        <v>697</v>
      </c>
      <c r="I3" s="42"/>
      <c r="J3" s="42"/>
      <c r="K3" s="42"/>
      <c r="L3" s="42"/>
      <c r="M3" s="42"/>
      <c r="N3" s="42"/>
      <c r="O3" s="42"/>
      <c r="P3" s="42"/>
      <c r="Q3" s="42"/>
      <c r="R3" s="42"/>
      <c r="S3" s="42"/>
      <c r="T3" s="42"/>
      <c r="U3" s="42"/>
    </row>
    <row r="4" customFormat="false" ht="12.75" hidden="false" customHeight="true" outlineLevel="0" collapsed="false">
      <c r="A4" s="91" t="s">
        <v>698</v>
      </c>
      <c r="B4" s="19"/>
      <c r="C4" s="19"/>
      <c r="D4" s="19"/>
      <c r="E4" s="19"/>
      <c r="F4" s="19"/>
      <c r="G4" s="42"/>
      <c r="H4" s="581" t="s">
        <v>699</v>
      </c>
      <c r="I4" s="42"/>
      <c r="J4" s="42"/>
      <c r="K4" s="42"/>
      <c r="L4" s="42"/>
      <c r="M4" s="42"/>
      <c r="N4" s="42"/>
      <c r="O4" s="42"/>
      <c r="P4" s="42"/>
      <c r="Q4" s="42"/>
      <c r="R4" s="42"/>
      <c r="S4" s="42"/>
      <c r="T4" s="42"/>
      <c r="U4" s="42"/>
    </row>
    <row r="5" customFormat="false" ht="15" hidden="false" customHeight="true" outlineLevel="0" collapsed="false">
      <c r="A5" s="42"/>
      <c r="B5" s="582" t="s">
        <v>308</v>
      </c>
      <c r="C5" s="582" t="s">
        <v>700</v>
      </c>
      <c r="D5" s="582" t="s">
        <v>701</v>
      </c>
      <c r="E5" s="582" t="s">
        <v>702</v>
      </c>
      <c r="F5" s="582" t="s">
        <v>703</v>
      </c>
      <c r="G5" s="42"/>
      <c r="H5" s="583" t="n">
        <f aca="false" t="array" ref="H5:H5">INDEX(F6:F23,E3,1)+E25</f>
        <v>5.3</v>
      </c>
      <c r="I5" s="42"/>
      <c r="J5" s="42"/>
      <c r="K5" s="42"/>
      <c r="L5" s="42"/>
      <c r="M5" s="42"/>
      <c r="N5" s="42"/>
      <c r="O5" s="42"/>
      <c r="P5" s="42"/>
      <c r="Q5" s="42"/>
      <c r="R5" s="42"/>
      <c r="S5" s="42"/>
      <c r="T5" s="42"/>
      <c r="U5" s="42"/>
    </row>
    <row r="6" customFormat="false" ht="15.75" hidden="false" customHeight="true" outlineLevel="0" collapsed="false">
      <c r="A6" s="42"/>
      <c r="B6" s="584" t="n">
        <v>1</v>
      </c>
      <c r="C6" s="585" t="s">
        <v>704</v>
      </c>
      <c r="D6" s="585" t="s">
        <v>705</v>
      </c>
      <c r="E6" s="586" t="n">
        <v>0.0001</v>
      </c>
      <c r="F6" s="587" t="n">
        <v>21</v>
      </c>
      <c r="G6" s="42"/>
      <c r="H6" s="588" t="s">
        <v>258</v>
      </c>
      <c r="I6" s="42"/>
      <c r="J6" s="42"/>
      <c r="K6" s="42"/>
      <c r="L6" s="42"/>
      <c r="M6" s="42"/>
      <c r="N6" s="42"/>
      <c r="O6" s="42"/>
      <c r="P6" s="42"/>
      <c r="Q6" s="42"/>
      <c r="R6" s="42"/>
      <c r="S6" s="42"/>
      <c r="T6" s="42"/>
      <c r="U6" s="42"/>
    </row>
    <row r="7" customFormat="false" ht="15" hidden="false" customHeight="true" outlineLevel="0" collapsed="false">
      <c r="A7" s="42"/>
      <c r="B7" s="584" t="n">
        <v>2</v>
      </c>
      <c r="C7" s="585" t="s">
        <v>704</v>
      </c>
      <c r="D7" s="585" t="s">
        <v>705</v>
      </c>
      <c r="E7" s="586" t="n">
        <v>1E-005</v>
      </c>
      <c r="F7" s="587" t="n">
        <v>23.2</v>
      </c>
      <c r="G7" s="42"/>
      <c r="H7" s="42"/>
      <c r="I7" s="42"/>
      <c r="J7" s="42"/>
      <c r="K7" s="42"/>
      <c r="L7" s="42"/>
      <c r="M7" s="42"/>
      <c r="N7" s="42"/>
      <c r="O7" s="42"/>
      <c r="P7" s="42"/>
      <c r="Q7" s="42"/>
      <c r="R7" s="42"/>
      <c r="S7" s="42"/>
      <c r="T7" s="42"/>
      <c r="U7" s="42"/>
    </row>
    <row r="8" customFormat="false" ht="15" hidden="false" customHeight="true" outlineLevel="0" collapsed="false">
      <c r="A8" s="42"/>
      <c r="B8" s="584" t="n">
        <v>3</v>
      </c>
      <c r="C8" s="585" t="s">
        <v>706</v>
      </c>
      <c r="D8" s="585" t="s">
        <v>705</v>
      </c>
      <c r="E8" s="586" t="n">
        <v>0.0001</v>
      </c>
      <c r="F8" s="587" t="n">
        <v>16.7</v>
      </c>
      <c r="G8" s="42"/>
      <c r="H8" s="42"/>
      <c r="I8" s="42"/>
      <c r="J8" s="42"/>
      <c r="K8" s="42"/>
      <c r="L8" s="42"/>
      <c r="M8" s="42"/>
      <c r="N8" s="42"/>
      <c r="O8" s="42"/>
      <c r="P8" s="42"/>
      <c r="Q8" s="42"/>
      <c r="R8" s="42"/>
      <c r="S8" s="42"/>
      <c r="T8" s="42"/>
      <c r="U8" s="42"/>
    </row>
    <row r="9" customFormat="false" ht="15" hidden="false" customHeight="true" outlineLevel="0" collapsed="false">
      <c r="A9" s="42"/>
      <c r="B9" s="584" t="n">
        <v>4</v>
      </c>
      <c r="C9" s="585" t="s">
        <v>706</v>
      </c>
      <c r="D9" s="585" t="s">
        <v>705</v>
      </c>
      <c r="E9" s="586" t="n">
        <v>1E-005</v>
      </c>
      <c r="F9" s="587" t="n">
        <v>18</v>
      </c>
      <c r="G9" s="42"/>
      <c r="H9" s="42"/>
      <c r="I9" s="42"/>
      <c r="J9" s="42"/>
      <c r="K9" s="42"/>
      <c r="L9" s="42"/>
      <c r="M9" s="42"/>
      <c r="N9" s="42"/>
      <c r="O9" s="42"/>
      <c r="P9" s="42"/>
      <c r="Q9" s="42"/>
      <c r="R9" s="42"/>
      <c r="S9" s="42"/>
      <c r="T9" s="42"/>
      <c r="U9" s="42"/>
    </row>
    <row r="10" customFormat="false" ht="15" hidden="false" customHeight="true" outlineLevel="0" collapsed="false">
      <c r="A10" s="42"/>
      <c r="B10" s="584" t="n">
        <v>5</v>
      </c>
      <c r="C10" s="585" t="s">
        <v>707</v>
      </c>
      <c r="D10" s="585" t="s">
        <v>705</v>
      </c>
      <c r="E10" s="586" t="n">
        <v>0.0001</v>
      </c>
      <c r="F10" s="587"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4" t="n">
        <v>6</v>
      </c>
      <c r="C11" s="585" t="s">
        <v>707</v>
      </c>
      <c r="D11" s="585" t="s">
        <v>705</v>
      </c>
      <c r="E11" s="586" t="n">
        <v>1E-005</v>
      </c>
      <c r="F11" s="587"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4" t="n">
        <v>7</v>
      </c>
      <c r="C12" s="585" t="s">
        <v>708</v>
      </c>
      <c r="D12" s="585" t="s">
        <v>705</v>
      </c>
      <c r="E12" s="586" t="n">
        <v>0.0001</v>
      </c>
      <c r="F12" s="587"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4" t="n">
        <v>8</v>
      </c>
      <c r="C13" s="585" t="s">
        <v>708</v>
      </c>
      <c r="D13" s="585" t="s">
        <v>705</v>
      </c>
      <c r="E13" s="586" t="n">
        <v>1E-005</v>
      </c>
      <c r="F13" s="587"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4" t="n">
        <v>9</v>
      </c>
      <c r="C14" s="585" t="s">
        <v>709</v>
      </c>
      <c r="D14" s="585" t="s">
        <v>705</v>
      </c>
      <c r="E14" s="586" t="n">
        <v>0.0001</v>
      </c>
      <c r="F14" s="587"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4" t="n">
        <v>10</v>
      </c>
      <c r="C15" s="585" t="s">
        <v>709</v>
      </c>
      <c r="D15" s="585" t="s">
        <v>705</v>
      </c>
      <c r="E15" s="586" t="n">
        <v>1E-005</v>
      </c>
      <c r="F15" s="587"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4" t="n">
        <v>11</v>
      </c>
      <c r="C16" s="585" t="s">
        <v>710</v>
      </c>
      <c r="D16" s="585" t="s">
        <v>705</v>
      </c>
      <c r="E16" s="586" t="n">
        <v>1E-005</v>
      </c>
      <c r="F16" s="587"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4" t="n">
        <v>12</v>
      </c>
      <c r="C17" s="585" t="s">
        <v>710</v>
      </c>
      <c r="D17" s="585" t="s">
        <v>705</v>
      </c>
      <c r="E17" s="586" t="n">
        <v>1E-006</v>
      </c>
      <c r="F17" s="587"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4" t="n">
        <v>13</v>
      </c>
      <c r="C18" s="585" t="s">
        <v>711</v>
      </c>
      <c r="D18" s="585" t="s">
        <v>705</v>
      </c>
      <c r="E18" s="586" t="n">
        <v>1E-005</v>
      </c>
      <c r="F18" s="587"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4" t="n">
        <v>14</v>
      </c>
      <c r="C19" s="585" t="s">
        <v>711</v>
      </c>
      <c r="D19" s="585" t="s">
        <v>705</v>
      </c>
      <c r="E19" s="586" t="n">
        <v>1E-006</v>
      </c>
      <c r="F19" s="587"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4" t="n">
        <v>15</v>
      </c>
      <c r="C20" s="585" t="s">
        <v>710</v>
      </c>
      <c r="D20" s="585" t="s">
        <v>712</v>
      </c>
      <c r="E20" s="586" t="n">
        <v>1E-006</v>
      </c>
      <c r="F20" s="587"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4" t="n">
        <v>16</v>
      </c>
      <c r="C21" s="585" t="s">
        <v>710</v>
      </c>
      <c r="D21" s="585" t="s">
        <v>713</v>
      </c>
      <c r="E21" s="586" t="n">
        <v>1E-006</v>
      </c>
      <c r="F21" s="587"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4" t="n">
        <v>17</v>
      </c>
      <c r="C22" s="585" t="s">
        <v>710</v>
      </c>
      <c r="D22" s="585" t="s">
        <v>714</v>
      </c>
      <c r="E22" s="586" t="n">
        <v>1E-007</v>
      </c>
      <c r="F22" s="587"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4" t="n">
        <v>18</v>
      </c>
      <c r="C23" s="589" t="s">
        <v>715</v>
      </c>
      <c r="D23" s="589" t="s">
        <v>716</v>
      </c>
      <c r="E23" s="586" t="n">
        <v>0.0001</v>
      </c>
      <c r="F23" s="590" t="n">
        <v>4.3</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5" t="s">
        <v>717</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60</v>
      </c>
      <c r="C25" s="42"/>
      <c r="D25" s="591" t="s">
        <v>718</v>
      </c>
      <c r="E25" s="592" t="n">
        <v>1</v>
      </c>
      <c r="F25" s="593" t="s">
        <v>258</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4" t="s">
        <v>278</v>
      </c>
      <c r="D27" s="8" t="s">
        <v>0</v>
      </c>
      <c r="E27" s="594" t="s">
        <v>280</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692</v>
      </c>
      <c r="F29" s="19" t="s">
        <v>693</v>
      </c>
      <c r="G29" s="42" t="s">
        <v>694</v>
      </c>
      <c r="H29" s="42"/>
      <c r="I29" s="42"/>
      <c r="J29" s="42"/>
      <c r="K29" s="42"/>
      <c r="L29" s="42"/>
      <c r="M29" s="42"/>
      <c r="N29" s="42"/>
      <c r="O29" s="42"/>
      <c r="P29" s="42"/>
      <c r="Q29" s="42"/>
      <c r="R29" s="42"/>
      <c r="S29" s="42"/>
      <c r="T29" s="42"/>
      <c r="U29" s="42"/>
    </row>
    <row r="30" customFormat="false" ht="15.75" hidden="false" customHeight="true" outlineLevel="0" collapsed="false">
      <c r="A30" s="61" t="s">
        <v>719</v>
      </c>
      <c r="B30" s="62"/>
      <c r="C30" s="595" t="s">
        <v>696</v>
      </c>
      <c r="D30" s="577"/>
      <c r="E30" s="578" t="n">
        <v>19</v>
      </c>
      <c r="F30" s="579" t="str">
        <f aca="false" t="array" ref="F30:F30">INDEX(C33:C51,E30,1)</f>
        <v>LoRa</v>
      </c>
      <c r="G30" s="42"/>
      <c r="H30" s="580" t="s">
        <v>697</v>
      </c>
      <c r="I30" s="42"/>
      <c r="J30" s="42"/>
      <c r="K30" s="42"/>
      <c r="L30" s="42"/>
      <c r="M30" s="42"/>
      <c r="N30" s="42"/>
      <c r="O30" s="42"/>
      <c r="P30" s="42"/>
      <c r="Q30" s="42"/>
      <c r="R30" s="42"/>
      <c r="S30" s="42"/>
      <c r="T30" s="42"/>
      <c r="U30" s="42"/>
    </row>
    <row r="31" customFormat="false" ht="12.75" hidden="false" customHeight="true" outlineLevel="0" collapsed="false">
      <c r="A31" s="91" t="s">
        <v>720</v>
      </c>
      <c r="B31" s="19"/>
      <c r="C31" s="19"/>
      <c r="D31" s="19"/>
      <c r="E31" s="19"/>
      <c r="F31" s="19"/>
      <c r="G31" s="42"/>
      <c r="H31" s="581" t="s">
        <v>699</v>
      </c>
      <c r="I31" s="42"/>
      <c r="J31" s="42"/>
      <c r="K31" s="42"/>
      <c r="L31" s="42"/>
      <c r="M31" s="42"/>
      <c r="N31" s="42"/>
      <c r="O31" s="42"/>
      <c r="P31" s="42"/>
      <c r="Q31" s="42"/>
      <c r="R31" s="42"/>
      <c r="S31" s="42"/>
      <c r="T31" s="42"/>
      <c r="U31" s="42"/>
    </row>
    <row r="32" customFormat="false" ht="15" hidden="false" customHeight="true" outlineLevel="0" collapsed="false">
      <c r="A32" s="42"/>
      <c r="B32" s="582" t="s">
        <v>308</v>
      </c>
      <c r="C32" s="582" t="s">
        <v>700</v>
      </c>
      <c r="D32" s="582" t="s">
        <v>701</v>
      </c>
      <c r="E32" s="582" t="s">
        <v>702</v>
      </c>
      <c r="F32" s="582" t="s">
        <v>703</v>
      </c>
      <c r="G32" s="42"/>
      <c r="H32" s="583" t="n">
        <f aca="false" t="array" ref="H32:H32">INDEX(F33:F51,E30,1)+E53</f>
        <v>5.3</v>
      </c>
      <c r="I32" s="42"/>
      <c r="J32" s="42"/>
      <c r="K32" s="42"/>
      <c r="L32" s="42"/>
      <c r="M32" s="42"/>
      <c r="N32" s="42"/>
      <c r="O32" s="42"/>
      <c r="P32" s="42"/>
      <c r="Q32" s="42"/>
      <c r="R32" s="42"/>
      <c r="S32" s="42"/>
      <c r="T32" s="42"/>
      <c r="U32" s="42"/>
    </row>
    <row r="33" customFormat="false" ht="15.75" hidden="false" customHeight="true" outlineLevel="0" collapsed="false">
      <c r="A33" s="42"/>
      <c r="B33" s="584" t="n">
        <v>1</v>
      </c>
      <c r="C33" s="585" t="s">
        <v>704</v>
      </c>
      <c r="D33" s="585" t="s">
        <v>705</v>
      </c>
      <c r="E33" s="586" t="n">
        <v>0.0001</v>
      </c>
      <c r="F33" s="587" t="n">
        <v>21</v>
      </c>
      <c r="G33" s="42"/>
      <c r="H33" s="588" t="s">
        <v>258</v>
      </c>
      <c r="I33" s="42"/>
      <c r="J33" s="42"/>
      <c r="K33" s="42"/>
      <c r="L33" s="42"/>
      <c r="M33" s="42"/>
      <c r="N33" s="42"/>
      <c r="O33" s="42"/>
      <c r="P33" s="42"/>
      <c r="Q33" s="42"/>
      <c r="R33" s="42"/>
      <c r="S33" s="42"/>
      <c r="T33" s="42"/>
      <c r="U33" s="42"/>
    </row>
    <row r="34" customFormat="false" ht="15" hidden="false" customHeight="true" outlineLevel="0" collapsed="false">
      <c r="A34" s="42"/>
      <c r="B34" s="584" t="n">
        <v>2</v>
      </c>
      <c r="C34" s="585" t="s">
        <v>704</v>
      </c>
      <c r="D34" s="585" t="s">
        <v>705</v>
      </c>
      <c r="E34" s="586" t="n">
        <v>1E-005</v>
      </c>
      <c r="F34" s="587"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4" t="n">
        <v>3</v>
      </c>
      <c r="C35" s="585" t="s">
        <v>706</v>
      </c>
      <c r="D35" s="585" t="s">
        <v>705</v>
      </c>
      <c r="E35" s="586" t="n">
        <v>0.0001</v>
      </c>
      <c r="F35" s="587"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4" t="n">
        <v>4</v>
      </c>
      <c r="C36" s="585" t="s">
        <v>706</v>
      </c>
      <c r="D36" s="585" t="s">
        <v>705</v>
      </c>
      <c r="E36" s="586" t="n">
        <v>1E-005</v>
      </c>
      <c r="F36" s="587"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4" t="n">
        <v>5</v>
      </c>
      <c r="C37" s="585" t="s">
        <v>707</v>
      </c>
      <c r="D37" s="585" t="s">
        <v>705</v>
      </c>
      <c r="E37" s="586" t="n">
        <v>0.0001</v>
      </c>
      <c r="F37" s="587"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4" t="n">
        <v>6</v>
      </c>
      <c r="C38" s="585" t="s">
        <v>707</v>
      </c>
      <c r="D38" s="585" t="s">
        <v>705</v>
      </c>
      <c r="E38" s="586" t="n">
        <v>1E-005</v>
      </c>
      <c r="F38" s="587"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4" t="n">
        <v>7</v>
      </c>
      <c r="C39" s="585" t="s">
        <v>708</v>
      </c>
      <c r="D39" s="585" t="s">
        <v>705</v>
      </c>
      <c r="E39" s="586" t="n">
        <v>0.0001</v>
      </c>
      <c r="F39" s="587"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4" t="n">
        <v>8</v>
      </c>
      <c r="C40" s="585" t="s">
        <v>708</v>
      </c>
      <c r="D40" s="585" t="s">
        <v>705</v>
      </c>
      <c r="E40" s="586" t="n">
        <v>1E-005</v>
      </c>
      <c r="F40" s="587"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4" t="n">
        <v>9</v>
      </c>
      <c r="C41" s="585" t="s">
        <v>709</v>
      </c>
      <c r="D41" s="585" t="s">
        <v>705</v>
      </c>
      <c r="E41" s="586" t="n">
        <v>0.0001</v>
      </c>
      <c r="F41" s="587"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4" t="n">
        <v>10</v>
      </c>
      <c r="C42" s="585" t="s">
        <v>709</v>
      </c>
      <c r="D42" s="585" t="s">
        <v>705</v>
      </c>
      <c r="E42" s="586" t="n">
        <v>1E-005</v>
      </c>
      <c r="F42" s="587"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4" t="n">
        <v>11</v>
      </c>
      <c r="C43" s="585" t="s">
        <v>710</v>
      </c>
      <c r="D43" s="585" t="s">
        <v>705</v>
      </c>
      <c r="E43" s="586" t="n">
        <v>1E-005</v>
      </c>
      <c r="F43" s="587"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4" t="n">
        <v>12</v>
      </c>
      <c r="C44" s="585" t="s">
        <v>710</v>
      </c>
      <c r="D44" s="585" t="s">
        <v>705</v>
      </c>
      <c r="E44" s="586" t="n">
        <v>1E-006</v>
      </c>
      <c r="F44" s="587"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4" t="n">
        <v>13</v>
      </c>
      <c r="C45" s="585" t="s">
        <v>711</v>
      </c>
      <c r="D45" s="585" t="s">
        <v>705</v>
      </c>
      <c r="E45" s="586" t="n">
        <v>1E-005</v>
      </c>
      <c r="F45" s="587"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4" t="n">
        <v>14</v>
      </c>
      <c r="C46" s="585" t="s">
        <v>711</v>
      </c>
      <c r="D46" s="585" t="s">
        <v>705</v>
      </c>
      <c r="E46" s="586" t="n">
        <v>1E-006</v>
      </c>
      <c r="F46" s="587"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4" t="n">
        <v>15</v>
      </c>
      <c r="C47" s="585" t="s">
        <v>710</v>
      </c>
      <c r="D47" s="585" t="s">
        <v>712</v>
      </c>
      <c r="E47" s="586" t="n">
        <v>1E-006</v>
      </c>
      <c r="F47" s="587"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4" t="n">
        <v>16</v>
      </c>
      <c r="C48" s="585" t="s">
        <v>710</v>
      </c>
      <c r="D48" s="585" t="s">
        <v>713</v>
      </c>
      <c r="E48" s="586" t="n">
        <v>1E-006</v>
      </c>
      <c r="F48" s="587"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4" t="n">
        <v>17</v>
      </c>
      <c r="C49" s="585" t="s">
        <v>710</v>
      </c>
      <c r="D49" s="585" t="s">
        <v>714</v>
      </c>
      <c r="E49" s="586" t="n">
        <v>1E-007</v>
      </c>
      <c r="F49" s="587"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4" t="n">
        <v>18</v>
      </c>
      <c r="C50" s="585" t="s">
        <v>710</v>
      </c>
      <c r="D50" s="585" t="s">
        <v>721</v>
      </c>
      <c r="E50" s="586" t="n">
        <v>1E-006</v>
      </c>
      <c r="F50" s="596"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4" t="n">
        <v>19</v>
      </c>
      <c r="C51" s="589" t="s">
        <v>715</v>
      </c>
      <c r="D51" s="589" t="s">
        <v>716</v>
      </c>
      <c r="E51" s="597" t="n">
        <v>0.0001</v>
      </c>
      <c r="F51" s="590" t="n">
        <v>4.3</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5" t="s">
        <v>717</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1" t="s">
        <v>718</v>
      </c>
      <c r="E53" s="592" t="n">
        <v>1</v>
      </c>
      <c r="F53" s="593" t="s">
        <v>258</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60</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E41" activeCellId="0" sqref="E41"/>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8" t="str">
        <f aca="false">'Title Page'!F3</f>
        <v>Coconut Cubesat</v>
      </c>
      <c r="B1" s="23" t="s">
        <v>60</v>
      </c>
      <c r="C1" s="16"/>
      <c r="D1" s="599" t="str">
        <f aca="false">'Title Page'!F3</f>
        <v>Coconut Cubesat</v>
      </c>
      <c r="E1" s="600" t="s">
        <v>0</v>
      </c>
      <c r="F1" s="600" t="s">
        <v>32</v>
      </c>
      <c r="G1" s="600"/>
      <c r="H1" s="600"/>
      <c r="I1" s="16"/>
      <c r="J1" s="16"/>
      <c r="K1" s="16"/>
      <c r="L1" s="16"/>
      <c r="M1" s="16"/>
      <c r="N1" s="16"/>
      <c r="O1" s="16"/>
      <c r="P1" s="16"/>
      <c r="Q1" s="16"/>
      <c r="R1" s="16"/>
    </row>
    <row r="2" customFormat="false" ht="18" hidden="false" customHeight="true" outlineLevel="0" collapsed="false">
      <c r="A2" s="12" t="s">
        <v>722</v>
      </c>
      <c r="B2" s="16"/>
      <c r="C2" s="16"/>
      <c r="D2" s="600" t="str">
        <f aca="false">'Title Page'!G1</f>
        <v> Version: 2.5.5</v>
      </c>
      <c r="E2" s="600"/>
      <c r="F2" s="601" t="str">
        <f aca="false">'Title Page'!F23</f>
        <v>2025 June 08</v>
      </c>
      <c r="G2" s="600"/>
      <c r="H2" s="600"/>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2" t="s">
        <v>206</v>
      </c>
      <c r="B4" s="602" t="s">
        <v>207</v>
      </c>
      <c r="C4" s="602" t="s">
        <v>723</v>
      </c>
      <c r="D4" s="602" t="s">
        <v>724</v>
      </c>
      <c r="E4" s="498"/>
      <c r="F4" s="498"/>
      <c r="G4" s="498"/>
      <c r="H4" s="498"/>
      <c r="I4" s="498"/>
      <c r="J4" s="498"/>
      <c r="K4" s="498"/>
      <c r="L4" s="498"/>
      <c r="M4" s="498"/>
      <c r="N4" s="498"/>
      <c r="O4" s="498"/>
      <c r="P4" s="498"/>
      <c r="Q4" s="498"/>
      <c r="R4" s="498"/>
    </row>
    <row r="5" customFormat="false" ht="12" hidden="false" customHeight="true" outlineLevel="0" collapsed="false">
      <c r="A5" s="603" t="s">
        <v>725</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0" t="s">
        <v>726</v>
      </c>
      <c r="B6" s="474" t="n">
        <f aca="false">Transmitters!E16</f>
        <v>0.2</v>
      </c>
      <c r="C6" s="390" t="s">
        <v>727</v>
      </c>
      <c r="D6" s="49" t="s">
        <v>728</v>
      </c>
      <c r="E6" s="49"/>
      <c r="F6" s="49"/>
      <c r="G6" s="49"/>
      <c r="H6" s="49"/>
      <c r="I6" s="49"/>
      <c r="J6" s="604" t="s">
        <v>729</v>
      </c>
      <c r="K6" s="556"/>
      <c r="L6" s="545"/>
      <c r="M6" s="390"/>
      <c r="N6" s="390"/>
      <c r="O6" s="390"/>
      <c r="P6" s="390"/>
      <c r="Q6" s="390"/>
      <c r="R6" s="390"/>
    </row>
    <row r="7" customFormat="false" ht="12" hidden="false" customHeight="true" outlineLevel="0" collapsed="false">
      <c r="A7" s="520" t="s">
        <v>730</v>
      </c>
      <c r="B7" s="555" t="n">
        <f aca="false">10*LOG10(B6)</f>
        <v>-6.98970004336019</v>
      </c>
      <c r="C7" s="390" t="s">
        <v>355</v>
      </c>
      <c r="D7" s="49" t="s">
        <v>731</v>
      </c>
      <c r="E7" s="49"/>
      <c r="F7" s="49"/>
      <c r="G7" s="49"/>
      <c r="H7" s="49"/>
      <c r="I7" s="49"/>
      <c r="J7" s="390"/>
      <c r="K7" s="390"/>
      <c r="L7" s="390"/>
      <c r="M7" s="390"/>
      <c r="N7" s="390"/>
      <c r="O7" s="390"/>
      <c r="P7" s="390"/>
      <c r="Q7" s="390"/>
      <c r="R7" s="390"/>
    </row>
    <row r="8" customFormat="false" ht="12" hidden="false" customHeight="true" outlineLevel="0" collapsed="false">
      <c r="A8" s="520" t="s">
        <v>732</v>
      </c>
      <c r="B8" s="297" t="n">
        <f aca="false">B7+30</f>
        <v>23.0102999566398</v>
      </c>
      <c r="C8" s="390" t="s">
        <v>333</v>
      </c>
      <c r="D8" s="49" t="s">
        <v>733</v>
      </c>
      <c r="E8" s="49"/>
      <c r="F8" s="49"/>
      <c r="G8" s="49"/>
      <c r="H8" s="49"/>
      <c r="I8" s="49"/>
      <c r="J8" s="390"/>
      <c r="K8" s="390"/>
      <c r="L8" s="390"/>
      <c r="M8" s="390"/>
      <c r="N8" s="390"/>
      <c r="O8" s="390"/>
      <c r="P8" s="390"/>
      <c r="Q8" s="390"/>
      <c r="R8" s="390"/>
    </row>
    <row r="9" customFormat="false" ht="12" hidden="false" customHeight="true" outlineLevel="0" collapsed="false">
      <c r="A9" s="390" t="s">
        <v>734</v>
      </c>
      <c r="B9" s="474" t="n">
        <f aca="false">Transmitters!I35</f>
        <v>1.3495</v>
      </c>
      <c r="C9" s="390" t="s">
        <v>258</v>
      </c>
      <c r="D9" s="49" t="s">
        <v>735</v>
      </c>
      <c r="E9" s="49"/>
      <c r="F9" s="49"/>
      <c r="G9" s="49"/>
      <c r="H9" s="49"/>
      <c r="I9" s="49"/>
      <c r="J9" s="390"/>
      <c r="K9" s="390"/>
      <c r="L9" s="390"/>
      <c r="M9" s="390"/>
      <c r="N9" s="390"/>
      <c r="O9" s="390"/>
      <c r="P9" s="390"/>
      <c r="Q9" s="390"/>
      <c r="R9" s="390"/>
    </row>
    <row r="10" customFormat="false" ht="12" hidden="false" customHeight="true" outlineLevel="0" collapsed="false">
      <c r="A10" s="390" t="s">
        <v>736</v>
      </c>
      <c r="B10" s="474" t="n">
        <f aca="false" t="array" ref="B10:B10">INDEX('Antenna Gain'!N13:N16,'Antenna Gain'!E11,1)</f>
        <v>2</v>
      </c>
      <c r="C10" s="390" t="s">
        <v>512</v>
      </c>
      <c r="D10" s="49" t="s">
        <v>737</v>
      </c>
      <c r="E10" s="49"/>
      <c r="F10" s="49"/>
      <c r="G10" s="49"/>
      <c r="H10" s="49"/>
      <c r="I10" s="49"/>
      <c r="J10" s="390"/>
      <c r="K10" s="390"/>
      <c r="L10" s="390"/>
      <c r="M10" s="390"/>
      <c r="N10" s="390"/>
      <c r="O10" s="390"/>
      <c r="P10" s="390"/>
      <c r="Q10" s="390"/>
      <c r="R10" s="390"/>
    </row>
    <row r="11" customFormat="false" ht="12" hidden="false" customHeight="true" outlineLevel="0" collapsed="false">
      <c r="A11" s="390" t="s">
        <v>738</v>
      </c>
      <c r="B11" s="605" t="n">
        <f aca="false">B7-B9+B10</f>
        <v>-6.33920004336019</v>
      </c>
      <c r="C11" s="390" t="s">
        <v>355</v>
      </c>
      <c r="D11" s="49" t="s">
        <v>739</v>
      </c>
      <c r="E11" s="49"/>
      <c r="F11" s="49"/>
      <c r="G11" s="49"/>
      <c r="H11" s="49"/>
      <c r="I11" s="49"/>
      <c r="J11" s="390"/>
      <c r="K11" s="390"/>
      <c r="L11" s="390"/>
      <c r="M11" s="390"/>
      <c r="N11" s="390"/>
      <c r="O11" s="390"/>
      <c r="P11" s="390"/>
      <c r="Q11" s="390"/>
      <c r="R11" s="390"/>
    </row>
    <row r="12" customFormat="false" ht="12" hidden="false" customHeight="true" outlineLevel="0" collapsed="false">
      <c r="A12" s="603" t="s">
        <v>740</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0" t="s">
        <v>741</v>
      </c>
      <c r="B13" s="474" t="n">
        <f aca="false">'Antenna Pointing Losses'!K43</f>
        <v>0.00257140920303451</v>
      </c>
      <c r="C13" s="390" t="s">
        <v>258</v>
      </c>
      <c r="D13" s="49" t="s">
        <v>742</v>
      </c>
      <c r="E13" s="49"/>
      <c r="F13" s="49"/>
      <c r="G13" s="49"/>
      <c r="H13" s="49"/>
      <c r="I13" s="49"/>
      <c r="J13" s="390"/>
      <c r="K13" s="390"/>
      <c r="L13" s="390"/>
      <c r="M13" s="390"/>
      <c r="N13" s="390"/>
      <c r="O13" s="390"/>
      <c r="P13" s="390"/>
      <c r="Q13" s="390"/>
      <c r="R13" s="390"/>
    </row>
    <row r="14" customFormat="false" ht="12" hidden="false" customHeight="true" outlineLevel="0" collapsed="false">
      <c r="A14" s="390" t="s">
        <v>743</v>
      </c>
      <c r="B14" s="474" t="n">
        <f aca="false">'Antenna Polarization Loss'!F40</f>
        <v>2.74422228927224</v>
      </c>
      <c r="C14" s="390" t="s">
        <v>258</v>
      </c>
      <c r="D14" s="49" t="s">
        <v>744</v>
      </c>
      <c r="E14" s="49"/>
      <c r="F14" s="49"/>
      <c r="G14" s="49"/>
      <c r="H14" s="49"/>
      <c r="I14" s="49"/>
      <c r="J14" s="390"/>
      <c r="K14" s="390"/>
      <c r="L14" s="390"/>
      <c r="M14" s="390"/>
      <c r="N14" s="390"/>
      <c r="O14" s="390"/>
      <c r="P14" s="390"/>
      <c r="Q14" s="390"/>
      <c r="R14" s="390"/>
    </row>
    <row r="15" customFormat="false" ht="12" hidden="false" customHeight="true" outlineLevel="0" collapsed="false">
      <c r="A15" s="390" t="s">
        <v>311</v>
      </c>
      <c r="B15" s="474" t="n">
        <f aca="false">Frequency!M12</f>
        <v>147.032064728619</v>
      </c>
      <c r="C15" s="390" t="s">
        <v>258</v>
      </c>
      <c r="D15" s="49" t="s">
        <v>745</v>
      </c>
      <c r="E15" s="49"/>
      <c r="F15" s="49"/>
      <c r="G15" s="49"/>
      <c r="H15" s="49"/>
      <c r="I15" s="49"/>
      <c r="J15" s="390"/>
      <c r="K15" s="390"/>
      <c r="L15" s="390"/>
      <c r="M15" s="390"/>
      <c r="N15" s="390"/>
      <c r="O15" s="390"/>
      <c r="P15" s="390"/>
      <c r="Q15" s="390"/>
      <c r="R15" s="390"/>
    </row>
    <row r="16" customFormat="false" ht="12" hidden="false" customHeight="true" outlineLevel="0" collapsed="false">
      <c r="A16" s="390" t="s">
        <v>746</v>
      </c>
      <c r="B16" s="474" t="n">
        <f aca="false">'Atmos. &amp; Ionos. Losses'!D23</f>
        <v>1.1</v>
      </c>
      <c r="C16" s="390" t="s">
        <v>258</v>
      </c>
      <c r="D16" s="49" t="s">
        <v>747</v>
      </c>
      <c r="E16" s="49"/>
      <c r="F16" s="49"/>
      <c r="G16" s="49"/>
      <c r="H16" s="49"/>
      <c r="I16" s="49"/>
      <c r="J16" s="390"/>
      <c r="K16" s="390"/>
      <c r="L16" s="390"/>
      <c r="M16" s="390"/>
      <c r="N16" s="390"/>
      <c r="O16" s="390"/>
      <c r="P16" s="390"/>
      <c r="Q16" s="390"/>
      <c r="R16" s="390"/>
    </row>
    <row r="17" customFormat="false" ht="12" hidden="false" customHeight="true" outlineLevel="0" collapsed="false">
      <c r="A17" s="390" t="s">
        <v>748</v>
      </c>
      <c r="B17" s="474" t="n">
        <f aca="false" t="array" ref="B17:B17">INDEX('Atmos. &amp; Ionos. Losses'!D32:D35,Frequency!L10,1)</f>
        <v>0.4</v>
      </c>
      <c r="C17" s="390" t="s">
        <v>258</v>
      </c>
      <c r="D17" s="49" t="s">
        <v>749</v>
      </c>
      <c r="E17" s="49"/>
      <c r="F17" s="49"/>
      <c r="G17" s="49"/>
      <c r="H17" s="49"/>
      <c r="I17" s="49"/>
      <c r="J17" s="390"/>
      <c r="K17" s="390"/>
      <c r="L17" s="390"/>
      <c r="M17" s="390"/>
      <c r="N17" s="390"/>
      <c r="O17" s="390"/>
      <c r="P17" s="390"/>
      <c r="Q17" s="390"/>
      <c r="R17" s="390"/>
    </row>
    <row r="18" customFormat="false" ht="12" hidden="false" customHeight="true" outlineLevel="0" collapsed="false">
      <c r="A18" s="390" t="s">
        <v>750</v>
      </c>
      <c r="B18" s="606" t="n">
        <v>0</v>
      </c>
      <c r="C18" s="390" t="s">
        <v>258</v>
      </c>
      <c r="D18" s="49" t="s">
        <v>751</v>
      </c>
      <c r="E18" s="49"/>
      <c r="F18" s="49"/>
      <c r="G18" s="49"/>
      <c r="H18" s="49"/>
      <c r="I18" s="49"/>
      <c r="J18" s="390"/>
      <c r="K18" s="390"/>
      <c r="L18" s="390"/>
      <c r="M18" s="390"/>
      <c r="N18" s="390"/>
      <c r="O18" s="390"/>
      <c r="P18" s="390"/>
      <c r="Q18" s="390"/>
      <c r="R18" s="390"/>
    </row>
    <row r="19" customFormat="false" ht="12" hidden="false" customHeight="true" outlineLevel="0" collapsed="false">
      <c r="A19" s="390" t="s">
        <v>752</v>
      </c>
      <c r="B19" s="605" t="n">
        <f aca="false">B11-SUM(B13:B18)</f>
        <v>-157.618058470454</v>
      </c>
      <c r="C19" s="390" t="s">
        <v>355</v>
      </c>
      <c r="D19" s="49" t="s">
        <v>753</v>
      </c>
      <c r="E19" s="49"/>
      <c r="F19" s="49"/>
      <c r="G19" s="49"/>
      <c r="H19" s="49"/>
      <c r="I19" s="49"/>
      <c r="J19" s="390"/>
      <c r="K19" s="390"/>
      <c r="L19" s="390"/>
      <c r="M19" s="390"/>
      <c r="N19" s="390"/>
      <c r="O19" s="390"/>
      <c r="P19" s="390"/>
      <c r="Q19" s="390"/>
      <c r="R19" s="390"/>
    </row>
    <row r="20" customFormat="false" ht="12" hidden="false" customHeight="true" outlineLevel="0" collapsed="false">
      <c r="A20" s="603" t="s">
        <v>754</v>
      </c>
      <c r="B20" s="112"/>
      <c r="C20" s="112"/>
      <c r="D20" s="112"/>
      <c r="E20" s="112"/>
      <c r="F20" s="112"/>
      <c r="G20" s="112"/>
      <c r="H20" s="112"/>
      <c r="I20" s="112"/>
      <c r="J20" s="607"/>
      <c r="K20" s="608"/>
      <c r="L20" s="608"/>
      <c r="M20" s="608"/>
      <c r="N20" s="609"/>
      <c r="O20" s="530"/>
      <c r="P20" s="530"/>
      <c r="Q20" s="530"/>
      <c r="R20" s="112"/>
    </row>
    <row r="21" customFormat="false" ht="12" hidden="false" customHeight="true" outlineLevel="1" collapsed="false">
      <c r="A21" s="603" t="s">
        <v>755</v>
      </c>
      <c r="B21" s="112"/>
      <c r="C21" s="112"/>
      <c r="D21" s="112"/>
      <c r="E21" s="112"/>
      <c r="F21" s="112"/>
      <c r="G21" s="112"/>
      <c r="H21" s="112"/>
      <c r="I21" s="112"/>
      <c r="J21" s="607"/>
      <c r="K21" s="608"/>
      <c r="L21" s="608"/>
      <c r="M21" s="608"/>
      <c r="N21" s="609"/>
      <c r="O21" s="530"/>
      <c r="P21" s="530"/>
      <c r="Q21" s="530"/>
      <c r="R21" s="112"/>
    </row>
    <row r="22" customFormat="false" ht="12" hidden="false" customHeight="true" outlineLevel="1" collapsed="false">
      <c r="A22" s="476" t="s">
        <v>756</v>
      </c>
      <c r="B22" s="474" t="n">
        <f aca="false">'Antenna Pointing Losses'!K63</f>
        <v>0</v>
      </c>
      <c r="C22" s="390" t="s">
        <v>258</v>
      </c>
      <c r="D22" s="49" t="s">
        <v>757</v>
      </c>
      <c r="E22" s="49"/>
      <c r="F22" s="49"/>
      <c r="G22" s="49"/>
      <c r="H22" s="49"/>
      <c r="I22" s="49"/>
      <c r="J22" s="390"/>
      <c r="K22" s="474"/>
      <c r="L22" s="390"/>
      <c r="M22" s="390"/>
      <c r="N22" s="390"/>
      <c r="O22" s="390"/>
      <c r="P22" s="390"/>
      <c r="Q22" s="390"/>
      <c r="R22" s="390"/>
    </row>
    <row r="23" customFormat="false" ht="12" hidden="false" customHeight="true" outlineLevel="1" collapsed="false">
      <c r="A23" s="390" t="s">
        <v>758</v>
      </c>
      <c r="B23" s="474" t="n">
        <f aca="false" t="array" ref="B23:B23">INDEX('Antenna Gain'!H26:H32,'Antenna Gain'!E24,1)</f>
        <v>0</v>
      </c>
      <c r="C23" s="390" t="s">
        <v>512</v>
      </c>
      <c r="D23" s="49" t="s">
        <v>759</v>
      </c>
      <c r="E23" s="49"/>
      <c r="F23" s="49"/>
      <c r="G23" s="49"/>
      <c r="H23" s="49"/>
      <c r="I23" s="49"/>
      <c r="J23" s="390"/>
      <c r="K23" s="474"/>
      <c r="L23" s="390"/>
      <c r="M23" s="390"/>
      <c r="N23" s="390"/>
      <c r="O23" s="390"/>
      <c r="P23" s="390"/>
      <c r="Q23" s="390"/>
      <c r="R23" s="390"/>
    </row>
    <row r="24" customFormat="false" ht="12" hidden="false" customHeight="true" outlineLevel="1" collapsed="false">
      <c r="A24" s="390" t="s">
        <v>760</v>
      </c>
      <c r="B24" s="474" t="n">
        <f aca="false">Receivers!J53</f>
        <v>2.299</v>
      </c>
      <c r="C24" s="390" t="s">
        <v>258</v>
      </c>
      <c r="D24" s="49" t="s">
        <v>761</v>
      </c>
      <c r="E24" s="49"/>
      <c r="F24" s="49"/>
      <c r="G24" s="49"/>
      <c r="H24" s="49"/>
      <c r="I24" s="49"/>
      <c r="J24" s="390"/>
      <c r="K24" s="390"/>
      <c r="L24" s="390"/>
      <c r="M24" s="390"/>
      <c r="N24" s="390"/>
      <c r="O24" s="390"/>
      <c r="P24" s="390"/>
      <c r="Q24" s="390"/>
      <c r="R24" s="390"/>
    </row>
    <row r="25" customFormat="false" ht="12" hidden="false" customHeight="true" outlineLevel="1" collapsed="false">
      <c r="A25" s="390" t="s">
        <v>762</v>
      </c>
      <c r="B25" s="610" t="n">
        <f aca="false">Receivers!J68</f>
        <v>1027.57497006715</v>
      </c>
      <c r="C25" s="390" t="s">
        <v>411</v>
      </c>
      <c r="D25" s="49" t="s">
        <v>763</v>
      </c>
      <c r="E25" s="49"/>
      <c r="F25" s="49"/>
      <c r="G25" s="49"/>
      <c r="H25" s="49"/>
      <c r="I25" s="49"/>
      <c r="J25" s="390"/>
      <c r="K25" s="610"/>
      <c r="L25" s="390"/>
      <c r="M25" s="390"/>
      <c r="N25" s="390"/>
      <c r="O25" s="390"/>
      <c r="P25" s="390"/>
      <c r="Q25" s="390"/>
      <c r="R25" s="390"/>
    </row>
    <row r="26" customFormat="false" ht="12" hidden="false" customHeight="true" outlineLevel="1" collapsed="false">
      <c r="A26" s="390" t="s">
        <v>764</v>
      </c>
      <c r="B26" s="474" t="n">
        <f aca="false">B23-B24-10*LOG10(B25)</f>
        <v>-32.4171351706754</v>
      </c>
      <c r="C26" s="390" t="s">
        <v>765</v>
      </c>
      <c r="D26" s="49" t="s">
        <v>766</v>
      </c>
      <c r="E26" s="49"/>
      <c r="F26" s="49"/>
      <c r="G26" s="49"/>
      <c r="H26" s="49"/>
      <c r="I26" s="49"/>
      <c r="J26" s="390"/>
      <c r="K26" s="474"/>
      <c r="L26" s="390"/>
      <c r="M26" s="390"/>
      <c r="N26" s="390"/>
      <c r="O26" s="390"/>
      <c r="P26" s="390"/>
      <c r="Q26" s="390"/>
      <c r="R26" s="390"/>
    </row>
    <row r="27" customFormat="false" ht="12" hidden="false" customHeight="true" outlineLevel="1" collapsed="false">
      <c r="A27" s="390" t="s">
        <v>767</v>
      </c>
      <c r="B27" s="611" t="n">
        <f aca="false">B19-B22-F27+B26</f>
        <v>38.5648063588705</v>
      </c>
      <c r="C27" s="390" t="s">
        <v>768</v>
      </c>
      <c r="D27" s="612" t="s">
        <v>769</v>
      </c>
      <c r="E27" s="613"/>
      <c r="F27" s="613" t="n">
        <v>-228.6</v>
      </c>
      <c r="G27" s="614" t="s">
        <v>770</v>
      </c>
      <c r="H27" s="49"/>
      <c r="I27" s="49"/>
      <c r="J27" s="390"/>
      <c r="K27" s="474"/>
      <c r="L27" s="390"/>
      <c r="M27" s="390"/>
      <c r="N27" s="390"/>
      <c r="O27" s="390"/>
      <c r="P27" s="390"/>
      <c r="Q27" s="390"/>
      <c r="R27" s="390"/>
    </row>
    <row r="28" customFormat="false" ht="12" hidden="false" customHeight="true" outlineLevel="1" collapsed="false">
      <c r="A28" s="390" t="s">
        <v>771</v>
      </c>
      <c r="B28" s="615" t="n">
        <v>1171.8</v>
      </c>
      <c r="C28" s="390" t="s">
        <v>772</v>
      </c>
      <c r="D28" s="49" t="s">
        <v>773</v>
      </c>
      <c r="E28" s="49"/>
      <c r="F28" s="49"/>
      <c r="G28" s="49"/>
      <c r="H28" s="49"/>
      <c r="I28" s="49"/>
      <c r="J28" s="390"/>
      <c r="K28" s="616"/>
      <c r="L28" s="390"/>
      <c r="M28" s="390"/>
      <c r="N28" s="390"/>
      <c r="O28" s="390"/>
      <c r="P28" s="390"/>
      <c r="Q28" s="390"/>
      <c r="R28" s="390"/>
    </row>
    <row r="29" customFormat="false" ht="12" hidden="false" customHeight="true" outlineLevel="1" collapsed="false">
      <c r="A29" s="520" t="s">
        <v>774</v>
      </c>
      <c r="B29" s="617" t="n">
        <f aca="false">10*LOG10(B28)</f>
        <v>30.688534936715</v>
      </c>
      <c r="C29" s="390" t="s">
        <v>768</v>
      </c>
      <c r="D29" s="49" t="s">
        <v>775</v>
      </c>
      <c r="E29" s="49"/>
      <c r="F29" s="49"/>
      <c r="G29" s="49"/>
      <c r="H29" s="49"/>
      <c r="I29" s="49"/>
      <c r="J29" s="390"/>
      <c r="K29" s="474"/>
      <c r="L29" s="390"/>
      <c r="M29" s="390"/>
      <c r="N29" s="390"/>
      <c r="O29" s="390"/>
      <c r="P29" s="390"/>
      <c r="Q29" s="390"/>
      <c r="R29" s="390"/>
    </row>
    <row r="30" customFormat="false" ht="12" hidden="false" customHeight="true" outlineLevel="1" collapsed="false">
      <c r="A30" s="390" t="s">
        <v>776</v>
      </c>
      <c r="B30" s="611" t="n">
        <f aca="false">B27-B29</f>
        <v>7.87627142215548</v>
      </c>
      <c r="C30" s="390" t="s">
        <v>258</v>
      </c>
      <c r="D30" s="49" t="s">
        <v>0</v>
      </c>
      <c r="E30" s="49"/>
      <c r="F30" s="49"/>
      <c r="G30" s="49"/>
      <c r="H30" s="49"/>
      <c r="I30" s="49"/>
      <c r="J30" s="390"/>
      <c r="K30" s="474"/>
      <c r="L30" s="390"/>
      <c r="M30" s="390"/>
      <c r="N30" s="390"/>
      <c r="O30" s="390"/>
      <c r="P30" s="390"/>
      <c r="Q30" s="390"/>
      <c r="R30" s="390"/>
    </row>
    <row r="31" customFormat="false" ht="12" hidden="false" customHeight="true" outlineLevel="1" collapsed="false">
      <c r="A31" s="390"/>
      <c r="B31" s="618"/>
      <c r="C31" s="390"/>
      <c r="D31" s="49"/>
      <c r="E31" s="49"/>
      <c r="F31" s="49"/>
      <c r="G31" s="49"/>
      <c r="H31" s="49"/>
      <c r="I31" s="49"/>
      <c r="J31" s="390"/>
      <c r="K31" s="474"/>
      <c r="L31" s="390"/>
      <c r="M31" s="390"/>
      <c r="N31" s="390"/>
      <c r="O31" s="390"/>
      <c r="P31" s="390"/>
      <c r="Q31" s="390"/>
      <c r="R31" s="390"/>
    </row>
    <row r="32" customFormat="false" ht="12" hidden="false" customHeight="true" outlineLevel="1" collapsed="false">
      <c r="A32" s="390" t="s">
        <v>777</v>
      </c>
      <c r="B32" s="619" t="str">
        <f aca="false" t="array" ref="B32:B32">INDEX('Modulation-Demodulation Method'!C6:C23,'Modulation-Demodulation Method'!E3,1)</f>
        <v>LoRa</v>
      </c>
      <c r="C32" s="425" t="s">
        <v>0</v>
      </c>
      <c r="D32" s="49" t="s">
        <v>778</v>
      </c>
      <c r="E32" s="49"/>
      <c r="F32" s="49"/>
      <c r="G32" s="49"/>
      <c r="H32" s="49"/>
      <c r="I32" s="49"/>
      <c r="J32" s="390"/>
      <c r="K32" s="474"/>
      <c r="L32" s="390"/>
      <c r="M32" s="390"/>
      <c r="N32" s="390"/>
      <c r="O32" s="390"/>
      <c r="P32" s="390"/>
      <c r="Q32" s="390"/>
      <c r="R32" s="390"/>
    </row>
    <row r="33" customFormat="false" ht="12" hidden="false" customHeight="true" outlineLevel="1" collapsed="false">
      <c r="A33" s="390" t="s">
        <v>779</v>
      </c>
      <c r="B33" s="620" t="str">
        <f aca="false" t="array" ref="B33:B33">INDEX('Modulation-Demodulation Method'!D6:D23,'Modulation-Demodulation Method'!E3,1)</f>
        <v>Spread Spectrum (SF 12, 500 kHz, CR 4:5)</v>
      </c>
      <c r="C33" s="621"/>
      <c r="D33" s="333" t="s">
        <v>780</v>
      </c>
      <c r="E33" s="49"/>
      <c r="F33" s="49"/>
      <c r="G33" s="49"/>
      <c r="H33" s="49"/>
      <c r="I33" s="49"/>
      <c r="J33" s="390"/>
      <c r="K33" s="474"/>
      <c r="L33" s="390"/>
      <c r="M33" s="390"/>
      <c r="N33" s="390"/>
      <c r="O33" s="390"/>
      <c r="P33" s="390"/>
      <c r="Q33" s="390"/>
      <c r="R33" s="390"/>
    </row>
    <row r="34" customFormat="false" ht="12" hidden="false" customHeight="true" outlineLevel="1" collapsed="false">
      <c r="A34" s="390"/>
      <c r="B34" s="618"/>
      <c r="C34" s="390"/>
      <c r="D34" s="49"/>
      <c r="E34" s="49"/>
      <c r="F34" s="49"/>
      <c r="G34" s="49"/>
      <c r="H34" s="49"/>
      <c r="I34" s="49"/>
      <c r="J34" s="390"/>
      <c r="K34" s="474"/>
      <c r="L34" s="390"/>
      <c r="M34" s="390"/>
      <c r="N34" s="390"/>
      <c r="O34" s="390"/>
      <c r="P34" s="390"/>
      <c r="Q34" s="390"/>
      <c r="R34" s="390"/>
    </row>
    <row r="35" customFormat="false" ht="12" hidden="false" customHeight="true" outlineLevel="1" collapsed="false">
      <c r="A35" s="390" t="s">
        <v>781</v>
      </c>
      <c r="B35" s="622" t="n">
        <f aca="false" t="array" ref="B35:B35">INDEX('Modulation-Demodulation Method'!E6:E23,'Modulation-Demodulation Method'!E3,1)</f>
        <v>0.0001</v>
      </c>
      <c r="C35" s="425"/>
      <c r="D35" s="333" t="s">
        <v>782</v>
      </c>
      <c r="E35" s="49"/>
      <c r="F35" s="49"/>
      <c r="G35" s="49"/>
      <c r="H35" s="49"/>
      <c r="I35" s="49"/>
      <c r="J35" s="390"/>
      <c r="K35" s="390"/>
      <c r="L35" s="390"/>
      <c r="M35" s="390"/>
      <c r="N35" s="390"/>
      <c r="O35" s="390"/>
      <c r="P35" s="390"/>
      <c r="Q35" s="390"/>
      <c r="R35" s="390"/>
    </row>
    <row r="36" customFormat="false" ht="12" hidden="false" customHeight="true" outlineLevel="1" collapsed="false">
      <c r="A36" s="390"/>
      <c r="B36" s="623"/>
      <c r="C36" s="425"/>
      <c r="D36" s="333"/>
      <c r="E36" s="49"/>
      <c r="F36" s="49"/>
      <c r="G36" s="49"/>
      <c r="H36" s="49"/>
      <c r="I36" s="49"/>
      <c r="J36" s="390"/>
      <c r="K36" s="390"/>
      <c r="L36" s="390"/>
      <c r="M36" s="390"/>
      <c r="N36" s="390"/>
      <c r="O36" s="390"/>
      <c r="P36" s="390"/>
      <c r="Q36" s="390"/>
      <c r="R36" s="390"/>
    </row>
    <row r="37" customFormat="false" ht="12" hidden="false" customHeight="true" outlineLevel="1" collapsed="false">
      <c r="A37" s="390" t="s">
        <v>783</v>
      </c>
      <c r="B37" s="617" t="n">
        <f aca="false">'Modulation-Demodulation Method'!E25</f>
        <v>1</v>
      </c>
      <c r="C37" s="390" t="s">
        <v>258</v>
      </c>
      <c r="D37" s="49" t="s">
        <v>784</v>
      </c>
      <c r="E37" s="49"/>
      <c r="F37" s="49"/>
      <c r="G37" s="49"/>
      <c r="H37" s="49"/>
      <c r="I37" s="49"/>
      <c r="J37" s="390"/>
      <c r="K37" s="390"/>
      <c r="L37" s="390"/>
      <c r="M37" s="390"/>
      <c r="N37" s="390"/>
      <c r="O37" s="390"/>
      <c r="P37" s="390"/>
      <c r="Q37" s="390"/>
      <c r="R37" s="390"/>
    </row>
    <row r="38" customFormat="false" ht="12" hidden="false" customHeight="true" outlineLevel="1" collapsed="false">
      <c r="A38" s="390"/>
      <c r="B38" s="617"/>
      <c r="C38" s="390"/>
      <c r="D38" s="49"/>
      <c r="E38" s="49"/>
      <c r="F38" s="49"/>
      <c r="G38" s="49"/>
      <c r="H38" s="49"/>
      <c r="I38" s="49"/>
      <c r="J38" s="390"/>
      <c r="K38" s="390"/>
      <c r="L38" s="390"/>
      <c r="M38" s="390"/>
      <c r="N38" s="390"/>
      <c r="O38" s="390"/>
      <c r="P38" s="390"/>
      <c r="Q38" s="390"/>
      <c r="R38" s="390"/>
    </row>
    <row r="39" customFormat="false" ht="12" hidden="false" customHeight="true" outlineLevel="1" collapsed="false">
      <c r="A39" s="390" t="s">
        <v>785</v>
      </c>
      <c r="B39" s="617" t="n">
        <f aca="false" t="array" ref="B39:B39">INDEX('Modulation-Demodulation Method'!F6:F23,'Modulation-Demodulation Method'!E3,1)</f>
        <v>4.3</v>
      </c>
      <c r="C39" s="390" t="s">
        <v>258</v>
      </c>
      <c r="D39" s="49" t="s">
        <v>786</v>
      </c>
      <c r="E39" s="49"/>
      <c r="F39" s="49"/>
      <c r="G39" s="49"/>
      <c r="H39" s="49"/>
      <c r="I39" s="49"/>
      <c r="J39" s="390"/>
      <c r="K39" s="474"/>
      <c r="L39" s="390"/>
      <c r="M39" s="390"/>
      <c r="N39" s="390"/>
      <c r="O39" s="390"/>
      <c r="P39" s="390"/>
      <c r="Q39" s="390"/>
      <c r="R39" s="390"/>
    </row>
    <row r="40" customFormat="false" ht="12" hidden="false" customHeight="true" outlineLevel="1" collapsed="false">
      <c r="A40" s="390"/>
      <c r="B40" s="425"/>
      <c r="C40" s="390"/>
      <c r="D40" s="49"/>
      <c r="E40" s="49"/>
      <c r="F40" s="49"/>
      <c r="G40" s="49"/>
      <c r="H40" s="49"/>
      <c r="I40" s="49"/>
      <c r="J40" s="390"/>
      <c r="K40" s="474"/>
      <c r="L40" s="390"/>
      <c r="M40" s="390"/>
      <c r="N40" s="390"/>
      <c r="O40" s="390"/>
      <c r="P40" s="390"/>
      <c r="Q40" s="390"/>
      <c r="R40" s="390"/>
    </row>
    <row r="41" customFormat="false" ht="12" hidden="false" customHeight="true" outlineLevel="1" collapsed="false">
      <c r="A41" s="390" t="s">
        <v>787</v>
      </c>
      <c r="B41" s="611" t="n">
        <f aca="false">'Modulation-Demodulation Method'!H5</f>
        <v>5.3</v>
      </c>
      <c r="C41" s="390" t="s">
        <v>258</v>
      </c>
      <c r="D41" s="49" t="s">
        <v>788</v>
      </c>
      <c r="E41" s="49"/>
      <c r="F41" s="49"/>
      <c r="G41" s="49"/>
      <c r="H41" s="49"/>
      <c r="I41" s="49"/>
      <c r="J41" s="390"/>
      <c r="K41" s="474"/>
      <c r="L41" s="390"/>
      <c r="M41" s="390"/>
      <c r="N41" s="390"/>
      <c r="O41" s="390"/>
      <c r="P41" s="390"/>
      <c r="Q41" s="390"/>
      <c r="R41" s="390"/>
    </row>
    <row r="42" customFormat="false" ht="12.75" hidden="false" customHeight="true" outlineLevel="1" collapsed="false">
      <c r="A42" s="390"/>
      <c r="B42" s="425"/>
      <c r="C42" s="390"/>
      <c r="D42" s="49"/>
      <c r="E42" s="49"/>
      <c r="F42" s="49"/>
      <c r="G42" s="49"/>
      <c r="H42" s="49"/>
      <c r="I42" s="49"/>
      <c r="J42" s="390"/>
      <c r="K42" s="474"/>
      <c r="L42" s="390"/>
      <c r="M42" s="390"/>
      <c r="N42" s="390"/>
      <c r="O42" s="390"/>
      <c r="P42" s="390"/>
      <c r="Q42" s="390"/>
      <c r="R42" s="390"/>
    </row>
    <row r="43" customFormat="false" ht="12.75" hidden="false" customHeight="true" outlineLevel="1" collapsed="false">
      <c r="A43" s="624" t="s">
        <v>789</v>
      </c>
      <c r="B43" s="203" t="n">
        <f aca="false">B30-B41</f>
        <v>2.57627142215548</v>
      </c>
      <c r="C43" s="390" t="s">
        <v>258</v>
      </c>
      <c r="D43" s="49"/>
      <c r="E43" s="49"/>
      <c r="F43" s="49"/>
      <c r="G43" s="49"/>
      <c r="H43" s="49"/>
      <c r="I43" s="49"/>
      <c r="J43" s="390"/>
      <c r="K43" s="474"/>
      <c r="L43" s="390"/>
      <c r="M43" s="390"/>
      <c r="N43" s="390"/>
      <c r="O43" s="390"/>
      <c r="P43" s="390"/>
      <c r="Q43" s="390"/>
      <c r="R43" s="390"/>
    </row>
    <row r="44" customFormat="false" ht="12" hidden="false" customHeight="true" outlineLevel="1" collapsed="false">
      <c r="A44" s="390"/>
      <c r="B44" s="390"/>
      <c r="C44" s="390"/>
      <c r="D44" s="49"/>
      <c r="E44" s="49"/>
      <c r="F44" s="49"/>
      <c r="G44" s="49"/>
      <c r="H44" s="49"/>
      <c r="I44" s="49"/>
      <c r="J44" s="390"/>
      <c r="K44" s="625"/>
      <c r="L44" s="390"/>
      <c r="M44" s="390"/>
      <c r="N44" s="390"/>
      <c r="O44" s="390"/>
      <c r="P44" s="390"/>
      <c r="Q44" s="390"/>
      <c r="R44" s="390"/>
    </row>
    <row r="45" customFormat="false" ht="12" hidden="false" customHeight="true" outlineLevel="1" collapsed="false">
      <c r="A45" s="390"/>
      <c r="B45" s="390"/>
      <c r="C45" s="390"/>
      <c r="D45" s="49"/>
      <c r="E45" s="49"/>
      <c r="F45" s="49"/>
      <c r="G45" s="49"/>
      <c r="H45" s="49"/>
      <c r="I45" s="49"/>
      <c r="J45" s="390"/>
      <c r="K45" s="390"/>
      <c r="L45" s="390"/>
      <c r="M45" s="390"/>
      <c r="N45" s="390"/>
      <c r="O45" s="390"/>
      <c r="P45" s="390"/>
      <c r="Q45" s="390"/>
      <c r="R45" s="390"/>
    </row>
    <row r="46" customFormat="false" ht="12" hidden="false" customHeight="true" outlineLevel="1" collapsed="false">
      <c r="A46" s="390"/>
      <c r="B46" s="390"/>
      <c r="C46" s="390"/>
      <c r="D46" s="49"/>
      <c r="E46" s="49"/>
      <c r="F46" s="49"/>
      <c r="G46" s="49"/>
      <c r="H46" s="49"/>
      <c r="I46" s="49"/>
      <c r="J46" s="390"/>
      <c r="K46" s="390"/>
      <c r="L46" s="390"/>
      <c r="M46" s="390"/>
      <c r="N46" s="390"/>
      <c r="O46" s="390"/>
      <c r="P46" s="390"/>
      <c r="Q46" s="390"/>
      <c r="R46" s="390"/>
    </row>
    <row r="47" customFormat="false" ht="12" hidden="false" customHeight="true" outlineLevel="0" collapsed="false">
      <c r="A47" s="626" t="s">
        <v>790</v>
      </c>
      <c r="B47" s="608"/>
      <c r="C47" s="608"/>
      <c r="D47" s="608"/>
      <c r="E47" s="627" t="s">
        <v>791</v>
      </c>
      <c r="F47" s="530"/>
      <c r="G47" s="530"/>
      <c r="H47" s="530"/>
      <c r="I47" s="112"/>
      <c r="J47" s="112"/>
      <c r="K47" s="112"/>
      <c r="L47" s="112"/>
      <c r="M47" s="112"/>
      <c r="N47" s="112"/>
      <c r="O47" s="112"/>
      <c r="P47" s="112"/>
      <c r="Q47" s="112"/>
      <c r="R47" s="112"/>
    </row>
    <row r="48" customFormat="false" ht="12" hidden="false" customHeight="true" outlineLevel="1" collapsed="false">
      <c r="A48" s="607" t="s">
        <v>792</v>
      </c>
      <c r="B48" s="608"/>
      <c r="C48" s="608"/>
      <c r="D48" s="608"/>
      <c r="E48" s="609"/>
      <c r="F48" s="530"/>
      <c r="G48" s="530"/>
      <c r="H48" s="530"/>
      <c r="I48" s="112"/>
      <c r="J48" s="112"/>
      <c r="K48" s="112"/>
      <c r="L48" s="112"/>
      <c r="M48" s="112"/>
      <c r="N48" s="112"/>
      <c r="O48" s="112"/>
      <c r="P48" s="112"/>
      <c r="Q48" s="112"/>
      <c r="R48" s="112"/>
    </row>
    <row r="49" customFormat="false" ht="12" hidden="false" customHeight="true" outlineLevel="1" collapsed="false">
      <c r="A49" s="390" t="s">
        <v>756</v>
      </c>
      <c r="B49" s="474" t="n">
        <f aca="false">'Antenna Pointing Losses'!K63</f>
        <v>0</v>
      </c>
      <c r="C49" s="390" t="s">
        <v>258</v>
      </c>
      <c r="D49" s="49" t="s">
        <v>757</v>
      </c>
      <c r="E49" s="49"/>
      <c r="F49" s="49"/>
      <c r="G49" s="49"/>
      <c r="H49" s="49"/>
      <c r="I49" s="49"/>
      <c r="J49" s="390"/>
      <c r="K49" s="390"/>
      <c r="L49" s="390"/>
      <c r="M49" s="390"/>
      <c r="N49" s="390"/>
      <c r="O49" s="390"/>
      <c r="P49" s="390"/>
      <c r="Q49" s="390"/>
      <c r="R49" s="390"/>
    </row>
    <row r="50" customFormat="false" ht="12" hidden="false" customHeight="true" outlineLevel="1" collapsed="false">
      <c r="A50" s="390" t="s">
        <v>758</v>
      </c>
      <c r="B50" s="474" t="n">
        <f aca="false" t="array" ref="B50:B50">INDEX('Antenna Gain'!H26:H32,'Antenna Gain'!E24,1)</f>
        <v>0</v>
      </c>
      <c r="C50" s="390" t="s">
        <v>512</v>
      </c>
      <c r="D50" s="49" t="s">
        <v>759</v>
      </c>
      <c r="E50" s="49"/>
      <c r="F50" s="49"/>
      <c r="G50" s="49"/>
      <c r="H50" s="49"/>
      <c r="I50" s="49"/>
      <c r="J50" s="390"/>
      <c r="K50" s="390"/>
      <c r="L50" s="390"/>
      <c r="M50" s="390"/>
      <c r="N50" s="390"/>
      <c r="O50" s="390"/>
      <c r="P50" s="390"/>
      <c r="Q50" s="390"/>
      <c r="R50" s="390"/>
    </row>
    <row r="51" customFormat="false" ht="12" hidden="false" customHeight="true" outlineLevel="1" collapsed="false">
      <c r="A51" s="390" t="s">
        <v>760</v>
      </c>
      <c r="B51" s="474" t="n">
        <f aca="false">Receivers!J53</f>
        <v>2.299</v>
      </c>
      <c r="C51" s="390" t="s">
        <v>258</v>
      </c>
      <c r="D51" s="49" t="s">
        <v>761</v>
      </c>
      <c r="E51" s="49"/>
      <c r="F51" s="49"/>
      <c r="G51" s="49"/>
      <c r="H51" s="49"/>
      <c r="I51" s="49"/>
      <c r="J51" s="390"/>
      <c r="K51" s="390"/>
      <c r="L51" s="390"/>
      <c r="M51" s="390"/>
      <c r="N51" s="390"/>
      <c r="O51" s="390"/>
      <c r="P51" s="390"/>
      <c r="Q51" s="390"/>
      <c r="R51" s="390"/>
    </row>
    <row r="52" customFormat="false" ht="12" hidden="false" customHeight="true" outlineLevel="1" collapsed="false">
      <c r="A52" s="390" t="s">
        <v>762</v>
      </c>
      <c r="B52" s="610" t="n">
        <f aca="false">Receivers!J68</f>
        <v>1027.57497006715</v>
      </c>
      <c r="C52" s="390" t="s">
        <v>411</v>
      </c>
      <c r="D52" s="49" t="s">
        <v>763</v>
      </c>
      <c r="E52" s="49"/>
      <c r="F52" s="49"/>
      <c r="G52" s="49"/>
      <c r="H52" s="49"/>
      <c r="I52" s="49"/>
      <c r="J52" s="390"/>
      <c r="K52" s="390"/>
      <c r="L52" s="390"/>
      <c r="M52" s="390"/>
      <c r="N52" s="390"/>
      <c r="O52" s="390"/>
      <c r="P52" s="390"/>
      <c r="Q52" s="390"/>
      <c r="R52" s="390"/>
    </row>
    <row r="53" customFormat="false" ht="12" hidden="false" customHeight="true" outlineLevel="1" collapsed="false">
      <c r="A53" s="390" t="s">
        <v>764</v>
      </c>
      <c r="B53" s="474" t="n">
        <f aca="false">B50-B51-10*LOG10(B52)</f>
        <v>-32.4171351706754</v>
      </c>
      <c r="C53" s="390" t="s">
        <v>765</v>
      </c>
      <c r="D53" s="49" t="s">
        <v>793</v>
      </c>
      <c r="E53" s="49"/>
      <c r="F53" s="49"/>
      <c r="G53" s="49"/>
      <c r="H53" s="49"/>
      <c r="I53" s="49"/>
      <c r="J53" s="390"/>
      <c r="K53" s="390"/>
      <c r="L53" s="390"/>
      <c r="M53" s="390"/>
      <c r="N53" s="390"/>
      <c r="O53" s="390"/>
      <c r="P53" s="390"/>
      <c r="Q53" s="390"/>
      <c r="R53" s="390"/>
    </row>
    <row r="54" customFormat="false" ht="12" hidden="false" customHeight="true" outlineLevel="1" collapsed="false">
      <c r="A54" s="390"/>
      <c r="B54" s="474"/>
      <c r="C54" s="390"/>
      <c r="D54" s="49"/>
      <c r="E54" s="49"/>
      <c r="F54" s="49"/>
      <c r="G54" s="49"/>
      <c r="H54" s="49"/>
      <c r="I54" s="49"/>
      <c r="J54" s="390"/>
      <c r="K54" s="390"/>
      <c r="L54" s="390"/>
      <c r="M54" s="390"/>
      <c r="N54" s="390"/>
      <c r="O54" s="390"/>
      <c r="P54" s="390"/>
      <c r="Q54" s="390"/>
      <c r="R54" s="390"/>
    </row>
    <row r="55" customFormat="false" ht="12" hidden="false" customHeight="true" outlineLevel="1" collapsed="false">
      <c r="A55" s="390" t="s">
        <v>794</v>
      </c>
      <c r="B55" s="297" t="n">
        <f aca="false">B19-B49+B50-B51</f>
        <v>-159.917058470454</v>
      </c>
      <c r="C55" s="390" t="s">
        <v>355</v>
      </c>
      <c r="D55" s="49" t="s">
        <v>795</v>
      </c>
      <c r="E55" s="49"/>
      <c r="F55" s="49"/>
      <c r="G55" s="49"/>
      <c r="H55" s="49"/>
      <c r="I55" s="49"/>
      <c r="J55" s="390"/>
      <c r="K55" s="390"/>
      <c r="L55" s="390"/>
      <c r="M55" s="390"/>
      <c r="N55" s="390"/>
      <c r="O55" s="390"/>
      <c r="P55" s="390"/>
      <c r="Q55" s="390"/>
      <c r="R55" s="390"/>
    </row>
    <row r="56" customFormat="false" ht="12" hidden="false" customHeight="true" outlineLevel="1" collapsed="false">
      <c r="A56" s="390"/>
      <c r="B56" s="474"/>
      <c r="C56" s="390"/>
      <c r="D56" s="49"/>
      <c r="E56" s="49"/>
      <c r="F56" s="49"/>
      <c r="G56" s="49"/>
      <c r="H56" s="49"/>
      <c r="I56" s="49"/>
      <c r="J56" s="390"/>
      <c r="K56" s="390"/>
      <c r="L56" s="390"/>
      <c r="M56" s="390"/>
      <c r="N56" s="390"/>
      <c r="O56" s="390"/>
      <c r="P56" s="390"/>
      <c r="Q56" s="390"/>
      <c r="R56" s="390"/>
    </row>
    <row r="57" customFormat="false" ht="12" hidden="false" customHeight="true" outlineLevel="1" collapsed="false">
      <c r="A57" s="390" t="s">
        <v>796</v>
      </c>
      <c r="B57" s="628" t="n">
        <v>500000</v>
      </c>
      <c r="C57" s="390" t="s">
        <v>797</v>
      </c>
      <c r="D57" s="49" t="s">
        <v>798</v>
      </c>
      <c r="E57" s="49"/>
      <c r="F57" s="49"/>
      <c r="G57" s="49"/>
      <c r="H57" s="627" t="s">
        <v>60</v>
      </c>
      <c r="I57" s="49"/>
      <c r="J57" s="390"/>
      <c r="K57" s="390"/>
      <c r="L57" s="390"/>
      <c r="M57" s="390"/>
      <c r="N57" s="390"/>
      <c r="O57" s="390"/>
      <c r="P57" s="390"/>
      <c r="Q57" s="390"/>
      <c r="R57" s="390"/>
    </row>
    <row r="58" customFormat="false" ht="12" hidden="false" customHeight="true" outlineLevel="1" collapsed="false">
      <c r="A58" s="390"/>
      <c r="B58" s="629"/>
      <c r="C58" s="390"/>
      <c r="D58" s="49"/>
      <c r="E58" s="49"/>
      <c r="F58" s="49"/>
      <c r="G58" s="49"/>
      <c r="H58" s="49"/>
      <c r="I58" s="49"/>
      <c r="J58" s="390"/>
      <c r="K58" s="390"/>
      <c r="L58" s="390"/>
      <c r="M58" s="390"/>
      <c r="N58" s="390"/>
      <c r="O58" s="390"/>
      <c r="P58" s="390"/>
      <c r="Q58" s="390"/>
      <c r="R58" s="390"/>
    </row>
    <row r="59" customFormat="false" ht="12" hidden="false" customHeight="true" outlineLevel="1" collapsed="false">
      <c r="A59" s="390" t="s">
        <v>799</v>
      </c>
      <c r="B59" s="297" t="n">
        <f aca="false">F27+10*LOG10(B52)+10*LOG10(B57)</f>
        <v>-141.492164785964</v>
      </c>
      <c r="C59" s="390" t="s">
        <v>355</v>
      </c>
      <c r="D59" s="49" t="s">
        <v>800</v>
      </c>
      <c r="E59" s="49"/>
      <c r="F59" s="49"/>
      <c r="G59" s="49"/>
      <c r="H59" s="49"/>
      <c r="I59" s="49"/>
      <c r="J59" s="390"/>
      <c r="K59" s="390"/>
      <c r="L59" s="390"/>
      <c r="M59" s="390"/>
      <c r="N59" s="390"/>
      <c r="O59" s="390"/>
      <c r="P59" s="390"/>
      <c r="Q59" s="390"/>
      <c r="R59" s="390"/>
    </row>
    <row r="60" customFormat="false" ht="12" hidden="false" customHeight="true" outlineLevel="1" collapsed="false">
      <c r="A60" s="390"/>
      <c r="B60" s="617"/>
      <c r="C60" s="390"/>
      <c r="D60" s="49"/>
      <c r="E60" s="49"/>
      <c r="F60" s="49"/>
      <c r="G60" s="49"/>
      <c r="H60" s="49"/>
      <c r="I60" s="49"/>
      <c r="J60" s="390"/>
      <c r="K60" s="390"/>
      <c r="L60" s="390"/>
      <c r="M60" s="390"/>
      <c r="N60" s="390"/>
      <c r="O60" s="390"/>
      <c r="P60" s="390"/>
      <c r="Q60" s="390"/>
      <c r="R60" s="390"/>
    </row>
    <row r="61" customFormat="false" ht="12" hidden="false" customHeight="true" outlineLevel="1" collapsed="false">
      <c r="A61" s="390" t="s">
        <v>801</v>
      </c>
      <c r="B61" s="611" t="n">
        <f aca="false">B55-B59</f>
        <v>-18.4248936844897</v>
      </c>
      <c r="C61" s="390" t="s">
        <v>258</v>
      </c>
      <c r="D61" s="49" t="s">
        <v>802</v>
      </c>
      <c r="E61" s="49"/>
      <c r="F61" s="49"/>
      <c r="G61" s="49"/>
      <c r="H61" s="49"/>
      <c r="I61" s="49"/>
      <c r="J61" s="390"/>
      <c r="K61" s="390"/>
      <c r="L61" s="390"/>
      <c r="M61" s="390"/>
      <c r="N61" s="390"/>
      <c r="O61" s="390"/>
      <c r="P61" s="390"/>
      <c r="Q61" s="390"/>
      <c r="R61" s="390"/>
    </row>
    <row r="62" customFormat="false" ht="12" hidden="false" customHeight="true" outlineLevel="1" collapsed="false">
      <c r="A62" s="390"/>
      <c r="B62" s="474"/>
      <c r="C62" s="390"/>
      <c r="D62" s="49"/>
      <c r="E62" s="49"/>
      <c r="F62" s="49"/>
      <c r="G62" s="49"/>
      <c r="H62" s="49"/>
      <c r="I62" s="49"/>
      <c r="J62" s="390"/>
      <c r="K62" s="390"/>
      <c r="L62" s="390"/>
      <c r="M62" s="390"/>
      <c r="N62" s="390"/>
      <c r="O62" s="390"/>
      <c r="P62" s="390"/>
      <c r="Q62" s="390"/>
      <c r="R62" s="390"/>
    </row>
    <row r="63" customFormat="false" ht="12" hidden="false" customHeight="true" outlineLevel="1" collapsed="false">
      <c r="A63" s="390" t="s">
        <v>803</v>
      </c>
      <c r="B63" s="250" t="n">
        <v>-21</v>
      </c>
      <c r="C63" s="390" t="s">
        <v>258</v>
      </c>
      <c r="D63" s="49" t="s">
        <v>804</v>
      </c>
      <c r="E63" s="49"/>
      <c r="F63" s="49"/>
      <c r="G63" s="49"/>
      <c r="H63" s="49"/>
      <c r="I63" s="49"/>
      <c r="J63" s="390"/>
      <c r="K63" s="390"/>
      <c r="L63" s="390"/>
      <c r="M63" s="390"/>
      <c r="N63" s="390"/>
      <c r="O63" s="390"/>
      <c r="P63" s="390"/>
      <c r="Q63" s="390"/>
      <c r="R63" s="390"/>
    </row>
    <row r="64" customFormat="false" ht="12.75" hidden="false" customHeight="true" outlineLevel="1" collapsed="false">
      <c r="A64" s="390"/>
      <c r="B64" s="474"/>
      <c r="C64" s="390"/>
      <c r="D64" s="49"/>
      <c r="E64" s="49"/>
      <c r="F64" s="49"/>
      <c r="G64" s="49"/>
      <c r="H64" s="49"/>
      <c r="I64" s="49"/>
      <c r="J64" s="390"/>
      <c r="K64" s="390"/>
      <c r="L64" s="390"/>
      <c r="M64" s="390"/>
      <c r="N64" s="390"/>
      <c r="O64" s="390"/>
      <c r="P64" s="390"/>
      <c r="Q64" s="390"/>
      <c r="R64" s="390"/>
    </row>
    <row r="65" customFormat="false" ht="12.75" hidden="false" customHeight="true" outlineLevel="1" collapsed="false">
      <c r="A65" s="390" t="s">
        <v>805</v>
      </c>
      <c r="B65" s="203" t="n">
        <f aca="false">B61-B63</f>
        <v>2.57510631551028</v>
      </c>
      <c r="C65" s="390" t="s">
        <v>258</v>
      </c>
      <c r="D65" s="49"/>
      <c r="E65" s="49"/>
      <c r="F65" s="49"/>
      <c r="G65" s="49"/>
      <c r="H65" s="49"/>
      <c r="I65" s="49"/>
      <c r="J65" s="390"/>
      <c r="K65" s="390"/>
      <c r="L65" s="390"/>
      <c r="M65" s="390"/>
      <c r="N65" s="390"/>
      <c r="O65" s="390"/>
      <c r="P65" s="390"/>
      <c r="Q65" s="390"/>
      <c r="R65" s="390"/>
    </row>
    <row r="66" customFormat="false" ht="12" hidden="false" customHeight="true" outlineLevel="1" collapsed="false">
      <c r="A66" s="390"/>
      <c r="B66" s="390"/>
      <c r="C66" s="390"/>
      <c r="D66" s="49"/>
      <c r="E66" s="49"/>
      <c r="F66" s="49"/>
      <c r="G66" s="49"/>
      <c r="H66" s="49"/>
      <c r="I66" s="49"/>
      <c r="J66" s="390"/>
      <c r="K66" s="390"/>
      <c r="L66" s="390"/>
      <c r="M66" s="390"/>
      <c r="N66" s="390"/>
      <c r="O66" s="390"/>
      <c r="P66" s="390"/>
      <c r="Q66" s="390"/>
      <c r="R66" s="390"/>
    </row>
    <row r="67" customFormat="false" ht="12" hidden="false" customHeight="true" outlineLevel="1" collapsed="false">
      <c r="A67" s="390"/>
      <c r="B67" s="390"/>
      <c r="C67" s="390"/>
      <c r="D67" s="49"/>
      <c r="E67" s="49"/>
      <c r="F67" s="49"/>
      <c r="G67" s="49"/>
      <c r="H67" s="49"/>
      <c r="I67" s="49"/>
      <c r="J67" s="390"/>
      <c r="K67" s="390"/>
      <c r="L67" s="390"/>
      <c r="M67" s="390"/>
      <c r="N67" s="390"/>
      <c r="O67" s="390"/>
      <c r="P67" s="390"/>
      <c r="Q67" s="390"/>
      <c r="R67" s="390"/>
    </row>
    <row r="68" customFormat="false" ht="12" hidden="false" customHeight="true" outlineLevel="1" collapsed="false">
      <c r="A68" s="390"/>
      <c r="B68" s="390"/>
      <c r="C68" s="390"/>
      <c r="D68" s="49"/>
      <c r="E68" s="49"/>
      <c r="F68" s="49"/>
      <c r="G68" s="49"/>
      <c r="H68" s="49"/>
      <c r="I68" s="49"/>
      <c r="J68" s="390"/>
      <c r="K68" s="390"/>
      <c r="L68" s="390"/>
      <c r="M68" s="390"/>
      <c r="N68" s="390"/>
      <c r="O68" s="390"/>
      <c r="P68" s="390"/>
      <c r="Q68" s="390"/>
      <c r="R68" s="390"/>
    </row>
    <row r="69" customFormat="false" ht="12" hidden="false" customHeight="true" outlineLevel="0" collapsed="false">
      <c r="B69" s="630" t="s">
        <v>0</v>
      </c>
      <c r="C69" s="38" t="s">
        <v>0</v>
      </c>
    </row>
    <row r="70" customFormat="false" ht="12" hidden="false" customHeight="true" outlineLevel="0" collapsed="false">
      <c r="B70" s="630"/>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B29" activeCellId="0" sqref="B29"/>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8" t="str">
        <f aca="false">'Title Page'!F3</f>
        <v>Coconut Cubesat</v>
      </c>
      <c r="B1" s="23" t="s">
        <v>60</v>
      </c>
      <c r="C1" s="16" t="s">
        <v>0</v>
      </c>
      <c r="D1" s="599" t="str">
        <f aca="false">'Title Page'!F3</f>
        <v>Coconut Cubesat</v>
      </c>
      <c r="E1" s="600" t="s">
        <v>0</v>
      </c>
      <c r="F1" s="600" t="str">
        <f aca="false">'Title Page'!D23</f>
        <v>Date Data Last Modified:</v>
      </c>
      <c r="G1" s="600"/>
      <c r="H1" s="16"/>
      <c r="I1" s="16"/>
      <c r="J1" s="16"/>
      <c r="K1" s="16"/>
      <c r="L1" s="16"/>
      <c r="M1" s="16"/>
      <c r="N1" s="16"/>
      <c r="O1" s="16"/>
      <c r="P1" s="16"/>
      <c r="Q1" s="16"/>
      <c r="R1" s="16"/>
    </row>
    <row r="2" customFormat="false" ht="18" hidden="false" customHeight="true" outlineLevel="0" collapsed="false">
      <c r="A2" s="12" t="s">
        <v>806</v>
      </c>
      <c r="B2" s="16"/>
      <c r="C2" s="16"/>
      <c r="D2" s="600" t="str">
        <f aca="false">'Title Page'!G1</f>
        <v> Version: 2.5.5</v>
      </c>
      <c r="E2" s="600"/>
      <c r="F2" s="631" t="str">
        <f aca="false">'Title Page'!F23</f>
        <v>2025 June 08</v>
      </c>
      <c r="G2" s="600"/>
      <c r="H2" s="16"/>
      <c r="I2" s="16"/>
      <c r="J2" s="16"/>
      <c r="K2" s="16"/>
      <c r="L2" s="16"/>
      <c r="M2" s="16"/>
      <c r="N2" s="16"/>
      <c r="O2" s="16"/>
      <c r="P2" s="16"/>
      <c r="Q2" s="16"/>
      <c r="R2" s="16"/>
    </row>
    <row r="3" customFormat="false" ht="12" hidden="false" customHeight="true" outlineLevel="0" collapsed="false">
      <c r="A3" s="16"/>
      <c r="B3" s="16"/>
      <c r="C3" s="16"/>
      <c r="D3" s="600"/>
      <c r="E3" s="600"/>
      <c r="F3" s="600"/>
      <c r="G3" s="600"/>
      <c r="H3" s="16"/>
      <c r="I3" s="16"/>
      <c r="J3" s="16"/>
      <c r="K3" s="16"/>
      <c r="L3" s="16"/>
      <c r="M3" s="16"/>
      <c r="N3" s="16"/>
      <c r="O3" s="16"/>
      <c r="P3" s="16"/>
      <c r="Q3" s="16"/>
      <c r="R3" s="16"/>
    </row>
    <row r="4" customFormat="false" ht="12" hidden="false" customHeight="true" outlineLevel="0" collapsed="false">
      <c r="A4" s="602" t="s">
        <v>206</v>
      </c>
      <c r="B4" s="602" t="s">
        <v>207</v>
      </c>
      <c r="C4" s="602" t="s">
        <v>723</v>
      </c>
      <c r="D4" s="602" t="s">
        <v>724</v>
      </c>
      <c r="E4" s="498"/>
      <c r="F4" s="498"/>
      <c r="G4" s="498"/>
      <c r="H4" s="498"/>
      <c r="I4" s="498"/>
      <c r="J4" s="498"/>
      <c r="K4" s="498"/>
      <c r="L4" s="498"/>
      <c r="M4" s="498"/>
      <c r="N4" s="498"/>
      <c r="O4" s="498"/>
      <c r="P4" s="498"/>
      <c r="Q4" s="498"/>
      <c r="R4" s="498"/>
    </row>
    <row r="5" customFormat="false" ht="12" hidden="false" customHeight="true" outlineLevel="0" collapsed="false">
      <c r="A5" s="603" t="s">
        <v>517</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0" t="s">
        <v>807</v>
      </c>
      <c r="B6" s="474" t="n">
        <f aca="false">Transmitters!E52</f>
        <v>1</v>
      </c>
      <c r="C6" s="390" t="s">
        <v>727</v>
      </c>
      <c r="D6" s="49" t="s">
        <v>808</v>
      </c>
      <c r="E6" s="49"/>
      <c r="F6" s="49"/>
      <c r="G6" s="49"/>
      <c r="H6" s="49"/>
      <c r="I6" s="49"/>
      <c r="J6" s="49"/>
      <c r="K6" s="390"/>
      <c r="L6" s="604" t="s">
        <v>809</v>
      </c>
      <c r="M6" s="556"/>
      <c r="N6" s="556"/>
      <c r="O6" s="556"/>
      <c r="P6" s="556"/>
      <c r="Q6" s="545"/>
      <c r="R6" s="390"/>
    </row>
    <row r="7" customFormat="false" ht="12" hidden="false" customHeight="true" outlineLevel="0" collapsed="false">
      <c r="A7" s="520" t="s">
        <v>730</v>
      </c>
      <c r="B7" s="555" t="n">
        <f aca="false">10*LOG10(B6)</f>
        <v>0</v>
      </c>
      <c r="C7" s="390" t="s">
        <v>355</v>
      </c>
      <c r="D7" s="49" t="s">
        <v>731</v>
      </c>
      <c r="E7" s="49"/>
      <c r="F7" s="49"/>
      <c r="G7" s="49"/>
      <c r="H7" s="49"/>
      <c r="I7" s="49"/>
      <c r="J7" s="49"/>
      <c r="K7" s="390"/>
      <c r="L7" s="390"/>
      <c r="M7" s="390"/>
      <c r="N7" s="390"/>
      <c r="O7" s="390"/>
      <c r="P7" s="390"/>
      <c r="Q7" s="390"/>
      <c r="R7" s="390"/>
    </row>
    <row r="8" customFormat="false" ht="12" hidden="false" customHeight="true" outlineLevel="0" collapsed="false">
      <c r="A8" s="520" t="s">
        <v>732</v>
      </c>
      <c r="B8" s="297" t="n">
        <f aca="false">B7+30</f>
        <v>30</v>
      </c>
      <c r="C8" s="390" t="s">
        <v>333</v>
      </c>
      <c r="D8" s="49" t="s">
        <v>733</v>
      </c>
      <c r="E8" s="49"/>
      <c r="F8" s="49"/>
      <c r="G8" s="49"/>
      <c r="H8" s="49"/>
      <c r="I8" s="49"/>
      <c r="J8" s="49"/>
      <c r="K8" s="390"/>
      <c r="L8" s="390"/>
      <c r="M8" s="390"/>
      <c r="N8" s="390"/>
      <c r="O8" s="390"/>
      <c r="P8" s="390"/>
      <c r="Q8" s="390"/>
      <c r="R8" s="390"/>
    </row>
    <row r="9" customFormat="false" ht="12" hidden="false" customHeight="true" outlineLevel="0" collapsed="false">
      <c r="A9" s="390" t="s">
        <v>760</v>
      </c>
      <c r="B9" s="474" t="n">
        <f aca="false">Transmitters!I71</f>
        <v>2.349</v>
      </c>
      <c r="C9" s="390" t="s">
        <v>258</v>
      </c>
      <c r="D9" s="49" t="s">
        <v>810</v>
      </c>
      <c r="E9" s="49"/>
      <c r="F9" s="49"/>
      <c r="G9" s="49"/>
      <c r="H9" s="49"/>
      <c r="I9" s="49"/>
      <c r="J9" s="49"/>
      <c r="K9" s="390"/>
      <c r="L9" s="390"/>
      <c r="M9" s="390"/>
      <c r="N9" s="390"/>
      <c r="O9" s="390"/>
      <c r="P9" s="390"/>
      <c r="Q9" s="390"/>
      <c r="R9" s="390"/>
    </row>
    <row r="10" customFormat="false" ht="12" hidden="false" customHeight="true" outlineLevel="0" collapsed="false">
      <c r="A10" s="390" t="s">
        <v>758</v>
      </c>
      <c r="B10" s="474" t="n">
        <f aca="false" t="array" ref="B10:B10">INDEX('Antenna Gain'!H43:H49,'Antenna Gain'!E41,1)</f>
        <v>0</v>
      </c>
      <c r="C10" s="390" t="s">
        <v>512</v>
      </c>
      <c r="D10" s="49" t="s">
        <v>811</v>
      </c>
      <c r="E10" s="49"/>
      <c r="F10" s="49"/>
      <c r="G10" s="49"/>
      <c r="H10" s="49"/>
      <c r="I10" s="49"/>
      <c r="J10" s="49"/>
      <c r="K10" s="390"/>
      <c r="L10" s="390"/>
      <c r="M10" s="390"/>
      <c r="N10" s="390"/>
      <c r="O10" s="390"/>
      <c r="P10" s="390"/>
      <c r="Q10" s="390"/>
      <c r="R10" s="390"/>
    </row>
    <row r="11" customFormat="false" ht="12" hidden="false" customHeight="true" outlineLevel="0" collapsed="false">
      <c r="A11" s="390" t="s">
        <v>812</v>
      </c>
      <c r="B11" s="555" t="n">
        <f aca="false">B7-B9+B10</f>
        <v>-2.349</v>
      </c>
      <c r="C11" s="390" t="s">
        <v>355</v>
      </c>
      <c r="D11" s="49" t="s">
        <v>813</v>
      </c>
      <c r="E11" s="49"/>
      <c r="F11" s="49"/>
      <c r="G11" s="49"/>
      <c r="H11" s="49"/>
      <c r="I11" s="49"/>
      <c r="J11" s="49"/>
      <c r="K11" s="390"/>
      <c r="L11" s="390"/>
      <c r="M11" s="390"/>
      <c r="N11" s="390"/>
      <c r="O11" s="390"/>
      <c r="P11" s="390"/>
      <c r="Q11" s="390"/>
      <c r="R11" s="390"/>
    </row>
    <row r="12" customFormat="false" ht="12" hidden="false" customHeight="true" outlineLevel="0" collapsed="false">
      <c r="A12" s="603" t="s">
        <v>814</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0" t="s">
        <v>756</v>
      </c>
      <c r="B13" s="474" t="n">
        <f aca="false">'Antenna Pointing Losses'!K85</f>
        <v>0</v>
      </c>
      <c r="C13" s="390" t="s">
        <v>258</v>
      </c>
      <c r="D13" s="49" t="s">
        <v>815</v>
      </c>
      <c r="E13" s="49"/>
      <c r="F13" s="49"/>
      <c r="G13" s="49"/>
      <c r="H13" s="49"/>
      <c r="I13" s="49"/>
      <c r="J13" s="49"/>
      <c r="K13" s="390"/>
      <c r="L13" s="390"/>
      <c r="M13" s="390"/>
      <c r="N13" s="390"/>
      <c r="O13" s="390"/>
      <c r="P13" s="390"/>
      <c r="Q13" s="390"/>
      <c r="R13" s="390"/>
    </row>
    <row r="14" customFormat="false" ht="12" hidden="false" customHeight="true" outlineLevel="0" collapsed="false">
      <c r="A14" s="390" t="s">
        <v>816</v>
      </c>
      <c r="B14" s="474" t="n">
        <f aca="false">'Antenna Polarization Loss'!F60</f>
        <v>2.74422228927224</v>
      </c>
      <c r="C14" s="390" t="s">
        <v>258</v>
      </c>
      <c r="D14" s="49" t="s">
        <v>817</v>
      </c>
      <c r="E14" s="49"/>
      <c r="F14" s="49"/>
      <c r="G14" s="49"/>
      <c r="H14" s="49"/>
      <c r="I14" s="49"/>
      <c r="J14" s="49"/>
      <c r="K14" s="390"/>
      <c r="L14" s="390"/>
      <c r="M14" s="390"/>
      <c r="N14" s="390"/>
      <c r="O14" s="390"/>
      <c r="P14" s="390"/>
      <c r="Q14" s="390"/>
      <c r="R14" s="390"/>
    </row>
    <row r="15" customFormat="false" ht="12" hidden="false" customHeight="true" outlineLevel="0" collapsed="false">
      <c r="A15" s="390" t="s">
        <v>311</v>
      </c>
      <c r="B15" s="474" t="n">
        <f aca="false">Frequency!M18</f>
        <v>147.031071998789</v>
      </c>
      <c r="C15" s="390" t="s">
        <v>258</v>
      </c>
      <c r="D15" s="49" t="s">
        <v>745</v>
      </c>
      <c r="E15" s="49"/>
      <c r="F15" s="49"/>
      <c r="G15" s="49"/>
      <c r="H15" s="49"/>
      <c r="I15" s="49"/>
      <c r="J15" s="49"/>
      <c r="K15" s="390"/>
      <c r="L15" s="390"/>
      <c r="M15" s="390"/>
      <c r="N15" s="390"/>
      <c r="O15" s="390"/>
      <c r="P15" s="390"/>
      <c r="Q15" s="390"/>
      <c r="R15" s="390"/>
    </row>
    <row r="16" customFormat="false" ht="12" hidden="false" customHeight="true" outlineLevel="0" collapsed="false">
      <c r="A16" s="390" t="s">
        <v>818</v>
      </c>
      <c r="B16" s="474" t="n">
        <f aca="false">'Atmos. &amp; Ionos. Losses'!D23</f>
        <v>1.1</v>
      </c>
      <c r="C16" s="390" t="s">
        <v>258</v>
      </c>
      <c r="D16" s="49" t="s">
        <v>747</v>
      </c>
      <c r="E16" s="49"/>
      <c r="F16" s="49"/>
      <c r="G16" s="49"/>
      <c r="H16" s="49"/>
      <c r="I16" s="49"/>
      <c r="J16" s="49"/>
      <c r="K16" s="390"/>
      <c r="L16" s="390"/>
      <c r="M16" s="390"/>
      <c r="N16" s="390"/>
      <c r="O16" s="390"/>
      <c r="P16" s="390"/>
      <c r="Q16" s="390"/>
      <c r="R16" s="390"/>
    </row>
    <row r="17" customFormat="false" ht="12" hidden="false" customHeight="true" outlineLevel="0" collapsed="false">
      <c r="A17" s="390" t="s">
        <v>819</v>
      </c>
      <c r="B17" s="474" t="n">
        <f aca="false" t="array" ref="B17:B17">INDEX('Atmos. &amp; Ionos. Losses'!D45:D48,Frequency!L16,1)</f>
        <v>0.4</v>
      </c>
      <c r="C17" s="390" t="s">
        <v>258</v>
      </c>
      <c r="D17" s="49" t="s">
        <v>749</v>
      </c>
      <c r="E17" s="49"/>
      <c r="F17" s="49"/>
      <c r="G17" s="49"/>
      <c r="H17" s="49"/>
      <c r="I17" s="49"/>
      <c r="J17" s="49"/>
      <c r="K17" s="390"/>
      <c r="L17" s="390"/>
      <c r="M17" s="390"/>
      <c r="N17" s="390"/>
      <c r="O17" s="390"/>
      <c r="P17" s="390"/>
      <c r="Q17" s="390"/>
      <c r="R17" s="390"/>
    </row>
    <row r="18" customFormat="false" ht="12" hidden="false" customHeight="true" outlineLevel="0" collapsed="false">
      <c r="A18" s="390" t="s">
        <v>820</v>
      </c>
      <c r="B18" s="606" t="n">
        <v>0</v>
      </c>
      <c r="C18" s="390" t="s">
        <v>258</v>
      </c>
      <c r="D18" s="49" t="s">
        <v>751</v>
      </c>
      <c r="E18" s="49"/>
      <c r="F18" s="49"/>
      <c r="G18" s="49"/>
      <c r="H18" s="49"/>
      <c r="I18" s="49"/>
      <c r="J18" s="49" t="s">
        <v>0</v>
      </c>
      <c r="K18" s="390"/>
      <c r="L18" s="390"/>
      <c r="M18" s="390"/>
      <c r="N18" s="390"/>
      <c r="O18" s="390"/>
      <c r="P18" s="390"/>
      <c r="Q18" s="390"/>
      <c r="R18" s="390"/>
    </row>
    <row r="19" customFormat="false" ht="12" hidden="false" customHeight="true" outlineLevel="0" collapsed="false">
      <c r="A19" s="390" t="s">
        <v>821</v>
      </c>
      <c r="B19" s="611" t="n">
        <f aca="false">B11-SUM(B13:B18)</f>
        <v>-153.624294288061</v>
      </c>
      <c r="C19" s="390" t="s">
        <v>355</v>
      </c>
      <c r="D19" s="49" t="s">
        <v>822</v>
      </c>
      <c r="E19" s="49"/>
      <c r="F19" s="49"/>
      <c r="G19" s="49"/>
      <c r="H19" s="49"/>
      <c r="I19" s="49"/>
      <c r="J19" s="49"/>
      <c r="K19" s="390"/>
      <c r="L19" s="390"/>
      <c r="M19" s="390"/>
      <c r="N19" s="390"/>
      <c r="O19" s="390"/>
      <c r="P19" s="390"/>
      <c r="Q19" s="390"/>
      <c r="R19" s="390"/>
    </row>
    <row r="20" customFormat="false" ht="12" hidden="false" customHeight="true" outlineLevel="0" collapsed="false">
      <c r="A20" s="603" t="s">
        <v>823</v>
      </c>
      <c r="B20" s="112"/>
      <c r="C20" s="112"/>
      <c r="D20" s="112"/>
      <c r="E20" s="112"/>
      <c r="F20" s="112"/>
      <c r="G20" s="112"/>
      <c r="H20" s="112"/>
      <c r="I20" s="112"/>
      <c r="J20" s="607" t="s">
        <v>0</v>
      </c>
      <c r="K20" s="608"/>
      <c r="L20" s="608"/>
      <c r="M20" s="608"/>
      <c r="N20" s="608"/>
      <c r="O20" s="112"/>
      <c r="P20" s="112"/>
      <c r="Q20" s="112"/>
      <c r="R20" s="112"/>
      <c r="S20" s="326"/>
    </row>
    <row r="21" customFormat="false" ht="12" hidden="false" customHeight="true" outlineLevel="1" collapsed="false">
      <c r="A21" s="603" t="s">
        <v>755</v>
      </c>
      <c r="B21" s="112"/>
      <c r="C21" s="112"/>
      <c r="D21" s="112"/>
      <c r="E21" s="112"/>
      <c r="F21" s="112"/>
      <c r="G21" s="112"/>
      <c r="H21" s="112"/>
      <c r="I21" s="112"/>
      <c r="J21" s="607" t="s">
        <v>0</v>
      </c>
      <c r="K21" s="608"/>
      <c r="L21" s="608"/>
      <c r="M21" s="608"/>
      <c r="N21" s="608"/>
      <c r="O21" s="112"/>
      <c r="P21" s="112"/>
      <c r="Q21" s="112"/>
      <c r="R21" s="112"/>
      <c r="S21" s="326"/>
    </row>
    <row r="22" customFormat="false" ht="12" hidden="false" customHeight="true" outlineLevel="1" collapsed="false">
      <c r="A22" s="476" t="s">
        <v>741</v>
      </c>
      <c r="B22" s="474" t="n">
        <f aca="false">'Antenna Pointing Losses'!K102</f>
        <v>0.00257140920303451</v>
      </c>
      <c r="C22" s="390" t="s">
        <v>258</v>
      </c>
      <c r="D22" s="49" t="s">
        <v>824</v>
      </c>
      <c r="E22" s="49"/>
      <c r="F22" s="49"/>
      <c r="G22" s="49"/>
      <c r="H22" s="49"/>
      <c r="I22" s="49"/>
      <c r="J22" s="49"/>
      <c r="K22" s="474"/>
      <c r="L22" s="390"/>
      <c r="M22" s="390"/>
      <c r="N22" s="390"/>
      <c r="O22" s="390"/>
      <c r="P22" s="390"/>
      <c r="Q22" s="390"/>
      <c r="R22" s="390"/>
    </row>
    <row r="23" customFormat="false" ht="12" hidden="false" customHeight="true" outlineLevel="1" collapsed="false">
      <c r="A23" s="390" t="s">
        <v>825</v>
      </c>
      <c r="B23" s="474" t="n">
        <f aca="false" t="array" ref="B23:B23">INDEX('Antenna Gain'!N60:N63,'Antenna Gain'!E58,1)</f>
        <v>2</v>
      </c>
      <c r="C23" s="390" t="s">
        <v>512</v>
      </c>
      <c r="D23" s="49" t="s">
        <v>826</v>
      </c>
      <c r="E23" s="49"/>
      <c r="F23" s="49"/>
      <c r="G23" s="49"/>
      <c r="H23" s="49"/>
      <c r="I23" s="49"/>
      <c r="J23" s="49"/>
      <c r="K23" s="474"/>
      <c r="L23" s="390"/>
      <c r="M23" s="390"/>
      <c r="N23" s="390"/>
      <c r="O23" s="390"/>
      <c r="P23" s="390"/>
      <c r="Q23" s="390"/>
      <c r="R23" s="390"/>
    </row>
    <row r="24" customFormat="false" ht="12" hidden="false" customHeight="true" outlineLevel="1" collapsed="false">
      <c r="A24" s="390" t="s">
        <v>827</v>
      </c>
      <c r="B24" s="474" t="n">
        <f aca="false">Receivers!J124</f>
        <v>1.9495</v>
      </c>
      <c r="C24" s="390" t="s">
        <v>258</v>
      </c>
      <c r="D24" s="49" t="s">
        <v>828</v>
      </c>
      <c r="E24" s="49"/>
      <c r="F24" s="49"/>
      <c r="G24" s="49"/>
      <c r="H24" s="49"/>
      <c r="I24" s="49"/>
      <c r="J24" s="49"/>
      <c r="K24" s="390"/>
      <c r="L24" s="390"/>
      <c r="M24" s="390"/>
      <c r="N24" s="390"/>
      <c r="O24" s="390"/>
      <c r="P24" s="390"/>
      <c r="Q24" s="390"/>
      <c r="R24" s="390"/>
    </row>
    <row r="25" customFormat="false" ht="12" hidden="false" customHeight="true" outlineLevel="1" collapsed="false">
      <c r="A25" s="390" t="s">
        <v>829</v>
      </c>
      <c r="B25" s="610" t="n">
        <f aca="false">Receivers!J147</f>
        <v>673.741924821881</v>
      </c>
      <c r="C25" s="390" t="s">
        <v>411</v>
      </c>
      <c r="D25" s="49" t="s">
        <v>830</v>
      </c>
      <c r="E25" s="49"/>
      <c r="F25" s="49"/>
      <c r="G25" s="49"/>
      <c r="H25" s="49"/>
      <c r="I25" s="49"/>
      <c r="J25" s="49"/>
      <c r="K25" s="610"/>
      <c r="L25" s="390"/>
      <c r="M25" s="390"/>
      <c r="N25" s="390"/>
      <c r="O25" s="390"/>
      <c r="P25" s="390"/>
      <c r="Q25" s="390"/>
      <c r="R25" s="390"/>
    </row>
    <row r="26" customFormat="false" ht="12" hidden="false" customHeight="true" outlineLevel="1" collapsed="false">
      <c r="A26" s="390" t="s">
        <v>831</v>
      </c>
      <c r="B26" s="474" t="n">
        <f aca="false">B23-B24-10*LOG10(B25)</f>
        <v>-28.2344357296093</v>
      </c>
      <c r="C26" s="390" t="s">
        <v>765</v>
      </c>
      <c r="D26" s="49" t="s">
        <v>766</v>
      </c>
      <c r="E26" s="49"/>
      <c r="F26" s="49"/>
      <c r="G26" s="49"/>
      <c r="H26" s="49"/>
      <c r="I26" s="49"/>
      <c r="J26" s="49"/>
      <c r="K26" s="474"/>
      <c r="L26" s="390"/>
      <c r="M26" s="390"/>
      <c r="N26" s="390"/>
      <c r="O26" s="390"/>
      <c r="P26" s="390"/>
      <c r="Q26" s="390"/>
      <c r="R26" s="390"/>
    </row>
    <row r="27" customFormat="false" ht="12" hidden="false" customHeight="true" outlineLevel="1" collapsed="false">
      <c r="A27" s="390" t="s">
        <v>832</v>
      </c>
      <c r="B27" s="611" t="n">
        <f aca="false">B19-B22-F27+B26</f>
        <v>46.7386985731267</v>
      </c>
      <c r="C27" s="390" t="s">
        <v>768</v>
      </c>
      <c r="D27" s="612" t="s">
        <v>769</v>
      </c>
      <c r="E27" s="613"/>
      <c r="F27" s="613" t="n">
        <v>-228.6</v>
      </c>
      <c r="G27" s="614" t="s">
        <v>770</v>
      </c>
      <c r="H27" s="272"/>
      <c r="I27" s="49"/>
      <c r="J27" s="49"/>
      <c r="K27" s="474"/>
      <c r="L27" s="390"/>
      <c r="M27" s="390"/>
      <c r="N27" s="390"/>
      <c r="O27" s="390"/>
      <c r="P27" s="390"/>
      <c r="Q27" s="390"/>
      <c r="R27" s="390"/>
    </row>
    <row r="28" customFormat="false" ht="12" hidden="false" customHeight="true" outlineLevel="1" collapsed="false">
      <c r="A28" s="390" t="s">
        <v>771</v>
      </c>
      <c r="B28" s="615" t="n">
        <v>1171.8</v>
      </c>
      <c r="C28" s="390" t="s">
        <v>772</v>
      </c>
      <c r="D28" s="49" t="s">
        <v>773</v>
      </c>
      <c r="E28" s="49"/>
      <c r="F28" s="49"/>
      <c r="G28" s="49"/>
      <c r="H28" s="49"/>
      <c r="I28" s="49"/>
      <c r="J28" s="49"/>
      <c r="K28" s="616"/>
      <c r="L28" s="390"/>
      <c r="M28" s="390"/>
      <c r="N28" s="390"/>
      <c r="O28" s="390"/>
      <c r="P28" s="390"/>
      <c r="Q28" s="390"/>
      <c r="R28" s="390"/>
    </row>
    <row r="29" customFormat="false" ht="12" hidden="false" customHeight="true" outlineLevel="1" collapsed="false">
      <c r="A29" s="520" t="s">
        <v>774</v>
      </c>
      <c r="B29" s="617" t="n">
        <f aca="false">10*LOG10(B28)</f>
        <v>30.688534936715</v>
      </c>
      <c r="C29" s="390" t="s">
        <v>768</v>
      </c>
      <c r="D29" s="49" t="s">
        <v>775</v>
      </c>
      <c r="E29" s="49"/>
      <c r="F29" s="49"/>
      <c r="G29" s="49"/>
      <c r="H29" s="49"/>
      <c r="I29" s="49"/>
      <c r="J29" s="49"/>
      <c r="K29" s="474"/>
      <c r="L29" s="390"/>
      <c r="M29" s="390"/>
      <c r="N29" s="390"/>
      <c r="O29" s="390"/>
      <c r="P29" s="390"/>
      <c r="Q29" s="390"/>
      <c r="R29" s="390"/>
    </row>
    <row r="30" customFormat="false" ht="12" hidden="false" customHeight="true" outlineLevel="1" collapsed="false">
      <c r="A30" s="390" t="s">
        <v>833</v>
      </c>
      <c r="B30" s="611" t="n">
        <f aca="false">B27-B29</f>
        <v>16.0501636364117</v>
      </c>
      <c r="C30" s="390" t="s">
        <v>258</v>
      </c>
      <c r="D30" s="49" t="s">
        <v>0</v>
      </c>
      <c r="E30" s="49"/>
      <c r="F30" s="49"/>
      <c r="G30" s="49"/>
      <c r="H30" s="49"/>
      <c r="I30" s="49"/>
      <c r="J30" s="49"/>
      <c r="K30" s="474"/>
      <c r="L30" s="390"/>
      <c r="M30" s="390"/>
      <c r="N30" s="390"/>
      <c r="O30" s="390"/>
      <c r="P30" s="390"/>
      <c r="Q30" s="390"/>
      <c r="R30" s="390"/>
    </row>
    <row r="31" customFormat="false" ht="12" hidden="false" customHeight="true" outlineLevel="1" collapsed="false">
      <c r="A31" s="390"/>
      <c r="B31" s="632"/>
      <c r="C31" s="390"/>
      <c r="D31" s="49"/>
      <c r="E31" s="49"/>
      <c r="F31" s="49"/>
      <c r="G31" s="49"/>
      <c r="H31" s="49"/>
      <c r="I31" s="49"/>
      <c r="J31" s="49"/>
      <c r="K31" s="474"/>
      <c r="L31" s="390"/>
      <c r="M31" s="390"/>
      <c r="N31" s="390"/>
      <c r="O31" s="390"/>
      <c r="P31" s="390"/>
      <c r="Q31" s="390"/>
      <c r="R31" s="390"/>
    </row>
    <row r="32" customFormat="false" ht="12" hidden="false" customHeight="true" outlineLevel="1" collapsed="false">
      <c r="A32" s="390" t="s">
        <v>777</v>
      </c>
      <c r="B32" s="619" t="str">
        <f aca="false" t="array" ref="B32:B32">INDEX('Modulation-Demodulation Method'!C33:C51,'Modulation-Demodulation Method'!E30,1)</f>
        <v>LoRa</v>
      </c>
      <c r="C32" s="425" t="s">
        <v>0</v>
      </c>
      <c r="D32" s="49" t="s">
        <v>834</v>
      </c>
      <c r="E32" s="49"/>
      <c r="F32" s="49"/>
      <c r="G32" s="49"/>
      <c r="H32" s="49"/>
      <c r="I32" s="49"/>
      <c r="J32" s="313"/>
      <c r="K32" s="390"/>
      <c r="L32" s="390"/>
      <c r="M32" s="390"/>
      <c r="N32" s="390"/>
      <c r="O32" s="390"/>
      <c r="P32" s="390"/>
      <c r="Q32" s="390"/>
      <c r="R32" s="390"/>
    </row>
    <row r="33" customFormat="false" ht="12" hidden="false" customHeight="true" outlineLevel="1" collapsed="false">
      <c r="A33" s="390" t="s">
        <v>779</v>
      </c>
      <c r="B33" s="620" t="str">
        <f aca="false" t="array" ref="B33:B33">INDEX('Modulation-Demodulation Method'!D33:D51,'Modulation-Demodulation Method'!E30,1)</f>
        <v>Spread Spectrum (SF 12, 500 kHz, CR 4:5)</v>
      </c>
      <c r="C33" s="621"/>
      <c r="D33" s="333" t="s">
        <v>835</v>
      </c>
      <c r="E33" s="633"/>
      <c r="F33" s="49"/>
      <c r="G33" s="49"/>
      <c r="H33" s="49"/>
      <c r="I33" s="49"/>
      <c r="J33" s="49"/>
      <c r="K33" s="474"/>
      <c r="L33" s="390"/>
      <c r="M33" s="390"/>
      <c r="N33" s="390"/>
      <c r="O33" s="390"/>
      <c r="P33" s="390"/>
      <c r="Q33" s="390"/>
      <c r="R33" s="390"/>
    </row>
    <row r="34" customFormat="false" ht="12" hidden="false" customHeight="true" outlineLevel="1" collapsed="false">
      <c r="A34" s="390"/>
      <c r="B34" s="634"/>
      <c r="C34" s="425"/>
      <c r="D34" s="635"/>
      <c r="E34" s="633"/>
      <c r="F34" s="49"/>
      <c r="G34" s="49"/>
      <c r="H34" s="49"/>
      <c r="I34" s="49"/>
      <c r="J34" s="49"/>
      <c r="K34" s="474"/>
      <c r="L34" s="390"/>
      <c r="M34" s="390"/>
      <c r="N34" s="390"/>
      <c r="O34" s="390"/>
      <c r="P34" s="390"/>
      <c r="Q34" s="390"/>
      <c r="R34" s="390"/>
    </row>
    <row r="35" customFormat="false" ht="12" hidden="false" customHeight="true" outlineLevel="1" collapsed="false">
      <c r="A35" s="390" t="s">
        <v>781</v>
      </c>
      <c r="B35" s="622" t="n">
        <f aca="false" t="array" ref="B35:B35">INDEX('Modulation-Demodulation Method'!E33:E51,'Modulation-Demodulation Method'!E30,1)</f>
        <v>0.0001</v>
      </c>
      <c r="C35" s="425"/>
      <c r="D35" s="333" t="s">
        <v>836</v>
      </c>
      <c r="E35" s="633"/>
      <c r="F35" s="49"/>
      <c r="G35" s="49"/>
      <c r="H35" s="49"/>
      <c r="I35" s="49"/>
      <c r="J35" s="49"/>
      <c r="K35" s="474"/>
      <c r="L35" s="390"/>
      <c r="M35" s="390"/>
      <c r="N35" s="390"/>
      <c r="O35" s="390"/>
      <c r="P35" s="390"/>
      <c r="Q35" s="390"/>
      <c r="R35" s="390"/>
    </row>
    <row r="36" customFormat="false" ht="12" hidden="false" customHeight="true" outlineLevel="1" collapsed="false">
      <c r="A36" s="390"/>
      <c r="B36" s="634"/>
      <c r="C36" s="425"/>
      <c r="D36" s="635"/>
      <c r="E36" s="633"/>
      <c r="F36" s="49"/>
      <c r="G36" s="49"/>
      <c r="H36" s="49"/>
      <c r="I36" s="49"/>
      <c r="J36" s="49"/>
      <c r="K36" s="474"/>
      <c r="L36" s="390"/>
      <c r="M36" s="390"/>
      <c r="N36" s="390"/>
      <c r="O36" s="390"/>
      <c r="P36" s="390"/>
      <c r="Q36" s="390"/>
      <c r="R36" s="390"/>
    </row>
    <row r="37" customFormat="false" ht="12" hidden="false" customHeight="true" outlineLevel="1" collapsed="false">
      <c r="A37" s="390" t="s">
        <v>783</v>
      </c>
      <c r="B37" s="636" t="n">
        <f aca="false">'Modulation-Demodulation Method'!E53</f>
        <v>1</v>
      </c>
      <c r="C37" s="390" t="s">
        <v>258</v>
      </c>
      <c r="D37" s="49" t="s">
        <v>837</v>
      </c>
      <c r="E37" s="49"/>
      <c r="F37" s="49"/>
      <c r="G37" s="49"/>
      <c r="H37" s="49"/>
      <c r="I37" s="49"/>
      <c r="J37" s="49"/>
      <c r="K37" s="390"/>
      <c r="L37" s="390"/>
      <c r="M37" s="390"/>
      <c r="N37" s="390"/>
      <c r="O37" s="390"/>
      <c r="P37" s="390"/>
      <c r="Q37" s="390"/>
      <c r="R37" s="390"/>
    </row>
    <row r="38" customFormat="false" ht="12" hidden="false" customHeight="true" outlineLevel="1" collapsed="false">
      <c r="A38" s="390"/>
      <c r="B38" s="390"/>
      <c r="C38" s="390"/>
      <c r="D38" s="49"/>
      <c r="E38" s="49"/>
      <c r="F38" s="49"/>
      <c r="G38" s="49"/>
      <c r="H38" s="49"/>
      <c r="I38" s="49"/>
      <c r="J38" s="49"/>
      <c r="K38" s="390"/>
      <c r="L38" s="390"/>
      <c r="M38" s="390"/>
      <c r="N38" s="390"/>
      <c r="O38" s="390"/>
      <c r="P38" s="390"/>
      <c r="Q38" s="390"/>
      <c r="R38" s="390"/>
    </row>
    <row r="39" customFormat="false" ht="12" hidden="false" customHeight="true" outlineLevel="1" collapsed="false">
      <c r="A39" s="390" t="s">
        <v>785</v>
      </c>
      <c r="B39" s="617" t="n">
        <f aca="false" t="array" ref="B39:B39">INDEX('Modulation-Demodulation Method'!F33:F51,'Modulation-Demodulation Method'!E30,1)</f>
        <v>4.3</v>
      </c>
      <c r="C39" s="390" t="s">
        <v>258</v>
      </c>
      <c r="D39" s="49" t="s">
        <v>838</v>
      </c>
      <c r="E39" s="49"/>
      <c r="F39" s="49"/>
      <c r="G39" s="49"/>
      <c r="H39" s="49"/>
      <c r="I39" s="49"/>
      <c r="J39" s="49"/>
      <c r="K39" s="474"/>
      <c r="L39" s="390"/>
      <c r="M39" s="390"/>
      <c r="N39" s="390"/>
      <c r="O39" s="390"/>
      <c r="P39" s="390"/>
      <c r="Q39" s="390"/>
      <c r="R39" s="390"/>
    </row>
    <row r="40" customFormat="false" ht="12" hidden="false" customHeight="true" outlineLevel="1" collapsed="false">
      <c r="A40" s="390"/>
      <c r="B40" s="390"/>
      <c r="C40" s="390"/>
      <c r="D40" s="49"/>
      <c r="E40" s="49"/>
      <c r="F40" s="49"/>
      <c r="G40" s="49"/>
      <c r="H40" s="49"/>
      <c r="I40" s="49"/>
      <c r="J40" s="49"/>
      <c r="K40" s="474"/>
      <c r="L40" s="390"/>
      <c r="M40" s="390"/>
      <c r="N40" s="390"/>
      <c r="O40" s="390"/>
      <c r="P40" s="390"/>
      <c r="Q40" s="390"/>
      <c r="R40" s="390"/>
    </row>
    <row r="41" customFormat="false" ht="12" hidden="false" customHeight="true" outlineLevel="1" collapsed="false">
      <c r="A41" s="390" t="s">
        <v>787</v>
      </c>
      <c r="B41" s="611" t="n">
        <f aca="false">'Modulation-Demodulation Method'!H32</f>
        <v>5.3</v>
      </c>
      <c r="C41" s="390" t="s">
        <v>258</v>
      </c>
      <c r="D41" s="49" t="s">
        <v>788</v>
      </c>
      <c r="E41" s="49"/>
      <c r="F41" s="49"/>
      <c r="G41" s="49"/>
      <c r="H41" s="49"/>
      <c r="I41" s="49"/>
      <c r="J41" s="49"/>
      <c r="K41" s="474"/>
      <c r="L41" s="390"/>
      <c r="M41" s="390"/>
      <c r="N41" s="390"/>
      <c r="O41" s="390"/>
      <c r="P41" s="390"/>
      <c r="Q41" s="390"/>
      <c r="R41" s="390"/>
    </row>
    <row r="42" customFormat="false" ht="12.75" hidden="false" customHeight="true" outlineLevel="1" collapsed="false">
      <c r="A42" s="390"/>
      <c r="B42" s="390"/>
      <c r="C42" s="390"/>
      <c r="D42" s="49"/>
      <c r="E42" s="49"/>
      <c r="F42" s="49"/>
      <c r="G42" s="49"/>
      <c r="H42" s="49"/>
      <c r="I42" s="49"/>
      <c r="J42" s="49"/>
      <c r="K42" s="474"/>
      <c r="L42" s="390"/>
      <c r="M42" s="390"/>
      <c r="N42" s="390"/>
      <c r="O42" s="390"/>
      <c r="P42" s="390"/>
      <c r="Q42" s="390"/>
      <c r="R42" s="390"/>
    </row>
    <row r="43" customFormat="false" ht="12.75" hidden="false" customHeight="true" outlineLevel="1" collapsed="false">
      <c r="A43" s="624" t="s">
        <v>789</v>
      </c>
      <c r="B43" s="203" t="n">
        <f aca="false">B30-B41</f>
        <v>10.7501636364117</v>
      </c>
      <c r="C43" s="390" t="s">
        <v>258</v>
      </c>
      <c r="D43" s="49"/>
      <c r="E43" s="49"/>
      <c r="F43" s="49"/>
      <c r="G43" s="49"/>
      <c r="H43" s="49"/>
      <c r="I43" s="49"/>
      <c r="J43" s="49"/>
      <c r="K43" s="390"/>
      <c r="L43" s="390"/>
      <c r="M43" s="390"/>
      <c r="N43" s="390"/>
      <c r="O43" s="390"/>
      <c r="P43" s="390"/>
      <c r="Q43" s="390"/>
      <c r="R43" s="390"/>
    </row>
    <row r="44" customFormat="false" ht="12" hidden="false" customHeight="true" outlineLevel="1" collapsed="false">
      <c r="A44" s="390"/>
      <c r="B44" s="390"/>
      <c r="C44" s="390"/>
      <c r="D44" s="49"/>
      <c r="E44" s="49"/>
      <c r="F44" s="49"/>
      <c r="G44" s="49"/>
      <c r="H44" s="49"/>
      <c r="I44" s="49"/>
      <c r="J44" s="49"/>
      <c r="K44" s="625"/>
      <c r="L44" s="390"/>
      <c r="M44" s="390"/>
      <c r="N44" s="390"/>
      <c r="O44" s="390"/>
      <c r="P44" s="390"/>
      <c r="Q44" s="390"/>
      <c r="R44" s="390"/>
    </row>
    <row r="45" customFormat="false" ht="12" hidden="false" customHeight="true" outlineLevel="1" collapsed="false">
      <c r="A45" s="390"/>
      <c r="B45" s="390"/>
      <c r="C45" s="390"/>
      <c r="D45" s="49" t="s">
        <v>0</v>
      </c>
      <c r="E45" s="49"/>
      <c r="F45" s="49"/>
      <c r="G45" s="49"/>
      <c r="H45" s="49"/>
      <c r="I45" s="49"/>
      <c r="J45" s="49"/>
      <c r="K45" s="390"/>
      <c r="L45" s="390"/>
      <c r="M45" s="390"/>
      <c r="N45" s="390"/>
      <c r="O45" s="390"/>
      <c r="P45" s="390"/>
      <c r="Q45" s="390"/>
      <c r="R45" s="390"/>
      <c r="S45" s="326"/>
    </row>
    <row r="46" customFormat="false" ht="12" hidden="false" customHeight="true" outlineLevel="0" collapsed="false">
      <c r="A46" s="626" t="s">
        <v>839</v>
      </c>
      <c r="B46" s="608"/>
      <c r="C46" s="608"/>
      <c r="D46" s="608"/>
      <c r="E46" s="608"/>
      <c r="F46" s="112"/>
      <c r="G46" s="112"/>
      <c r="H46" s="112"/>
      <c r="I46" s="112"/>
      <c r="J46" s="112"/>
      <c r="K46" s="112"/>
      <c r="L46" s="112"/>
      <c r="M46" s="112"/>
      <c r="N46" s="112"/>
      <c r="O46" s="112"/>
      <c r="P46" s="112"/>
      <c r="Q46" s="112"/>
      <c r="R46" s="112"/>
    </row>
    <row r="47" customFormat="false" ht="12" hidden="false" customHeight="true" outlineLevel="1" collapsed="false">
      <c r="A47" s="607" t="s">
        <v>792</v>
      </c>
      <c r="B47" s="608"/>
      <c r="C47" s="608"/>
      <c r="D47" s="608"/>
      <c r="E47" s="608"/>
      <c r="F47" s="112"/>
      <c r="G47" s="112"/>
      <c r="H47" s="112"/>
      <c r="I47" s="112"/>
      <c r="J47" s="112"/>
      <c r="K47" s="112"/>
      <c r="L47" s="112"/>
      <c r="M47" s="112"/>
      <c r="N47" s="112"/>
      <c r="O47" s="112"/>
      <c r="P47" s="112"/>
      <c r="Q47" s="112"/>
      <c r="R47" s="112"/>
    </row>
    <row r="48" customFormat="false" ht="12" hidden="false" customHeight="true" outlineLevel="1" collapsed="false">
      <c r="A48" s="390" t="s">
        <v>741</v>
      </c>
      <c r="B48" s="474" t="n">
        <f aca="false">'Antenna Pointing Losses'!K102</f>
        <v>0.00257140920303451</v>
      </c>
      <c r="C48" s="390" t="s">
        <v>258</v>
      </c>
      <c r="D48" s="49" t="s">
        <v>824</v>
      </c>
      <c r="E48" s="49"/>
      <c r="F48" s="49"/>
      <c r="G48" s="49"/>
      <c r="H48" s="49"/>
      <c r="I48" s="49"/>
      <c r="J48" s="49"/>
      <c r="K48" s="390"/>
      <c r="L48" s="390"/>
      <c r="M48" s="390"/>
      <c r="N48" s="390"/>
      <c r="O48" s="390"/>
      <c r="P48" s="390"/>
      <c r="Q48" s="390"/>
      <c r="R48" s="390"/>
    </row>
    <row r="49" customFormat="false" ht="12" hidden="false" customHeight="true" outlineLevel="1" collapsed="false">
      <c r="A49" s="390" t="s">
        <v>825</v>
      </c>
      <c r="B49" s="474" t="n">
        <f aca="false" t="array" ref="B49:B49">INDEX('Antenna Gain'!N60:N63,'Antenna Gain'!E58,1)</f>
        <v>2</v>
      </c>
      <c r="C49" s="390" t="s">
        <v>512</v>
      </c>
      <c r="D49" s="49" t="s">
        <v>826</v>
      </c>
      <c r="E49" s="49"/>
      <c r="F49" s="49"/>
      <c r="G49" s="49"/>
      <c r="H49" s="49"/>
      <c r="I49" s="49"/>
      <c r="J49" s="49"/>
      <c r="K49" s="390"/>
      <c r="L49" s="390"/>
      <c r="M49" s="390"/>
      <c r="N49" s="390"/>
      <c r="O49" s="390"/>
      <c r="P49" s="390"/>
      <c r="Q49" s="390"/>
      <c r="R49" s="390"/>
    </row>
    <row r="50" customFormat="false" ht="12" hidden="false" customHeight="true" outlineLevel="1" collapsed="false">
      <c r="A50" s="390" t="s">
        <v>827</v>
      </c>
      <c r="B50" s="474" t="n">
        <f aca="false">Receivers!J124</f>
        <v>1.9495</v>
      </c>
      <c r="C50" s="390" t="s">
        <v>258</v>
      </c>
      <c r="D50" s="49" t="s">
        <v>828</v>
      </c>
      <c r="E50" s="49"/>
      <c r="F50" s="49"/>
      <c r="G50" s="49"/>
      <c r="H50" s="49"/>
      <c r="I50" s="49"/>
      <c r="J50" s="49"/>
      <c r="K50" s="390"/>
      <c r="L50" s="390"/>
      <c r="M50" s="390"/>
      <c r="N50" s="390"/>
      <c r="O50" s="390"/>
      <c r="P50" s="390"/>
      <c r="Q50" s="390"/>
      <c r="R50" s="390"/>
    </row>
    <row r="51" customFormat="false" ht="12" hidden="false" customHeight="true" outlineLevel="1" collapsed="false">
      <c r="A51" s="390" t="s">
        <v>829</v>
      </c>
      <c r="B51" s="610" t="n">
        <f aca="false">Receivers!J147</f>
        <v>673.741924821881</v>
      </c>
      <c r="C51" s="390" t="s">
        <v>411</v>
      </c>
      <c r="D51" s="49" t="s">
        <v>830</v>
      </c>
      <c r="E51" s="49"/>
      <c r="F51" s="49"/>
      <c r="G51" s="49"/>
      <c r="H51" s="49"/>
      <c r="I51" s="49"/>
      <c r="J51" s="49"/>
      <c r="K51" s="390"/>
      <c r="L51" s="390"/>
      <c r="M51" s="390"/>
      <c r="N51" s="390"/>
      <c r="O51" s="390"/>
      <c r="P51" s="390"/>
      <c r="Q51" s="390"/>
      <c r="R51" s="390"/>
    </row>
    <row r="52" customFormat="false" ht="12" hidden="false" customHeight="true" outlineLevel="1" collapsed="false">
      <c r="A52" s="390" t="s">
        <v>831</v>
      </c>
      <c r="B52" s="474" t="n">
        <f aca="false">B49-B50-10*LOG10(B51)</f>
        <v>-28.2344357296093</v>
      </c>
      <c r="C52" s="390" t="s">
        <v>765</v>
      </c>
      <c r="D52" s="49" t="s">
        <v>793</v>
      </c>
      <c r="E52" s="49"/>
      <c r="F52" s="49"/>
      <c r="G52" s="49"/>
      <c r="H52" s="49"/>
      <c r="I52" s="49"/>
      <c r="J52" s="49"/>
      <c r="K52" s="390"/>
      <c r="L52" s="390"/>
      <c r="M52" s="390"/>
      <c r="N52" s="390"/>
      <c r="O52" s="390"/>
      <c r="P52" s="390"/>
      <c r="Q52" s="390"/>
      <c r="R52" s="390"/>
    </row>
    <row r="53" customFormat="false" ht="12" hidden="false" customHeight="true" outlineLevel="1" collapsed="false">
      <c r="A53" s="390"/>
      <c r="B53" s="474"/>
      <c r="C53" s="390"/>
      <c r="D53" s="49"/>
      <c r="E53" s="49"/>
      <c r="F53" s="49"/>
      <c r="G53" s="49"/>
      <c r="H53" s="49"/>
      <c r="I53" s="49"/>
      <c r="J53" s="49"/>
      <c r="K53" s="390"/>
      <c r="L53" s="390"/>
      <c r="M53" s="390"/>
      <c r="N53" s="390"/>
      <c r="O53" s="390"/>
      <c r="P53" s="390"/>
      <c r="Q53" s="390"/>
      <c r="R53" s="390"/>
    </row>
    <row r="54" customFormat="false" ht="12" hidden="false" customHeight="true" outlineLevel="1" collapsed="false">
      <c r="A54" s="390" t="s">
        <v>840</v>
      </c>
      <c r="B54" s="297" t="n">
        <f aca="false">B19+B49-B48-B50</f>
        <v>-153.576365697264</v>
      </c>
      <c r="C54" s="390" t="s">
        <v>355</v>
      </c>
      <c r="D54" s="49" t="s">
        <v>795</v>
      </c>
      <c r="E54" s="49"/>
      <c r="F54" s="49"/>
      <c r="G54" s="49"/>
      <c r="H54" s="49"/>
      <c r="I54" s="49"/>
      <c r="J54" s="49"/>
      <c r="K54" s="390"/>
      <c r="L54" s="390"/>
      <c r="M54" s="390"/>
      <c r="N54" s="390"/>
      <c r="O54" s="390"/>
      <c r="P54" s="390"/>
      <c r="Q54" s="390"/>
      <c r="R54" s="390"/>
    </row>
    <row r="55" customFormat="false" ht="12" hidden="false" customHeight="true" outlineLevel="1" collapsed="false">
      <c r="A55" s="390"/>
      <c r="B55" s="617"/>
      <c r="C55" s="390"/>
      <c r="D55" s="49"/>
      <c r="E55" s="49"/>
      <c r="F55" s="49"/>
      <c r="G55" s="49"/>
      <c r="H55" s="49"/>
      <c r="I55" s="49"/>
      <c r="J55" s="49"/>
      <c r="K55" s="390"/>
      <c r="L55" s="390"/>
      <c r="M55" s="390"/>
      <c r="N55" s="390"/>
      <c r="O55" s="390"/>
      <c r="P55" s="390"/>
      <c r="Q55" s="390"/>
      <c r="R55" s="390"/>
    </row>
    <row r="56" customFormat="false" ht="12" hidden="false" customHeight="true" outlineLevel="1" collapsed="false">
      <c r="A56" s="390" t="s">
        <v>841</v>
      </c>
      <c r="B56" s="628" t="n">
        <v>500000</v>
      </c>
      <c r="C56" s="390" t="s">
        <v>797</v>
      </c>
      <c r="D56" s="49" t="s">
        <v>842</v>
      </c>
      <c r="E56" s="49"/>
      <c r="F56" s="49"/>
      <c r="G56" s="49"/>
      <c r="H56" s="627" t="s">
        <v>60</v>
      </c>
      <c r="I56" s="49"/>
      <c r="J56" s="49"/>
      <c r="K56" s="390"/>
      <c r="L56" s="390"/>
      <c r="M56" s="390"/>
      <c r="N56" s="390"/>
      <c r="O56" s="390"/>
      <c r="P56" s="390"/>
      <c r="Q56" s="390"/>
      <c r="R56" s="390"/>
    </row>
    <row r="57" customFormat="false" ht="12" hidden="false" customHeight="true" outlineLevel="1" collapsed="false">
      <c r="A57" s="390"/>
      <c r="B57" s="629"/>
      <c r="C57" s="390"/>
      <c r="D57" s="49"/>
      <c r="E57" s="49"/>
      <c r="F57" s="49"/>
      <c r="G57" s="49"/>
      <c r="H57" s="49"/>
      <c r="I57" s="49"/>
      <c r="J57" s="49"/>
      <c r="K57" s="390"/>
      <c r="L57" s="390"/>
      <c r="M57" s="390"/>
      <c r="N57" s="390"/>
      <c r="O57" s="390"/>
      <c r="P57" s="390"/>
      <c r="Q57" s="390"/>
      <c r="R57" s="390"/>
    </row>
    <row r="58" customFormat="false" ht="12" hidden="false" customHeight="true" outlineLevel="1" collapsed="false">
      <c r="A58" s="390" t="s">
        <v>843</v>
      </c>
      <c r="B58" s="297" t="n">
        <f aca="false">F27+10*LOG10(B51)+10*LOG10(B56)</f>
        <v>-143.32536422703</v>
      </c>
      <c r="C58" s="390" t="s">
        <v>355</v>
      </c>
      <c r="D58" s="49" t="s">
        <v>800</v>
      </c>
      <c r="E58" s="49"/>
      <c r="F58" s="49"/>
      <c r="G58" s="49"/>
      <c r="H58" s="49"/>
      <c r="I58" s="49"/>
      <c r="J58" s="49"/>
      <c r="K58" s="390"/>
      <c r="L58" s="390"/>
      <c r="M58" s="390"/>
      <c r="N58" s="390"/>
      <c r="O58" s="390"/>
      <c r="P58" s="390"/>
      <c r="Q58" s="390"/>
      <c r="R58" s="390"/>
    </row>
    <row r="59" customFormat="false" ht="12" hidden="false" customHeight="true" outlineLevel="1" collapsed="false">
      <c r="A59" s="390"/>
      <c r="B59" s="617"/>
      <c r="C59" s="390"/>
      <c r="D59" s="49"/>
      <c r="E59" s="49"/>
      <c r="F59" s="49"/>
      <c r="G59" s="49"/>
      <c r="H59" s="49"/>
      <c r="I59" s="49"/>
      <c r="J59" s="49"/>
      <c r="K59" s="390"/>
      <c r="L59" s="390"/>
      <c r="M59" s="390"/>
      <c r="N59" s="390"/>
      <c r="O59" s="390"/>
      <c r="P59" s="390"/>
      <c r="Q59" s="390"/>
      <c r="R59" s="390"/>
    </row>
    <row r="60" customFormat="false" ht="12" hidden="false" customHeight="true" outlineLevel="1" collapsed="false">
      <c r="A60" s="390" t="s">
        <v>801</v>
      </c>
      <c r="B60" s="611" t="n">
        <f aca="false">B54-B58</f>
        <v>-10.251001470234</v>
      </c>
      <c r="C60" s="390" t="s">
        <v>258</v>
      </c>
      <c r="D60" s="49" t="s">
        <v>802</v>
      </c>
      <c r="E60" s="49"/>
      <c r="F60" s="49"/>
      <c r="G60" s="49"/>
      <c r="H60" s="49"/>
      <c r="I60" s="49"/>
      <c r="J60" s="49"/>
      <c r="K60" s="390"/>
      <c r="L60" s="390"/>
      <c r="M60" s="390"/>
      <c r="N60" s="390"/>
      <c r="O60" s="390"/>
      <c r="P60" s="390"/>
      <c r="Q60" s="390"/>
      <c r="R60" s="390"/>
    </row>
    <row r="61" customFormat="false" ht="12" hidden="false" customHeight="true" outlineLevel="1" collapsed="false">
      <c r="A61" s="390"/>
      <c r="B61" s="474"/>
      <c r="C61" s="390"/>
      <c r="D61" s="49"/>
      <c r="E61" s="49"/>
      <c r="F61" s="49"/>
      <c r="G61" s="49"/>
      <c r="H61" s="49"/>
      <c r="I61" s="49"/>
      <c r="J61" s="49"/>
      <c r="K61" s="390"/>
      <c r="L61" s="390"/>
      <c r="M61" s="390"/>
      <c r="N61" s="390"/>
      <c r="O61" s="390"/>
      <c r="P61" s="390"/>
      <c r="Q61" s="390"/>
      <c r="R61" s="390"/>
    </row>
    <row r="62" customFormat="false" ht="12" hidden="false" customHeight="true" outlineLevel="1" collapsed="false">
      <c r="A62" s="390" t="s">
        <v>803</v>
      </c>
      <c r="B62" s="250" t="n">
        <v>-21</v>
      </c>
      <c r="C62" s="390" t="s">
        <v>258</v>
      </c>
      <c r="D62" s="49" t="s">
        <v>804</v>
      </c>
      <c r="E62" s="49"/>
      <c r="F62" s="49"/>
      <c r="G62" s="49"/>
      <c r="H62" s="49"/>
      <c r="I62" s="49"/>
      <c r="J62" s="49"/>
      <c r="K62" s="390"/>
      <c r="L62" s="390"/>
      <c r="M62" s="390"/>
      <c r="N62" s="390"/>
      <c r="O62" s="390"/>
      <c r="P62" s="390"/>
      <c r="Q62" s="390"/>
      <c r="R62" s="390"/>
    </row>
    <row r="63" customFormat="false" ht="12.75" hidden="false" customHeight="true" outlineLevel="1" collapsed="false">
      <c r="A63" s="390"/>
      <c r="B63" s="474"/>
      <c r="C63" s="390"/>
      <c r="D63" s="49"/>
      <c r="E63" s="49"/>
      <c r="F63" s="49"/>
      <c r="G63" s="49"/>
      <c r="H63" s="49"/>
      <c r="I63" s="49"/>
      <c r="J63" s="49"/>
      <c r="K63" s="390"/>
      <c r="L63" s="390"/>
      <c r="M63" s="390"/>
      <c r="N63" s="390"/>
      <c r="O63" s="390"/>
      <c r="P63" s="390"/>
      <c r="Q63" s="390"/>
      <c r="R63" s="390"/>
    </row>
    <row r="64" customFormat="false" ht="12.75" hidden="false" customHeight="true" outlineLevel="1" collapsed="false">
      <c r="A64" s="390" t="s">
        <v>805</v>
      </c>
      <c r="B64" s="203" t="n">
        <f aca="false">B60-B62</f>
        <v>10.748998529766</v>
      </c>
      <c r="C64" s="390" t="s">
        <v>258</v>
      </c>
      <c r="D64" s="49"/>
      <c r="E64" s="49"/>
      <c r="F64" s="49"/>
      <c r="G64" s="49"/>
      <c r="H64" s="49"/>
      <c r="I64" s="49"/>
      <c r="J64" s="49"/>
      <c r="K64" s="390"/>
      <c r="L64" s="390"/>
      <c r="M64" s="390"/>
      <c r="N64" s="390"/>
      <c r="O64" s="390"/>
      <c r="P64" s="390"/>
      <c r="Q64" s="390"/>
      <c r="R64" s="390"/>
    </row>
    <row r="65" customFormat="false" ht="12" hidden="false" customHeight="true" outlineLevel="1" collapsed="false">
      <c r="A65" s="390"/>
      <c r="B65" s="390"/>
      <c r="C65" s="390"/>
      <c r="D65" s="49"/>
      <c r="E65" s="49"/>
      <c r="F65" s="49"/>
      <c r="G65" s="49"/>
      <c r="H65" s="49"/>
      <c r="I65" s="49"/>
      <c r="J65" s="49"/>
      <c r="K65" s="390"/>
      <c r="L65" s="390"/>
      <c r="M65" s="390"/>
      <c r="N65" s="390"/>
      <c r="O65" s="390"/>
      <c r="P65" s="390"/>
      <c r="Q65" s="390"/>
      <c r="R65" s="390"/>
    </row>
    <row r="66" customFormat="false" ht="12" hidden="false" customHeight="true" outlineLevel="1" collapsed="false">
      <c r="A66" s="390"/>
      <c r="B66" s="390"/>
      <c r="C66" s="390"/>
      <c r="D66" s="49"/>
      <c r="E66" s="49"/>
      <c r="F66" s="49"/>
      <c r="G66" s="49"/>
      <c r="H66" s="49"/>
      <c r="I66" s="49"/>
      <c r="J66" s="49"/>
      <c r="K66" s="390"/>
      <c r="L66" s="390"/>
      <c r="M66" s="390"/>
      <c r="N66" s="390"/>
      <c r="O66" s="390"/>
      <c r="P66" s="390"/>
      <c r="Q66" s="390"/>
      <c r="R66" s="390"/>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6"/>
      <c r="E69" s="326"/>
      <c r="F69" s="326"/>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6"/>
      <c r="H78" s="326"/>
      <c r="I78" s="326"/>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52" colorId="64" zoomScale="120" zoomScaleNormal="120" zoomScalePageLayoutView="100" workbookViewId="0">
      <selection pane="topLeft" activeCell="O88" activeCellId="0" sqref="O88"/>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844</v>
      </c>
      <c r="B1" s="10"/>
      <c r="C1" s="10"/>
      <c r="D1" s="10"/>
      <c r="E1" s="10"/>
      <c r="F1" s="10"/>
      <c r="G1" s="327" t="str">
        <f aca="false">'Title Page'!F3</f>
        <v>Coconut Cubesat</v>
      </c>
      <c r="H1" s="10"/>
      <c r="I1" s="498"/>
      <c r="J1" s="498"/>
      <c r="K1" s="498"/>
      <c r="L1" s="637" t="str">
        <f aca="false">'Title Page'!F23</f>
        <v>2025 June 08</v>
      </c>
      <c r="M1" s="498"/>
      <c r="N1" s="498"/>
      <c r="O1" s="498"/>
      <c r="P1" s="498"/>
      <c r="Q1" s="498"/>
      <c r="R1" s="498"/>
    </row>
    <row r="2" customFormat="false" ht="12" hidden="false" customHeight="true" outlineLevel="0" collapsed="false">
      <c r="A2" s="638"/>
      <c r="B2" s="639" t="s">
        <v>845</v>
      </c>
      <c r="C2" s="640"/>
      <c r="D2" s="640"/>
      <c r="E2" s="640"/>
      <c r="F2" s="640"/>
      <c r="G2" s="640" t="s">
        <v>0</v>
      </c>
      <c r="H2" s="641"/>
      <c r="I2" s="642"/>
      <c r="J2" s="639" t="s">
        <v>846</v>
      </c>
      <c r="K2" s="640"/>
      <c r="L2" s="640"/>
      <c r="M2" s="640"/>
      <c r="N2" s="640"/>
      <c r="O2" s="640"/>
      <c r="P2" s="640"/>
      <c r="Q2" s="640"/>
      <c r="R2" s="641"/>
    </row>
    <row r="3" customFormat="false" ht="15" hidden="false" customHeight="true" outlineLevel="0" collapsed="false">
      <c r="A3" s="512"/>
      <c r="B3" s="44" t="s">
        <v>847</v>
      </c>
      <c r="C3" s="643"/>
      <c r="D3" s="19"/>
      <c r="E3" s="644" t="s">
        <v>309</v>
      </c>
      <c r="F3" s="645" t="n">
        <f aca="false">Frequency!M10</f>
        <v>437.5</v>
      </c>
      <c r="G3" s="19"/>
      <c r="H3" s="516"/>
      <c r="I3" s="512"/>
      <c r="J3" s="61" t="s">
        <v>848</v>
      </c>
      <c r="K3" s="62"/>
      <c r="L3" s="19"/>
      <c r="M3" s="644" t="s">
        <v>309</v>
      </c>
      <c r="N3" s="646" t="n">
        <f aca="false">Frequency!M16</f>
        <v>437.45</v>
      </c>
      <c r="O3" s="19"/>
      <c r="P3" s="19"/>
      <c r="Q3" s="19"/>
      <c r="R3" s="516"/>
    </row>
    <row r="4" customFormat="false" ht="12.75" hidden="false" customHeight="true" outlineLevel="0" collapsed="false">
      <c r="A4" s="512"/>
      <c r="B4" s="19"/>
      <c r="C4" s="19"/>
      <c r="D4" s="19"/>
      <c r="E4" s="19"/>
      <c r="F4" s="19"/>
      <c r="G4" s="19"/>
      <c r="H4" s="516"/>
      <c r="I4" s="512"/>
      <c r="J4" s="19"/>
      <c r="K4" s="19"/>
      <c r="L4" s="19"/>
      <c r="M4" s="19"/>
      <c r="N4" s="19"/>
      <c r="O4" s="19"/>
      <c r="P4" s="19"/>
      <c r="Q4" s="19"/>
      <c r="R4" s="516"/>
    </row>
    <row r="5" customFormat="false" ht="12.75" hidden="false" customHeight="true" outlineLevel="0" collapsed="false">
      <c r="A5" s="512" t="s">
        <v>849</v>
      </c>
      <c r="B5" s="604" t="s">
        <v>850</v>
      </c>
      <c r="C5" s="647" t="n">
        <f aca="false">'Uplink Budget'!B30</f>
        <v>7.87627142215548</v>
      </c>
      <c r="D5" s="19"/>
      <c r="E5" s="648" t="s">
        <v>851</v>
      </c>
      <c r="F5" s="649" t="n">
        <f aca="false">'Uplink Budget'!B43</f>
        <v>2.57627142215548</v>
      </c>
      <c r="G5" s="650" t="str">
        <f aca="false">IF(F5&lt;0,"NO LINK !",IF(F5&lt;6,"MARGINAL LINK",IF(F5&gt;6,"LINK CLOSES")))</f>
        <v>MARGINAL LINK</v>
      </c>
      <c r="H5" s="516"/>
      <c r="I5" s="512"/>
      <c r="J5" s="19"/>
      <c r="K5" s="604" t="s">
        <v>852</v>
      </c>
      <c r="L5" s="651" t="n">
        <f aca="false">'Downlink Budget'!B28</f>
        <v>1171.8</v>
      </c>
      <c r="M5" s="19"/>
      <c r="N5" s="19"/>
      <c r="O5" s="19"/>
      <c r="P5" s="19"/>
      <c r="Q5" s="19"/>
      <c r="R5" s="516"/>
    </row>
    <row r="6" customFormat="false" ht="12.75" hidden="false" customHeight="true" outlineLevel="0" collapsed="false">
      <c r="A6" s="512"/>
      <c r="B6" s="19"/>
      <c r="C6" s="19"/>
      <c r="D6" s="19"/>
      <c r="E6" s="19"/>
      <c r="F6" s="19"/>
      <c r="G6" s="98" t="s">
        <v>0</v>
      </c>
      <c r="H6" s="516"/>
      <c r="I6" s="512"/>
      <c r="J6" s="19"/>
      <c r="K6" s="19"/>
      <c r="L6" s="19"/>
      <c r="M6" s="19"/>
      <c r="N6" s="652" t="s">
        <v>853</v>
      </c>
      <c r="O6" s="653"/>
      <c r="P6" s="19"/>
      <c r="Q6" s="19"/>
      <c r="R6" s="516"/>
    </row>
    <row r="7" customFormat="false" ht="12.75" hidden="false" customHeight="true" outlineLevel="0" collapsed="false">
      <c r="A7" s="512" t="s">
        <v>854</v>
      </c>
      <c r="B7" s="604" t="s">
        <v>855</v>
      </c>
      <c r="C7" s="647" t="n">
        <f aca="false">'Uplink Budget'!B61</f>
        <v>-18.4248936844897</v>
      </c>
      <c r="D7" s="19"/>
      <c r="E7" s="648" t="s">
        <v>851</v>
      </c>
      <c r="F7" s="649" t="n">
        <f aca="false">'Uplink Budget'!B65</f>
        <v>2.57510631551028</v>
      </c>
      <c r="G7" s="650" t="str">
        <f aca="false">IF(F7&lt;0,"NO LINK !",IF(F7&lt;6,"MARGINAL LINK",IF(F7&gt;6,"LINK CLOSES")))</f>
        <v>MARGINAL LINK</v>
      </c>
      <c r="H7" s="516"/>
      <c r="I7" s="512"/>
      <c r="J7" s="19"/>
      <c r="K7" s="19"/>
      <c r="L7" s="19"/>
      <c r="M7" s="19"/>
      <c r="N7" s="654" t="str">
        <f aca="false">'Downlink Budget'!B32</f>
        <v>LoRa</v>
      </c>
      <c r="O7" s="655"/>
      <c r="P7" s="19"/>
      <c r="Q7" s="19"/>
      <c r="R7" s="516"/>
    </row>
    <row r="8" customFormat="false" ht="12" hidden="false" customHeight="true" outlineLevel="0" collapsed="false">
      <c r="A8" s="512"/>
      <c r="B8" s="19"/>
      <c r="C8" s="656"/>
      <c r="D8" s="19"/>
      <c r="E8" s="19"/>
      <c r="F8" s="657"/>
      <c r="G8" s="19"/>
      <c r="H8" s="516"/>
      <c r="I8" s="512"/>
      <c r="J8" s="19"/>
      <c r="K8" s="19"/>
      <c r="L8" s="19"/>
      <c r="M8" s="19"/>
      <c r="N8" s="19"/>
      <c r="O8" s="19"/>
      <c r="P8" s="19"/>
      <c r="Q8" s="19"/>
      <c r="R8" s="516"/>
    </row>
    <row r="9" customFormat="false" ht="12" hidden="false" customHeight="true" outlineLevel="0" collapsed="false">
      <c r="A9" s="23" t="s">
        <v>60</v>
      </c>
      <c r="B9" s="19"/>
      <c r="C9" s="656"/>
      <c r="D9" s="19"/>
      <c r="E9" s="19"/>
      <c r="F9" s="657"/>
      <c r="G9" s="19"/>
      <c r="H9" s="516"/>
      <c r="I9" s="512"/>
      <c r="J9" s="19"/>
      <c r="K9" s="19"/>
      <c r="L9" s="19"/>
      <c r="M9" s="19"/>
      <c r="N9" s="658" t="s">
        <v>856</v>
      </c>
      <c r="O9" s="653"/>
      <c r="P9" s="19"/>
      <c r="Q9" s="19"/>
      <c r="R9" s="516"/>
    </row>
    <row r="10" customFormat="false" ht="12" hidden="false" customHeight="true" outlineLevel="0" collapsed="false">
      <c r="A10" s="512"/>
      <c r="B10" s="19"/>
      <c r="C10" s="604" t="s">
        <v>852</v>
      </c>
      <c r="D10" s="651" t="n">
        <f aca="false">'Uplink Budget'!B28</f>
        <v>1171.8</v>
      </c>
      <c r="E10" s="19"/>
      <c r="F10" s="19"/>
      <c r="G10" s="19"/>
      <c r="H10" s="516"/>
      <c r="I10" s="512"/>
      <c r="J10" s="19"/>
      <c r="K10" s="19"/>
      <c r="L10" s="19"/>
      <c r="M10" s="19"/>
      <c r="N10" s="659" t="str">
        <f aca="false">'Downlink Budget'!B33</f>
        <v>Spread Spectrum (SF 12, 500 kHz, CR 4:5)</v>
      </c>
      <c r="O10" s="655"/>
      <c r="P10" s="19"/>
      <c r="Q10" s="19"/>
      <c r="R10" s="516"/>
    </row>
    <row r="11" customFormat="false" ht="12" hidden="false" customHeight="true" outlineLevel="0" collapsed="false">
      <c r="A11" s="512"/>
      <c r="B11" s="19"/>
      <c r="C11" s="19"/>
      <c r="D11" s="19"/>
      <c r="E11" s="19"/>
      <c r="F11" s="19"/>
      <c r="G11" s="19"/>
      <c r="H11" s="516"/>
      <c r="I11" s="512"/>
      <c r="J11" s="19"/>
      <c r="K11" s="19"/>
      <c r="L11" s="19"/>
      <c r="M11" s="19"/>
      <c r="N11" s="19"/>
      <c r="O11" s="19"/>
      <c r="P11" s="19"/>
      <c r="Q11" s="19"/>
      <c r="R11" s="516"/>
    </row>
    <row r="12" customFormat="false" ht="13.5" hidden="false" customHeight="true" outlineLevel="0" collapsed="false">
      <c r="A12" s="512"/>
      <c r="B12" s="19"/>
      <c r="C12" s="19"/>
      <c r="D12" s="19"/>
      <c r="E12" s="19"/>
      <c r="F12" s="19"/>
      <c r="G12" s="19"/>
      <c r="H12" s="516"/>
      <c r="I12" s="512"/>
      <c r="J12" s="19"/>
      <c r="K12" s="19"/>
      <c r="L12" s="19"/>
      <c r="M12" s="19"/>
      <c r="N12" s="660" t="s">
        <v>857</v>
      </c>
      <c r="O12" s="661" t="n">
        <v>0.4</v>
      </c>
      <c r="P12" s="19"/>
      <c r="Q12" s="19"/>
      <c r="R12" s="516"/>
    </row>
    <row r="13" customFormat="false" ht="12" hidden="false" customHeight="true" outlineLevel="0" collapsed="false">
      <c r="A13" s="512"/>
      <c r="B13" s="19"/>
      <c r="C13" s="19"/>
      <c r="D13" s="19" t="s">
        <v>0</v>
      </c>
      <c r="E13" s="19"/>
      <c r="F13" s="658" t="s">
        <v>858</v>
      </c>
      <c r="G13" s="653"/>
      <c r="H13" s="516"/>
      <c r="I13" s="512"/>
      <c r="J13" s="19"/>
      <c r="K13" s="19"/>
      <c r="L13" s="19"/>
      <c r="M13" s="19"/>
      <c r="N13" s="19"/>
      <c r="O13" s="19"/>
      <c r="P13" s="19"/>
      <c r="Q13" s="19"/>
      <c r="R13" s="516"/>
    </row>
    <row r="14" customFormat="false" ht="12" hidden="false" customHeight="true" outlineLevel="0" collapsed="false">
      <c r="A14" s="512"/>
      <c r="B14" s="19"/>
      <c r="C14" s="19"/>
      <c r="D14" s="19"/>
      <c r="E14" s="19"/>
      <c r="F14" s="659" t="str">
        <f aca="false">'Uplink Budget'!B33</f>
        <v>Spread Spectrum (SF 12, 500 kHz, CR 4:5)</v>
      </c>
      <c r="G14" s="655"/>
      <c r="H14" s="516"/>
      <c r="I14" s="512"/>
      <c r="J14" s="19"/>
      <c r="K14" s="19"/>
      <c r="L14" s="19"/>
      <c r="M14" s="19"/>
      <c r="N14" s="662" t="s">
        <v>859</v>
      </c>
      <c r="O14" s="663" t="n">
        <f aca="false">O18/O12</f>
        <v>2.5</v>
      </c>
      <c r="P14" s="19"/>
      <c r="Q14" s="19"/>
      <c r="R14" s="516"/>
    </row>
    <row r="15" customFormat="false" ht="12" hidden="false" customHeight="true" outlineLevel="0" collapsed="false">
      <c r="A15" s="512"/>
      <c r="B15" s="19"/>
      <c r="C15" s="19"/>
      <c r="D15" s="19"/>
      <c r="E15" s="19"/>
      <c r="F15" s="19"/>
      <c r="G15" s="19"/>
      <c r="H15" s="516"/>
      <c r="I15" s="512"/>
      <c r="J15" s="19"/>
      <c r="K15" s="19"/>
      <c r="L15" s="19"/>
      <c r="M15" s="19"/>
      <c r="N15" s="19"/>
      <c r="O15" s="19"/>
      <c r="P15" s="19"/>
      <c r="Q15" s="19"/>
      <c r="R15" s="516"/>
    </row>
    <row r="16" customFormat="false" ht="12" hidden="false" customHeight="true" outlineLevel="0" collapsed="false">
      <c r="A16" s="512"/>
      <c r="B16" s="19"/>
      <c r="C16" s="19"/>
      <c r="D16" s="19"/>
      <c r="E16" s="19"/>
      <c r="F16" s="19"/>
      <c r="G16" s="19"/>
      <c r="H16" s="516"/>
      <c r="I16" s="512"/>
      <c r="J16" s="19"/>
      <c r="K16" s="19"/>
      <c r="L16" s="19"/>
      <c r="M16" s="19"/>
      <c r="N16" s="664" t="s">
        <v>860</v>
      </c>
      <c r="O16" s="663" t="n">
        <f aca="false">O14-O18</f>
        <v>1.5</v>
      </c>
      <c r="P16" s="19"/>
      <c r="Q16" s="19"/>
      <c r="R16" s="516"/>
    </row>
    <row r="17" customFormat="false" ht="12" hidden="false" customHeight="true" outlineLevel="0" collapsed="false">
      <c r="A17" s="512"/>
      <c r="B17" s="19"/>
      <c r="C17" s="19"/>
      <c r="D17" s="19"/>
      <c r="E17" s="19"/>
      <c r="F17" s="19"/>
      <c r="G17" s="19"/>
      <c r="H17" s="516"/>
      <c r="I17" s="512"/>
      <c r="J17" s="28" t="s">
        <v>0</v>
      </c>
      <c r="K17" s="19"/>
      <c r="L17" s="19" t="s">
        <v>861</v>
      </c>
      <c r="M17" s="19"/>
      <c r="N17" s="19"/>
      <c r="O17" s="215"/>
      <c r="P17" s="19"/>
      <c r="Q17" s="19"/>
      <c r="R17" s="516"/>
    </row>
    <row r="18" customFormat="false" ht="12" hidden="false" customHeight="true" outlineLevel="0" collapsed="false">
      <c r="A18" s="512"/>
      <c r="B18" s="19"/>
      <c r="C18" s="19"/>
      <c r="D18" s="19"/>
      <c r="E18" s="19"/>
      <c r="F18" s="665" t="s">
        <v>862</v>
      </c>
      <c r="G18" s="666" t="n">
        <f aca="false">'Uplink Budget'!B35</f>
        <v>0.0001</v>
      </c>
      <c r="H18" s="516"/>
      <c r="I18" s="512"/>
      <c r="J18" s="19"/>
      <c r="K18" s="19"/>
      <c r="L18" s="19"/>
      <c r="M18" s="19"/>
      <c r="N18" s="604" t="s">
        <v>863</v>
      </c>
      <c r="O18" s="667" t="n">
        <f aca="false">Transmitters!E52</f>
        <v>1</v>
      </c>
      <c r="P18" s="19"/>
      <c r="Q18" s="19"/>
      <c r="R18" s="516"/>
    </row>
    <row r="19" customFormat="false" ht="12" hidden="false" customHeight="true" outlineLevel="0" collapsed="false">
      <c r="A19" s="512"/>
      <c r="B19" s="19"/>
      <c r="C19" s="19"/>
      <c r="D19" s="19"/>
      <c r="E19" s="19"/>
      <c r="F19" s="658" t="s">
        <v>864</v>
      </c>
      <c r="G19" s="653"/>
      <c r="H19" s="516"/>
      <c r="I19" s="512"/>
      <c r="J19" s="19"/>
      <c r="K19" s="19"/>
      <c r="L19" s="19"/>
      <c r="M19" s="19"/>
      <c r="N19" s="19"/>
      <c r="O19" s="19"/>
      <c r="P19" s="19"/>
      <c r="Q19" s="19"/>
      <c r="R19" s="516"/>
    </row>
    <row r="20" customFormat="false" ht="12" hidden="false" customHeight="true" outlineLevel="0" collapsed="false">
      <c r="A20" s="512"/>
      <c r="B20" s="19"/>
      <c r="C20" s="19"/>
      <c r="D20" s="19"/>
      <c r="E20" s="19"/>
      <c r="F20" s="654" t="str">
        <f aca="false">'Uplink Budget'!B32</f>
        <v>LoRa</v>
      </c>
      <c r="G20" s="655"/>
      <c r="H20" s="516"/>
      <c r="I20" s="512"/>
      <c r="J20" s="19"/>
      <c r="K20" s="19"/>
      <c r="L20" s="19"/>
      <c r="M20" s="19"/>
      <c r="N20" s="604" t="s">
        <v>865</v>
      </c>
      <c r="O20" s="647" t="n">
        <f aca="false">Transmitters!E61*Transmitters!I55</f>
        <v>0.1995</v>
      </c>
      <c r="P20" s="19"/>
      <c r="Q20" s="19"/>
      <c r="R20" s="516"/>
    </row>
    <row r="21" customFormat="false" ht="12" hidden="false" customHeight="true" outlineLevel="0" collapsed="false">
      <c r="A21" s="512"/>
      <c r="B21" s="19"/>
      <c r="C21" s="19"/>
      <c r="D21" s="19"/>
      <c r="E21" s="19"/>
      <c r="F21" s="668" t="s">
        <v>787</v>
      </c>
      <c r="G21" s="669" t="n">
        <f aca="false">'Uplink Budget'!B41</f>
        <v>5.3</v>
      </c>
      <c r="H21" s="516"/>
      <c r="I21" s="512"/>
      <c r="J21" s="19"/>
      <c r="K21" s="19"/>
      <c r="L21" s="19"/>
      <c r="M21" s="19"/>
      <c r="N21" s="19"/>
      <c r="O21" s="19"/>
      <c r="P21" s="19"/>
      <c r="Q21" s="19"/>
      <c r="R21" s="516"/>
    </row>
    <row r="22" customFormat="false" ht="12" hidden="false" customHeight="true" outlineLevel="0" collapsed="false">
      <c r="A22" s="512"/>
      <c r="B22" s="19"/>
      <c r="C22" s="19"/>
      <c r="D22" s="19"/>
      <c r="E22" s="19"/>
      <c r="F22" s="19"/>
      <c r="G22" s="19"/>
      <c r="H22" s="516"/>
      <c r="I22" s="512"/>
      <c r="J22" s="19"/>
      <c r="K22" s="19"/>
      <c r="L22" s="19"/>
      <c r="M22" s="19"/>
      <c r="N22" s="604" t="s">
        <v>866</v>
      </c>
      <c r="O22" s="647" t="n">
        <f aca="false">Transmitters!I66</f>
        <v>0</v>
      </c>
      <c r="P22" s="19"/>
      <c r="Q22" s="19"/>
      <c r="R22" s="516"/>
    </row>
    <row r="23" customFormat="false" ht="12" hidden="false" customHeight="true" outlineLevel="0" collapsed="false">
      <c r="A23" s="512"/>
      <c r="B23" s="19"/>
      <c r="C23" s="19"/>
      <c r="D23" s="19"/>
      <c r="E23" s="19"/>
      <c r="F23" s="19"/>
      <c r="G23" s="19"/>
      <c r="H23" s="516"/>
      <c r="I23" s="512"/>
      <c r="J23" s="28" t="s">
        <v>0</v>
      </c>
      <c r="K23" s="19"/>
      <c r="L23" s="19" t="s">
        <v>867</v>
      </c>
      <c r="M23" s="19"/>
      <c r="N23" s="19"/>
      <c r="O23" s="19"/>
      <c r="P23" s="19"/>
      <c r="Q23" s="19"/>
      <c r="R23" s="516"/>
    </row>
    <row r="24" customFormat="false" ht="12" hidden="false" customHeight="true" outlineLevel="0" collapsed="false">
      <c r="A24" s="512"/>
      <c r="B24" s="19"/>
      <c r="C24" s="19"/>
      <c r="D24" s="19"/>
      <c r="E24" s="19"/>
      <c r="F24" s="19"/>
      <c r="G24" s="19"/>
      <c r="H24" s="516"/>
      <c r="I24" s="512"/>
      <c r="J24" s="19"/>
      <c r="K24" s="19"/>
      <c r="L24" s="19"/>
      <c r="M24" s="19"/>
      <c r="N24" s="604" t="s">
        <v>868</v>
      </c>
      <c r="O24" s="647" t="n">
        <f aca="false">Transmitters!I56*Transmitters!E61</f>
        <v>0.1995</v>
      </c>
      <c r="P24" s="19"/>
      <c r="Q24" s="19"/>
      <c r="R24" s="516"/>
    </row>
    <row r="25" customFormat="false" ht="12" hidden="false" customHeight="true" outlineLevel="0" collapsed="false">
      <c r="A25" s="512"/>
      <c r="B25" s="19"/>
      <c r="C25" s="19"/>
      <c r="D25" s="19"/>
      <c r="E25" s="19"/>
      <c r="F25" s="604" t="s">
        <v>869</v>
      </c>
      <c r="G25" s="670" t="n">
        <f aca="false">'Uplink Budget'!B57</f>
        <v>500000</v>
      </c>
      <c r="H25" s="516"/>
      <c r="I25" s="512"/>
      <c r="J25" s="19"/>
      <c r="K25" s="19"/>
      <c r="L25" s="19"/>
      <c r="M25" s="19"/>
      <c r="N25" s="19"/>
      <c r="O25" s="19"/>
      <c r="P25" s="19"/>
      <c r="Q25" s="19"/>
      <c r="R25" s="516"/>
    </row>
    <row r="26" customFormat="false" ht="12" hidden="false" customHeight="true" outlineLevel="0" collapsed="false">
      <c r="A26" s="512"/>
      <c r="B26" s="19"/>
      <c r="C26" s="19"/>
      <c r="D26" s="19"/>
      <c r="E26" s="19"/>
      <c r="F26" s="19" t="s">
        <v>870</v>
      </c>
      <c r="G26" s="19"/>
      <c r="H26" s="516"/>
      <c r="I26" s="512"/>
      <c r="J26" s="19"/>
      <c r="K26" s="19"/>
      <c r="L26" s="19"/>
      <c r="M26" s="19"/>
      <c r="N26" s="604" t="s">
        <v>871</v>
      </c>
      <c r="O26" s="647" t="n">
        <f aca="false">Transmitters!I67</f>
        <v>1.7</v>
      </c>
      <c r="P26" s="19"/>
      <c r="Q26" s="19"/>
      <c r="R26" s="516"/>
    </row>
    <row r="27" customFormat="false" ht="12" hidden="false" customHeight="true" outlineLevel="0" collapsed="false">
      <c r="A27" s="512"/>
      <c r="B27" s="19"/>
      <c r="C27" s="19"/>
      <c r="D27" s="19"/>
      <c r="E27" s="19"/>
      <c r="F27" s="19"/>
      <c r="G27" s="19"/>
      <c r="H27" s="516"/>
      <c r="I27" s="512"/>
      <c r="J27" s="19"/>
      <c r="K27" s="19"/>
      <c r="L27" s="19"/>
      <c r="M27" s="19"/>
      <c r="N27" s="671" t="str">
        <f aca="false">Transmitters!F67</f>
        <v>RF Switch Loss + Antenna Insertion Losses</v>
      </c>
      <c r="O27" s="66"/>
      <c r="P27" s="19"/>
      <c r="Q27" s="19"/>
      <c r="R27" s="516"/>
    </row>
    <row r="28" customFormat="false" ht="12" hidden="false" customHeight="true" outlineLevel="0" collapsed="false">
      <c r="A28" s="512"/>
      <c r="B28" s="19"/>
      <c r="C28" s="19"/>
      <c r="D28" s="19"/>
      <c r="E28" s="19"/>
      <c r="F28" s="19"/>
      <c r="G28" s="19"/>
      <c r="H28" s="516"/>
      <c r="I28" s="512"/>
      <c r="J28" s="19"/>
      <c r="K28" s="19"/>
      <c r="L28" s="19"/>
      <c r="M28" s="19"/>
      <c r="N28" s="19" t="s">
        <v>0</v>
      </c>
      <c r="O28" s="19"/>
      <c r="P28" s="19"/>
      <c r="Q28" s="19"/>
      <c r="R28" s="516"/>
    </row>
    <row r="29" customFormat="false" ht="12" hidden="false" customHeight="true" outlineLevel="0" collapsed="false">
      <c r="A29" s="512"/>
      <c r="B29" s="19"/>
      <c r="C29" s="19"/>
      <c r="D29" s="19"/>
      <c r="E29" s="19"/>
      <c r="F29" s="19"/>
      <c r="G29" s="19"/>
      <c r="H29" s="516"/>
      <c r="I29" s="512"/>
      <c r="J29" s="19"/>
      <c r="K29" s="19"/>
      <c r="L29" s="19"/>
      <c r="M29" s="19"/>
      <c r="N29" s="604" t="s">
        <v>872</v>
      </c>
      <c r="O29" s="647" t="n">
        <f aca="false">Transmitters!E61*Transmitters!I57</f>
        <v>0</v>
      </c>
      <c r="P29" s="19"/>
      <c r="Q29" s="19"/>
      <c r="R29" s="516"/>
    </row>
    <row r="30" customFormat="false" ht="12" hidden="false" customHeight="true" outlineLevel="0" collapsed="false">
      <c r="A30" s="512"/>
      <c r="B30" s="19"/>
      <c r="C30" s="19"/>
      <c r="D30" s="19"/>
      <c r="E30" s="19"/>
      <c r="F30" s="19"/>
      <c r="G30" s="19"/>
      <c r="H30" s="516"/>
      <c r="I30" s="512"/>
      <c r="J30" s="28" t="s">
        <v>0</v>
      </c>
      <c r="K30" s="19"/>
      <c r="L30" s="19" t="s">
        <v>873</v>
      </c>
      <c r="M30" s="19"/>
      <c r="N30" s="19"/>
      <c r="O30" s="19"/>
      <c r="P30" s="19"/>
      <c r="Q30" s="19"/>
      <c r="R30" s="516"/>
    </row>
    <row r="31" customFormat="false" ht="12" hidden="false" customHeight="true" outlineLevel="0" collapsed="false">
      <c r="A31" s="512"/>
      <c r="B31" s="19"/>
      <c r="C31" s="19"/>
      <c r="D31" s="19"/>
      <c r="E31" s="19"/>
      <c r="F31" s="19"/>
      <c r="G31" s="19"/>
      <c r="H31" s="516"/>
      <c r="I31" s="512"/>
      <c r="J31" s="19"/>
      <c r="K31" s="19"/>
      <c r="L31" s="19"/>
      <c r="M31" s="19"/>
      <c r="N31" s="604" t="s">
        <v>874</v>
      </c>
      <c r="O31" s="647" t="n">
        <f aca="false">Transmitters!I71</f>
        <v>2.349</v>
      </c>
      <c r="P31" s="19"/>
      <c r="Q31" s="19"/>
      <c r="R31" s="516"/>
    </row>
    <row r="32" customFormat="false" ht="12" hidden="false" customHeight="true" outlineLevel="0" collapsed="false">
      <c r="A32" s="512"/>
      <c r="B32" s="19"/>
      <c r="C32" s="19"/>
      <c r="D32" s="19"/>
      <c r="E32" s="19"/>
      <c r="F32" s="19"/>
      <c r="G32" s="19"/>
      <c r="H32" s="516"/>
      <c r="I32" s="512"/>
      <c r="J32" s="19"/>
      <c r="K32" s="19"/>
      <c r="L32" s="19"/>
      <c r="M32" s="19"/>
      <c r="N32" s="19"/>
      <c r="O32" s="19"/>
      <c r="P32" s="19"/>
      <c r="Q32" s="19"/>
      <c r="R32" s="516"/>
    </row>
    <row r="33" customFormat="false" ht="12" hidden="false" customHeight="true" outlineLevel="0" collapsed="false">
      <c r="A33" s="512"/>
      <c r="B33" s="19"/>
      <c r="C33" s="19"/>
      <c r="D33" s="19"/>
      <c r="E33" s="19"/>
      <c r="F33" s="19"/>
      <c r="G33" s="19"/>
      <c r="H33" s="516"/>
      <c r="I33" s="512"/>
      <c r="J33" s="19"/>
      <c r="K33" s="19"/>
      <c r="L33" s="19"/>
      <c r="M33" s="21" t="s">
        <v>594</v>
      </c>
      <c r="N33" s="19"/>
      <c r="O33" s="19"/>
      <c r="P33" s="19"/>
      <c r="Q33" s="19"/>
      <c r="R33" s="516"/>
    </row>
    <row r="34" customFormat="false" ht="12" hidden="false" customHeight="true" outlineLevel="0" collapsed="false">
      <c r="A34" s="512"/>
      <c r="B34" s="19"/>
      <c r="C34" s="19"/>
      <c r="D34" s="19"/>
      <c r="E34" s="19"/>
      <c r="F34" s="604" t="s">
        <v>875</v>
      </c>
      <c r="G34" s="672" t="n">
        <f aca="false">'Uplink Budget'!B26</f>
        <v>-32.4171351706754</v>
      </c>
      <c r="H34" s="516"/>
      <c r="I34" s="512"/>
      <c r="J34" s="19"/>
      <c r="K34" s="19"/>
      <c r="L34" s="19"/>
      <c r="M34" s="19"/>
      <c r="N34" s="19"/>
      <c r="O34" s="19"/>
      <c r="P34" s="19"/>
      <c r="Q34" s="19"/>
      <c r="R34" s="516"/>
    </row>
    <row r="35" customFormat="false" ht="12" hidden="false" customHeight="true" outlineLevel="0" collapsed="false">
      <c r="A35" s="512"/>
      <c r="B35" s="19"/>
      <c r="C35" s="19"/>
      <c r="D35" s="19"/>
      <c r="E35" s="19"/>
      <c r="F35" s="19"/>
      <c r="G35" s="19"/>
      <c r="H35" s="516"/>
      <c r="I35" s="512"/>
      <c r="J35" s="19"/>
      <c r="K35" s="19"/>
      <c r="L35" s="19"/>
      <c r="M35" s="19"/>
      <c r="N35" s="658" t="s">
        <v>876</v>
      </c>
      <c r="O35" s="673" t="n">
        <f aca="false">'Downlink Budget'!B10</f>
        <v>0</v>
      </c>
      <c r="P35" s="19"/>
      <c r="Q35" s="19"/>
      <c r="R35" s="516"/>
    </row>
    <row r="36" customFormat="false" ht="12" hidden="false" customHeight="true" outlineLevel="0" collapsed="false">
      <c r="A36" s="512"/>
      <c r="B36" s="19"/>
      <c r="C36" s="19"/>
      <c r="D36" s="19"/>
      <c r="E36" s="19"/>
      <c r="F36" s="604" t="s">
        <v>877</v>
      </c>
      <c r="G36" s="674" t="n">
        <f aca="false">'Uplink Budget'!B25</f>
        <v>1027.57497006715</v>
      </c>
      <c r="H36" s="516"/>
      <c r="I36" s="512"/>
      <c r="J36" s="19"/>
      <c r="K36" s="19"/>
      <c r="L36" s="19"/>
      <c r="M36" s="19"/>
      <c r="N36" s="665" t="s">
        <v>466</v>
      </c>
      <c r="O36" s="322" t="str">
        <f aca="false">'Antenna Gain'!K41</f>
        <v>RHCP</v>
      </c>
      <c r="P36" s="19"/>
      <c r="Q36" s="19"/>
      <c r="R36" s="516"/>
    </row>
    <row r="37" customFormat="false" ht="12" hidden="false" customHeight="true" outlineLevel="0" collapsed="false">
      <c r="A37" s="512"/>
      <c r="B37" s="19"/>
      <c r="C37" s="19"/>
      <c r="D37" s="19"/>
      <c r="E37" s="19"/>
      <c r="F37" s="19"/>
      <c r="G37" s="19"/>
      <c r="H37" s="516"/>
      <c r="I37" s="512"/>
      <c r="J37" s="19"/>
      <c r="K37" s="19"/>
      <c r="L37" s="19"/>
      <c r="M37" s="19"/>
      <c r="N37" s="19"/>
      <c r="O37" s="19"/>
      <c r="P37" s="19"/>
      <c r="Q37" s="19"/>
      <c r="R37" s="516"/>
    </row>
    <row r="38" customFormat="false" ht="12" hidden="false" customHeight="true" outlineLevel="0" collapsed="false">
      <c r="A38" s="512"/>
      <c r="B38" s="19"/>
      <c r="C38" s="19"/>
      <c r="D38" s="19"/>
      <c r="E38" s="19"/>
      <c r="F38" s="19"/>
      <c r="G38" s="19"/>
      <c r="H38" s="516"/>
      <c r="I38" s="512"/>
      <c r="J38" s="27" t="str">
        <f aca="false">'Antenna Gain'!F41</f>
        <v>Deployable Turnstyle</v>
      </c>
      <c r="K38" s="19"/>
      <c r="L38" s="19"/>
      <c r="M38" s="19"/>
      <c r="N38" s="662" t="s">
        <v>878</v>
      </c>
      <c r="O38" s="675" t="n">
        <f aca="false">'Downlink Budget'!B11</f>
        <v>-2.349</v>
      </c>
      <c r="P38" s="19"/>
      <c r="Q38" s="19"/>
      <c r="R38" s="516"/>
    </row>
    <row r="39" customFormat="false" ht="12" hidden="false" customHeight="true" outlineLevel="0" collapsed="false">
      <c r="A39" s="512"/>
      <c r="B39" s="19"/>
      <c r="C39" s="19"/>
      <c r="D39" s="19"/>
      <c r="E39" s="19"/>
      <c r="F39" s="604" t="s">
        <v>879</v>
      </c>
      <c r="G39" s="674" t="n">
        <f aca="false">Receivers!J65</f>
        <v>0</v>
      </c>
      <c r="H39" s="516"/>
      <c r="I39" s="512"/>
      <c r="J39" s="19"/>
      <c r="K39" s="19"/>
      <c r="L39" s="19"/>
      <c r="M39" s="19"/>
      <c r="N39" s="19"/>
      <c r="O39" s="19"/>
      <c r="P39" s="19"/>
      <c r="Q39" s="19"/>
      <c r="R39" s="516"/>
    </row>
    <row r="40" customFormat="false" ht="12" hidden="false" customHeight="true" outlineLevel="0" collapsed="false">
      <c r="A40" s="512"/>
      <c r="B40" s="19"/>
      <c r="C40" s="19"/>
      <c r="D40" s="19"/>
      <c r="E40" s="19"/>
      <c r="F40" s="19"/>
      <c r="G40" s="19"/>
      <c r="H40" s="516"/>
      <c r="I40" s="512"/>
      <c r="J40" s="19"/>
      <c r="K40" s="19"/>
      <c r="L40" s="19"/>
      <c r="M40" s="19"/>
      <c r="N40" s="658" t="s">
        <v>880</v>
      </c>
      <c r="O40" s="653"/>
      <c r="P40" s="19"/>
      <c r="Q40" s="19"/>
      <c r="R40" s="516"/>
    </row>
    <row r="41" customFormat="false" ht="12" hidden="false" customHeight="true" outlineLevel="0" collapsed="false">
      <c r="A41" s="512"/>
      <c r="B41" s="19"/>
      <c r="C41" s="19"/>
      <c r="D41" s="19"/>
      <c r="E41" s="19"/>
      <c r="F41" s="19"/>
      <c r="G41" s="19"/>
      <c r="H41" s="516"/>
      <c r="I41" s="512"/>
      <c r="J41" s="19"/>
      <c r="K41" s="19"/>
      <c r="L41" s="19"/>
      <c r="M41" s="19"/>
      <c r="N41" s="676" t="n">
        <f aca="false">'Downlink Budget'!B13+'Downlink Budget'!B14+'Downlink Budget'!B15+'Downlink Budget'!B16+'Downlink Budget'!B17+'Downlink Budget'!B18+'Downlink Budget'!B22</f>
        <v>151.277865697264</v>
      </c>
      <c r="O41" s="677" t="s">
        <v>258</v>
      </c>
      <c r="P41" s="19"/>
      <c r="Q41" s="19"/>
      <c r="R41" s="516"/>
    </row>
    <row r="42" customFormat="false" ht="12" hidden="false" customHeight="true" outlineLevel="0" collapsed="false">
      <c r="A42" s="512"/>
      <c r="B42" s="19"/>
      <c r="C42" s="19"/>
      <c r="D42" s="19"/>
      <c r="E42" s="19"/>
      <c r="F42" s="19"/>
      <c r="G42" s="19"/>
      <c r="H42" s="516"/>
      <c r="I42" s="512"/>
      <c r="J42" s="19"/>
      <c r="K42" s="19"/>
      <c r="L42" s="19"/>
      <c r="M42" s="19"/>
      <c r="N42" s="19"/>
      <c r="O42" s="19"/>
      <c r="P42" s="19"/>
      <c r="Q42" s="19"/>
      <c r="R42" s="516"/>
    </row>
    <row r="43" customFormat="false" ht="12" hidden="false" customHeight="true" outlineLevel="0" collapsed="false">
      <c r="A43" s="512"/>
      <c r="B43" s="19"/>
      <c r="C43" s="19"/>
      <c r="D43" s="19"/>
      <c r="E43" s="19"/>
      <c r="F43" s="19"/>
      <c r="G43" s="19"/>
      <c r="H43" s="516"/>
      <c r="I43" s="512"/>
      <c r="J43" s="19"/>
      <c r="K43" s="19"/>
      <c r="L43" s="19"/>
      <c r="M43" s="19"/>
      <c r="N43" s="604" t="s">
        <v>881</v>
      </c>
      <c r="O43" s="647" t="n">
        <f aca="false">'Downlink Budget'!B15</f>
        <v>147.031071998789</v>
      </c>
      <c r="P43" s="19"/>
      <c r="Q43" s="19"/>
      <c r="R43" s="516"/>
    </row>
    <row r="44" customFormat="false" ht="12" hidden="false" customHeight="true" outlineLevel="0" collapsed="false">
      <c r="A44" s="512"/>
      <c r="B44" s="19"/>
      <c r="C44" s="19"/>
      <c r="D44" s="19"/>
      <c r="E44" s="19"/>
      <c r="F44" s="19"/>
      <c r="G44" s="19"/>
      <c r="H44" s="516"/>
      <c r="I44" s="512"/>
      <c r="J44" s="19"/>
      <c r="K44" s="19"/>
      <c r="L44" s="19"/>
      <c r="M44" s="19"/>
      <c r="N44" s="19"/>
      <c r="O44" s="19"/>
      <c r="P44" s="19"/>
      <c r="Q44" s="19"/>
      <c r="R44" s="516"/>
    </row>
    <row r="45" customFormat="false" ht="12" hidden="false" customHeight="true" outlineLevel="0" collapsed="false">
      <c r="A45" s="512"/>
      <c r="B45" s="19"/>
      <c r="C45" s="19"/>
      <c r="D45" s="19"/>
      <c r="E45" s="19"/>
      <c r="F45" s="604" t="s">
        <v>882</v>
      </c>
      <c r="G45" s="647" t="n">
        <f aca="false">Receivers!F63</f>
        <v>16</v>
      </c>
      <c r="H45" s="516"/>
      <c r="I45" s="512"/>
      <c r="J45" s="19" t="str">
        <f aca="false">'Antenna Gain'!F58</f>
        <v>Whip</v>
      </c>
      <c r="K45" s="19"/>
      <c r="L45" s="19"/>
      <c r="M45" s="19"/>
      <c r="N45" s="19"/>
      <c r="O45" s="19"/>
      <c r="P45" s="19"/>
      <c r="Q45" s="19"/>
      <c r="R45" s="516"/>
    </row>
    <row r="46" customFormat="false" ht="12" hidden="false" customHeight="true" outlineLevel="0" collapsed="false">
      <c r="A46" s="512"/>
      <c r="B46" s="19"/>
      <c r="C46" s="19"/>
      <c r="D46" s="19"/>
      <c r="E46" s="19"/>
      <c r="F46" s="19"/>
      <c r="G46" s="19"/>
      <c r="H46" s="516"/>
      <c r="I46" s="512"/>
      <c r="J46" s="19"/>
      <c r="K46" s="19"/>
      <c r="L46" s="19"/>
      <c r="M46" s="19"/>
      <c r="N46" s="19"/>
      <c r="O46" s="19"/>
      <c r="P46" s="19"/>
      <c r="Q46" s="19"/>
      <c r="R46" s="516"/>
    </row>
    <row r="47" customFormat="false" ht="12" hidden="false" customHeight="true" outlineLevel="0" collapsed="false">
      <c r="A47" s="512"/>
      <c r="B47" s="19"/>
      <c r="C47" s="19"/>
      <c r="D47" s="19"/>
      <c r="E47" s="19"/>
      <c r="F47" s="604" t="s">
        <v>883</v>
      </c>
      <c r="G47" s="674" t="n">
        <f aca="false">Receivers!J61</f>
        <v>864.5</v>
      </c>
      <c r="H47" s="516"/>
      <c r="I47" s="512"/>
      <c r="J47" s="19"/>
      <c r="K47" s="19"/>
      <c r="L47" s="19"/>
      <c r="M47" s="19"/>
      <c r="N47" s="604" t="s">
        <v>884</v>
      </c>
      <c r="O47" s="678" t="n">
        <f aca="false">'Downlink Budget'!B23</f>
        <v>2</v>
      </c>
      <c r="P47" s="19"/>
      <c r="Q47" s="19"/>
      <c r="R47" s="516"/>
    </row>
    <row r="48" customFormat="false" ht="12" hidden="false" customHeight="true" outlineLevel="0" collapsed="false">
      <c r="A48" s="512"/>
      <c r="B48" s="19"/>
      <c r="C48" s="19"/>
      <c r="D48" s="19"/>
      <c r="E48" s="19"/>
      <c r="F48" s="19"/>
      <c r="G48" s="19"/>
      <c r="H48" s="516"/>
      <c r="I48" s="512"/>
      <c r="J48" s="19"/>
      <c r="K48" s="19"/>
      <c r="L48" s="19"/>
      <c r="M48" s="19"/>
      <c r="N48" s="665" t="s">
        <v>466</v>
      </c>
      <c r="O48" s="322" t="str">
        <f aca="false">'Antenna Gain'!K58</f>
        <v>Linear</v>
      </c>
      <c r="P48" s="19"/>
      <c r="Q48" s="19"/>
      <c r="R48" s="516"/>
    </row>
    <row r="49" customFormat="false" ht="12" hidden="false" customHeight="true" outlineLevel="0" collapsed="false">
      <c r="A49" s="512"/>
      <c r="B49" s="19"/>
      <c r="C49" s="19"/>
      <c r="D49" s="19"/>
      <c r="E49" s="19"/>
      <c r="F49" s="604" t="s">
        <v>885</v>
      </c>
      <c r="G49" s="679" t="n">
        <f aca="false">Receivers!J53</f>
        <v>2.299</v>
      </c>
      <c r="H49" s="516"/>
      <c r="I49" s="512"/>
      <c r="J49" s="19"/>
      <c r="K49" s="19"/>
      <c r="L49" s="19"/>
      <c r="M49" s="19"/>
      <c r="N49" s="19"/>
      <c r="O49" s="19"/>
      <c r="P49" s="19"/>
      <c r="Q49" s="19"/>
      <c r="R49" s="516"/>
    </row>
    <row r="50" customFormat="false" ht="12" hidden="false" customHeight="true" outlineLevel="0" collapsed="false">
      <c r="A50" s="512"/>
      <c r="B50" s="19"/>
      <c r="C50" s="19"/>
      <c r="D50" s="19"/>
      <c r="E50" s="19"/>
      <c r="F50" s="19"/>
      <c r="G50" s="19"/>
      <c r="H50" s="516"/>
      <c r="I50" s="512"/>
      <c r="J50" s="19"/>
      <c r="K50" s="19"/>
      <c r="L50" s="19"/>
      <c r="M50" s="21" t="s">
        <v>596</v>
      </c>
      <c r="N50" s="19"/>
      <c r="O50" s="19"/>
      <c r="P50" s="19"/>
      <c r="Q50" s="19"/>
      <c r="R50" s="516"/>
    </row>
    <row r="51" customFormat="false" ht="12" hidden="false" customHeight="true" outlineLevel="0" collapsed="false">
      <c r="A51" s="512"/>
      <c r="B51" s="19"/>
      <c r="C51" s="19"/>
      <c r="D51" s="19"/>
      <c r="E51" s="19" t="s">
        <v>886</v>
      </c>
      <c r="F51" s="604" t="s">
        <v>865</v>
      </c>
      <c r="G51" s="680" t="n">
        <f aca="false">Receivers!J45</f>
        <v>0.1995</v>
      </c>
      <c r="H51" s="516"/>
      <c r="I51" s="512"/>
      <c r="J51" s="19"/>
      <c r="K51" s="19"/>
      <c r="L51" s="19"/>
      <c r="M51" s="19"/>
      <c r="N51" s="19"/>
      <c r="O51" s="19"/>
      <c r="P51" s="19"/>
      <c r="Q51" s="19"/>
      <c r="R51" s="516"/>
    </row>
    <row r="52" customFormat="false" ht="12" hidden="false" customHeight="true" outlineLevel="0" collapsed="false">
      <c r="A52" s="512"/>
      <c r="B52" s="19"/>
      <c r="C52" s="19"/>
      <c r="D52" s="19"/>
      <c r="E52" s="19"/>
      <c r="F52" s="19"/>
      <c r="G52" s="19"/>
      <c r="H52" s="516"/>
      <c r="I52" s="512"/>
      <c r="J52" s="19"/>
      <c r="K52" s="19"/>
      <c r="L52" s="19"/>
      <c r="M52" s="19"/>
      <c r="N52" s="19" t="s">
        <v>0</v>
      </c>
      <c r="O52" s="19"/>
      <c r="P52" s="19"/>
      <c r="Q52" s="19"/>
      <c r="R52" s="516"/>
    </row>
    <row r="53" customFormat="false" ht="12" hidden="false" customHeight="true" outlineLevel="0" collapsed="false">
      <c r="A53" s="512"/>
      <c r="B53" s="19"/>
      <c r="C53" s="19"/>
      <c r="D53" s="19"/>
      <c r="E53" s="19"/>
      <c r="F53" s="604" t="s">
        <v>887</v>
      </c>
      <c r="G53" s="681" t="n">
        <f aca="false">Receivers!J48</f>
        <v>0</v>
      </c>
      <c r="H53" s="516"/>
      <c r="I53" s="512"/>
      <c r="J53" s="19"/>
      <c r="K53" s="19"/>
      <c r="L53" s="19"/>
      <c r="M53" s="19"/>
      <c r="N53" s="19"/>
      <c r="O53" s="19"/>
      <c r="P53" s="19"/>
      <c r="Q53" s="19"/>
      <c r="R53" s="516"/>
    </row>
    <row r="54" customFormat="false" ht="12" hidden="false" customHeight="true" outlineLevel="0" collapsed="false">
      <c r="A54" s="512"/>
      <c r="B54" s="19"/>
      <c r="C54" s="19"/>
      <c r="D54" s="19"/>
      <c r="E54" s="19"/>
      <c r="F54" s="19"/>
      <c r="G54" s="19"/>
      <c r="H54" s="516"/>
      <c r="I54" s="512"/>
      <c r="J54" s="19"/>
      <c r="K54" s="19"/>
      <c r="L54" s="19"/>
      <c r="M54" s="19" t="s">
        <v>888</v>
      </c>
      <c r="N54" s="604" t="s">
        <v>889</v>
      </c>
      <c r="O54" s="682" t="n">
        <f aca="false">Receivers!J118</f>
        <v>0</v>
      </c>
      <c r="P54" s="19"/>
      <c r="Q54" s="19"/>
      <c r="R54" s="516"/>
    </row>
    <row r="55" customFormat="false" ht="12" hidden="false" customHeight="true" outlineLevel="0" collapsed="false">
      <c r="A55" s="512"/>
      <c r="B55" s="19"/>
      <c r="C55" s="19"/>
      <c r="D55" s="19"/>
      <c r="E55" s="19" t="s">
        <v>358</v>
      </c>
      <c r="F55" s="604" t="s">
        <v>890</v>
      </c>
      <c r="G55" s="680" t="n">
        <f aca="false">Receivers!J46</f>
        <v>0.1995</v>
      </c>
      <c r="H55" s="516"/>
      <c r="I55" s="512"/>
      <c r="J55" s="19"/>
      <c r="K55" s="19"/>
      <c r="L55" s="19"/>
      <c r="M55" s="19"/>
      <c r="N55" s="19"/>
      <c r="O55" s="19"/>
      <c r="P55" s="19"/>
      <c r="Q55" s="19"/>
      <c r="R55" s="516"/>
    </row>
    <row r="56" customFormat="false" ht="12" hidden="false" customHeight="true" outlineLevel="0" collapsed="false">
      <c r="A56" s="512"/>
      <c r="B56" s="19"/>
      <c r="C56" s="19"/>
      <c r="D56" s="19"/>
      <c r="E56" s="19"/>
      <c r="F56" s="19"/>
      <c r="G56" s="19"/>
      <c r="H56" s="516"/>
      <c r="I56" s="512"/>
      <c r="J56" s="19"/>
      <c r="K56" s="19"/>
      <c r="L56" s="19"/>
      <c r="M56" s="19"/>
      <c r="N56" s="604" t="s">
        <v>891</v>
      </c>
      <c r="O56" s="647" t="n">
        <f aca="false">Receivers!J120</f>
        <v>0</v>
      </c>
      <c r="P56" s="19"/>
      <c r="Q56" s="19"/>
      <c r="R56" s="516"/>
    </row>
    <row r="57" customFormat="false" ht="12" hidden="false" customHeight="true" outlineLevel="0" collapsed="false">
      <c r="A57" s="512"/>
      <c r="B57" s="19"/>
      <c r="C57" s="19"/>
      <c r="D57" s="19"/>
      <c r="E57" s="19"/>
      <c r="F57" s="19"/>
      <c r="G57" s="19"/>
      <c r="H57" s="516"/>
      <c r="I57" s="512"/>
      <c r="J57" s="19"/>
      <c r="K57" s="19"/>
      <c r="L57" s="19"/>
      <c r="M57" s="19"/>
      <c r="N57" s="683" t="n">
        <f aca="false">Receivers!J122</f>
        <v>1.7</v>
      </c>
      <c r="O57" s="66"/>
      <c r="P57" s="19"/>
      <c r="Q57" s="19"/>
      <c r="R57" s="516"/>
    </row>
    <row r="58" customFormat="false" ht="12" hidden="false" customHeight="true" outlineLevel="0" collapsed="false">
      <c r="A58" s="512"/>
      <c r="B58" s="19"/>
      <c r="C58" s="19"/>
      <c r="D58" s="19"/>
      <c r="E58" s="19"/>
      <c r="F58" s="604" t="s">
        <v>892</v>
      </c>
      <c r="G58" s="681" t="n">
        <f aca="false">Receivers!J49</f>
        <v>1.7</v>
      </c>
      <c r="H58" s="516"/>
      <c r="I58" s="512"/>
      <c r="J58" s="19"/>
      <c r="K58" s="19"/>
      <c r="L58" s="19"/>
      <c r="M58" s="19"/>
      <c r="N58" s="19"/>
      <c r="O58" s="19"/>
      <c r="P58" s="19"/>
      <c r="Q58" s="19"/>
      <c r="R58" s="516"/>
    </row>
    <row r="59" customFormat="false" ht="12" hidden="false" customHeight="true" outlineLevel="0" collapsed="false">
      <c r="A59" s="512"/>
      <c r="B59" s="19"/>
      <c r="C59" s="19"/>
      <c r="D59" s="19"/>
      <c r="E59" s="19"/>
      <c r="F59" s="683" t="str">
        <f aca="false">Receivers!J51</f>
        <v>RF Switch Loss + Antenna Insertion Losses</v>
      </c>
      <c r="G59" s="66"/>
      <c r="H59" s="516"/>
      <c r="I59" s="512"/>
      <c r="J59" s="19"/>
      <c r="K59" s="19"/>
      <c r="L59" s="19"/>
      <c r="M59" s="19" t="s">
        <v>358</v>
      </c>
      <c r="N59" s="604" t="s">
        <v>890</v>
      </c>
      <c r="O59" s="680" t="n">
        <f aca="false">Receivers!J117</f>
        <v>0</v>
      </c>
      <c r="P59" s="19"/>
      <c r="Q59" s="19"/>
      <c r="R59" s="516"/>
    </row>
    <row r="60" customFormat="false" ht="12" hidden="false" customHeight="true" outlineLevel="0" collapsed="false">
      <c r="A60" s="512"/>
      <c r="B60" s="19"/>
      <c r="C60" s="19"/>
      <c r="D60" s="19"/>
      <c r="E60" s="19"/>
      <c r="F60" s="19"/>
      <c r="G60" s="19"/>
      <c r="H60" s="516"/>
      <c r="I60" s="512"/>
      <c r="J60" s="19"/>
      <c r="K60" s="19"/>
      <c r="L60" s="19"/>
      <c r="M60" s="19"/>
      <c r="N60" s="19"/>
      <c r="O60" s="19"/>
      <c r="P60" s="19"/>
      <c r="Q60" s="19"/>
      <c r="R60" s="516"/>
    </row>
    <row r="61" customFormat="false" ht="12" hidden="false" customHeight="true" outlineLevel="0" collapsed="false">
      <c r="A61" s="512"/>
      <c r="B61" s="19"/>
      <c r="C61" s="19"/>
      <c r="D61" s="19"/>
      <c r="E61" s="19" t="s">
        <v>888</v>
      </c>
      <c r="F61" s="604" t="s">
        <v>893</v>
      </c>
      <c r="G61" s="680" t="n">
        <f aca="false">Receivers!J47</f>
        <v>0</v>
      </c>
      <c r="H61" s="516"/>
      <c r="I61" s="512"/>
      <c r="J61" s="19"/>
      <c r="K61" s="19"/>
      <c r="L61" s="19"/>
      <c r="M61" s="19"/>
      <c r="N61" s="19"/>
      <c r="O61" s="19"/>
      <c r="P61" s="19"/>
      <c r="Q61" s="19"/>
      <c r="R61" s="516"/>
    </row>
    <row r="62" customFormat="false" ht="12" hidden="false" customHeight="true" outlineLevel="0" collapsed="false">
      <c r="A62" s="512"/>
      <c r="B62" s="19"/>
      <c r="C62" s="19"/>
      <c r="D62" s="19"/>
      <c r="E62" s="19"/>
      <c r="F62" s="19"/>
      <c r="G62" s="19"/>
      <c r="H62" s="516"/>
      <c r="I62" s="512"/>
      <c r="J62" s="19"/>
      <c r="K62" s="19"/>
      <c r="L62" s="19"/>
      <c r="M62" s="19"/>
      <c r="N62" s="604" t="s">
        <v>894</v>
      </c>
      <c r="O62" s="647" t="n">
        <f aca="false">Receivers!J119</f>
        <v>0</v>
      </c>
      <c r="P62" s="19"/>
      <c r="Q62" s="19"/>
      <c r="R62" s="516"/>
    </row>
    <row r="63" customFormat="false" ht="12" hidden="false" customHeight="true" outlineLevel="0" collapsed="false">
      <c r="A63" s="512"/>
      <c r="B63" s="19"/>
      <c r="C63" s="19"/>
      <c r="D63" s="19"/>
      <c r="E63" s="19"/>
      <c r="F63" s="19"/>
      <c r="G63" s="19"/>
      <c r="H63" s="516"/>
      <c r="I63" s="512"/>
      <c r="J63" s="19"/>
      <c r="K63" s="19"/>
      <c r="L63" s="19"/>
      <c r="M63" s="19"/>
      <c r="N63" s="19"/>
      <c r="O63" s="19"/>
      <c r="P63" s="19"/>
      <c r="Q63" s="19"/>
      <c r="R63" s="516"/>
    </row>
    <row r="64" customFormat="false" ht="12" hidden="false" customHeight="true" outlineLevel="0" collapsed="false">
      <c r="A64" s="512"/>
      <c r="B64" s="19"/>
      <c r="C64" s="19"/>
      <c r="D64" s="19"/>
      <c r="E64" s="21" t="s">
        <v>596</v>
      </c>
      <c r="F64" s="19"/>
      <c r="G64" s="19"/>
      <c r="H64" s="516"/>
      <c r="I64" s="512"/>
      <c r="J64" s="19"/>
      <c r="K64" s="19"/>
      <c r="L64" s="19"/>
      <c r="M64" s="19"/>
      <c r="N64" s="19"/>
      <c r="O64" s="19"/>
      <c r="P64" s="19"/>
      <c r="Q64" s="19"/>
      <c r="R64" s="516"/>
    </row>
    <row r="65" customFormat="false" ht="12" hidden="false" customHeight="true" outlineLevel="0" collapsed="false">
      <c r="A65" s="512"/>
      <c r="B65" s="19"/>
      <c r="C65" s="19"/>
      <c r="D65" s="19"/>
      <c r="E65" s="19"/>
      <c r="F65" s="19"/>
      <c r="G65" s="19"/>
      <c r="H65" s="516"/>
      <c r="I65" s="512"/>
      <c r="J65" s="19"/>
      <c r="K65" s="19"/>
      <c r="L65" s="19"/>
      <c r="M65" s="19" t="s">
        <v>886</v>
      </c>
      <c r="N65" s="604" t="s">
        <v>865</v>
      </c>
      <c r="O65" s="647" t="n">
        <f aca="false">Receivers!J116</f>
        <v>0.1995</v>
      </c>
      <c r="P65" s="19"/>
      <c r="Q65" s="19"/>
      <c r="R65" s="516"/>
    </row>
    <row r="66" customFormat="false" ht="12" hidden="false" customHeight="true" outlineLevel="0" collapsed="false">
      <c r="A66" s="512"/>
      <c r="B66" s="19"/>
      <c r="C66" s="19"/>
      <c r="D66" s="19"/>
      <c r="E66" s="19"/>
      <c r="F66" s="604" t="s">
        <v>895</v>
      </c>
      <c r="G66" s="678" t="n">
        <f aca="false">'Uplink Budget'!B23</f>
        <v>0</v>
      </c>
      <c r="H66" s="516"/>
      <c r="I66" s="512"/>
      <c r="J66" s="19"/>
      <c r="K66" s="19"/>
      <c r="L66" s="19"/>
      <c r="M66" s="19"/>
      <c r="N66" s="19"/>
      <c r="O66" s="19"/>
      <c r="P66" s="19"/>
      <c r="Q66" s="19"/>
      <c r="R66" s="516"/>
    </row>
    <row r="67" customFormat="false" ht="12" hidden="false" customHeight="true" outlineLevel="0" collapsed="false">
      <c r="A67" s="512"/>
      <c r="B67" s="19" t="str">
        <f aca="false">'Antenna Gain'!F24</f>
        <v>Circular Turnstyle</v>
      </c>
      <c r="C67" s="19"/>
      <c r="D67" s="19"/>
      <c r="E67" s="19"/>
      <c r="F67" s="665" t="s">
        <v>896</v>
      </c>
      <c r="G67" s="684" t="str">
        <f aca="false">'Antenna Gain'!K11</f>
        <v>Linear</v>
      </c>
      <c r="H67" s="516"/>
      <c r="I67" s="512"/>
      <c r="J67" s="19"/>
      <c r="K67" s="19"/>
      <c r="L67" s="19"/>
      <c r="M67" s="19"/>
      <c r="N67" s="604" t="s">
        <v>897</v>
      </c>
      <c r="O67" s="647" t="n">
        <f aca="false">Receivers!J124</f>
        <v>1.9495</v>
      </c>
      <c r="P67" s="19"/>
      <c r="Q67" s="19"/>
      <c r="R67" s="516"/>
    </row>
    <row r="68" customFormat="false" ht="12" hidden="false" customHeight="true" outlineLevel="0" collapsed="false">
      <c r="A68" s="512"/>
      <c r="B68" s="19"/>
      <c r="C68" s="19"/>
      <c r="D68" s="19"/>
      <c r="E68" s="19"/>
      <c r="F68" s="19" t="s">
        <v>0</v>
      </c>
      <c r="G68" s="19"/>
      <c r="H68" s="516"/>
      <c r="I68" s="512"/>
      <c r="J68" s="19"/>
      <c r="K68" s="19"/>
      <c r="L68" s="19"/>
      <c r="M68" s="19"/>
      <c r="N68" s="19"/>
      <c r="O68" s="19"/>
      <c r="P68" s="19"/>
      <c r="Q68" s="19"/>
      <c r="R68" s="516"/>
    </row>
    <row r="69" customFormat="false" ht="12" hidden="false" customHeight="true" outlineLevel="0" collapsed="false">
      <c r="A69" s="512"/>
      <c r="B69" s="19"/>
      <c r="C69" s="19"/>
      <c r="D69" s="19"/>
      <c r="E69" s="19"/>
      <c r="F69" s="604" t="s">
        <v>898</v>
      </c>
      <c r="G69" s="647" t="n">
        <f aca="false">'Uplink Budget'!B15</f>
        <v>147.032064728619</v>
      </c>
      <c r="H69" s="516"/>
      <c r="I69" s="512"/>
      <c r="J69" s="19"/>
      <c r="K69" s="19"/>
      <c r="L69" s="19"/>
      <c r="M69" s="19"/>
      <c r="N69" s="604" t="s">
        <v>899</v>
      </c>
      <c r="O69" s="674" t="n">
        <f aca="false">Receivers!J132</f>
        <v>169.62</v>
      </c>
      <c r="P69" s="19"/>
      <c r="Q69" s="19"/>
      <c r="R69" s="516"/>
    </row>
    <row r="70" customFormat="false" ht="12" hidden="false" customHeight="true" outlineLevel="0" collapsed="false">
      <c r="A70" s="512"/>
      <c r="B70" s="19"/>
      <c r="C70" s="19"/>
      <c r="D70" s="19"/>
      <c r="E70" s="19"/>
      <c r="F70" s="19"/>
      <c r="G70" s="19"/>
      <c r="H70" s="516"/>
      <c r="I70" s="512"/>
      <c r="J70" s="19"/>
      <c r="K70" s="19"/>
      <c r="L70" s="19"/>
      <c r="M70" s="19"/>
      <c r="N70" s="19"/>
      <c r="O70" s="19"/>
      <c r="P70" s="19"/>
      <c r="Q70" s="19"/>
      <c r="R70" s="516"/>
    </row>
    <row r="71" customFormat="false" ht="12" hidden="false" customHeight="true" outlineLevel="0" collapsed="false">
      <c r="A71" s="512"/>
      <c r="B71" s="19"/>
      <c r="C71" s="19"/>
      <c r="D71" s="19"/>
      <c r="E71" s="19"/>
      <c r="F71" s="652" t="s">
        <v>900</v>
      </c>
      <c r="G71" s="685"/>
      <c r="H71" s="516"/>
      <c r="I71" s="512"/>
      <c r="J71" s="19"/>
      <c r="K71" s="19"/>
      <c r="L71" s="19"/>
      <c r="M71" s="19"/>
      <c r="N71" s="604" t="s">
        <v>882</v>
      </c>
      <c r="O71" s="647" t="n">
        <f aca="false">Receivers!F134</f>
        <v>11</v>
      </c>
      <c r="P71" s="19"/>
      <c r="Q71" s="19"/>
      <c r="R71" s="516"/>
    </row>
    <row r="72" customFormat="false" ht="12" hidden="false" customHeight="true" outlineLevel="0" collapsed="false">
      <c r="A72" s="512"/>
      <c r="B72" s="19"/>
      <c r="C72" s="19"/>
      <c r="D72" s="19"/>
      <c r="E72" s="19"/>
      <c r="F72" s="686" t="n">
        <f aca="false">'Uplink Budget'!B13+'Uplink Budget'!B14+'Uplink Budget'!B15+'Uplink Budget'!B16+'Uplink Budget'!B17+'Uplink Budget'!B18+'Uplink Budget'!B22</f>
        <v>151.278858427094</v>
      </c>
      <c r="G72" s="687" t="s">
        <v>258</v>
      </c>
      <c r="H72" s="516"/>
      <c r="I72" s="512"/>
      <c r="J72" s="19"/>
      <c r="K72" s="19"/>
      <c r="L72" s="19"/>
      <c r="M72" s="19"/>
      <c r="N72" s="19"/>
      <c r="O72" s="19"/>
      <c r="P72" s="19"/>
      <c r="Q72" s="19"/>
      <c r="R72" s="516"/>
    </row>
    <row r="73" customFormat="false" ht="12" hidden="false" customHeight="true" outlineLevel="0" collapsed="false">
      <c r="A73" s="512"/>
      <c r="B73" s="19"/>
      <c r="C73" s="19"/>
      <c r="D73" s="19"/>
      <c r="E73" s="19"/>
      <c r="F73" s="19"/>
      <c r="G73" s="19"/>
      <c r="H73" s="516"/>
      <c r="I73" s="512"/>
      <c r="J73" s="19"/>
      <c r="K73" s="19"/>
      <c r="L73" s="19"/>
      <c r="M73" s="19"/>
      <c r="N73" s="19"/>
      <c r="O73" s="19"/>
      <c r="P73" s="19"/>
      <c r="Q73" s="19"/>
      <c r="R73" s="516"/>
    </row>
    <row r="74" customFormat="false" ht="12" hidden="false" customHeight="true" outlineLevel="0" collapsed="false">
      <c r="A74" s="512"/>
      <c r="B74" s="19"/>
      <c r="C74" s="19"/>
      <c r="D74" s="19"/>
      <c r="E74" s="19"/>
      <c r="F74" s="662" t="s">
        <v>901</v>
      </c>
      <c r="G74" s="688" t="n">
        <f aca="false">'Uplink Budget'!B11</f>
        <v>-6.33920004336019</v>
      </c>
      <c r="H74" s="516"/>
      <c r="I74" s="512"/>
      <c r="J74" s="19"/>
      <c r="K74" s="19"/>
      <c r="L74" s="19"/>
      <c r="M74" s="19"/>
      <c r="N74" s="19"/>
      <c r="O74" s="19"/>
      <c r="P74" s="19"/>
      <c r="Q74" s="19"/>
      <c r="R74" s="516"/>
    </row>
    <row r="75" customFormat="false" ht="12" hidden="false" customHeight="true" outlineLevel="0" collapsed="false">
      <c r="A75" s="512"/>
      <c r="B75" s="19"/>
      <c r="C75" s="19"/>
      <c r="D75" s="19"/>
      <c r="E75" s="19"/>
      <c r="F75" s="19"/>
      <c r="G75" s="19"/>
      <c r="H75" s="516"/>
      <c r="I75" s="512"/>
      <c r="J75" s="19"/>
      <c r="K75" s="19"/>
      <c r="L75" s="19"/>
      <c r="M75" s="19"/>
      <c r="N75" s="604" t="s">
        <v>902</v>
      </c>
      <c r="O75" s="674" t="n">
        <f aca="false">Receivers!J144</f>
        <v>1000</v>
      </c>
      <c r="P75" s="19"/>
      <c r="Q75" s="19"/>
      <c r="R75" s="516"/>
    </row>
    <row r="76" customFormat="false" ht="12" hidden="false" customHeight="true" outlineLevel="0" collapsed="false">
      <c r="A76" s="512"/>
      <c r="B76" s="19" t="str">
        <f aca="false">'Antenna Gain'!F11</f>
        <v>Whip</v>
      </c>
      <c r="C76" s="19"/>
      <c r="D76" s="19"/>
      <c r="E76" s="19"/>
      <c r="F76" s="604" t="s">
        <v>903</v>
      </c>
      <c r="G76" s="678" t="n">
        <f aca="false">'Uplink Budget'!B10</f>
        <v>2</v>
      </c>
      <c r="H76" s="516"/>
      <c r="I76" s="512"/>
      <c r="J76" s="19"/>
      <c r="K76" s="19"/>
      <c r="L76" s="19"/>
      <c r="M76" s="19"/>
      <c r="N76" s="19"/>
      <c r="O76" s="19"/>
      <c r="P76" s="19"/>
      <c r="Q76" s="19"/>
      <c r="R76" s="516"/>
    </row>
    <row r="77" customFormat="false" ht="12" hidden="false" customHeight="true" outlineLevel="0" collapsed="false">
      <c r="A77" s="512"/>
      <c r="B77" s="19"/>
      <c r="C77" s="19"/>
      <c r="D77" s="19"/>
      <c r="E77" s="19"/>
      <c r="F77" s="665" t="s">
        <v>904</v>
      </c>
      <c r="G77" s="684" t="str">
        <f aca="false">'Antenna Gain'!K11</f>
        <v>Linear</v>
      </c>
      <c r="H77" s="516"/>
      <c r="I77" s="512"/>
      <c r="J77" s="19"/>
      <c r="K77" s="19"/>
      <c r="L77" s="19"/>
      <c r="M77" s="19"/>
      <c r="N77" s="19"/>
      <c r="O77" s="19"/>
      <c r="P77" s="19"/>
      <c r="Q77" s="19"/>
      <c r="R77" s="516"/>
    </row>
    <row r="78" customFormat="false" ht="12" hidden="false" customHeight="true" outlineLevel="0" collapsed="false">
      <c r="A78" s="512"/>
      <c r="B78" s="19"/>
      <c r="C78" s="19"/>
      <c r="D78" s="19"/>
      <c r="E78" s="19"/>
      <c r="F78" s="19" t="s">
        <v>0</v>
      </c>
      <c r="G78" s="19"/>
      <c r="H78" s="516"/>
      <c r="I78" s="512"/>
      <c r="J78" s="19"/>
      <c r="K78" s="19"/>
      <c r="L78" s="19"/>
      <c r="M78" s="19"/>
      <c r="N78" s="19"/>
      <c r="O78" s="19"/>
      <c r="P78" s="19"/>
      <c r="Q78" s="19"/>
      <c r="R78" s="516"/>
    </row>
    <row r="79" customFormat="false" ht="12" hidden="false" customHeight="true" outlineLevel="0" collapsed="false">
      <c r="A79" s="512"/>
      <c r="B79" s="19"/>
      <c r="C79" s="19"/>
      <c r="D79" s="19"/>
      <c r="E79" s="21" t="s">
        <v>594</v>
      </c>
      <c r="F79" s="19"/>
      <c r="G79" s="19"/>
      <c r="H79" s="516"/>
      <c r="I79" s="512"/>
      <c r="J79" s="19"/>
      <c r="K79" s="19"/>
      <c r="L79" s="19"/>
      <c r="M79" s="19"/>
      <c r="N79" s="19"/>
      <c r="O79" s="19"/>
      <c r="P79" s="19"/>
      <c r="Q79" s="19"/>
      <c r="R79" s="516"/>
    </row>
    <row r="80" customFormat="false" ht="12" hidden="false" customHeight="true" outlineLevel="0" collapsed="false">
      <c r="A80" s="512"/>
      <c r="B80" s="19"/>
      <c r="C80" s="19"/>
      <c r="D80" s="19"/>
      <c r="E80" s="19"/>
      <c r="F80" s="19"/>
      <c r="G80" s="19"/>
      <c r="H80" s="516"/>
      <c r="I80" s="512"/>
      <c r="J80" s="19"/>
      <c r="K80" s="19"/>
      <c r="L80" s="19"/>
      <c r="M80" s="19"/>
      <c r="N80" s="19"/>
      <c r="O80" s="19"/>
      <c r="P80" s="19"/>
      <c r="Q80" s="19"/>
      <c r="R80" s="516"/>
    </row>
    <row r="81" customFormat="false" ht="12" hidden="false" customHeight="true" outlineLevel="0" collapsed="false">
      <c r="A81" s="512"/>
      <c r="B81" s="19"/>
      <c r="C81" s="19"/>
      <c r="D81" s="19"/>
      <c r="E81" s="19"/>
      <c r="F81" s="19"/>
      <c r="G81" s="19"/>
      <c r="H81" s="516"/>
      <c r="I81" s="512"/>
      <c r="J81" s="19"/>
      <c r="K81" s="19"/>
      <c r="L81" s="19"/>
      <c r="M81" s="19"/>
      <c r="N81" s="19"/>
      <c r="O81" s="19"/>
      <c r="P81" s="19"/>
      <c r="Q81" s="19"/>
      <c r="R81" s="516"/>
    </row>
    <row r="82" customFormat="false" ht="12" hidden="false" customHeight="true" outlineLevel="0" collapsed="false">
      <c r="A82" s="512"/>
      <c r="B82" s="19"/>
      <c r="C82" s="19"/>
      <c r="D82" s="19"/>
      <c r="E82" s="19"/>
      <c r="F82" s="604" t="s">
        <v>905</v>
      </c>
      <c r="G82" s="679" t="n">
        <f aca="false">Transmitters!I35</f>
        <v>1.3495</v>
      </c>
      <c r="H82" s="516"/>
      <c r="I82" s="512"/>
      <c r="J82" s="19"/>
      <c r="K82" s="19"/>
      <c r="L82" s="19"/>
      <c r="M82" s="19"/>
      <c r="N82" s="19"/>
      <c r="O82" s="19"/>
      <c r="P82" s="19"/>
      <c r="Q82" s="19"/>
      <c r="R82" s="516"/>
    </row>
    <row r="83" customFormat="false" ht="12" hidden="false" customHeight="true" outlineLevel="0" collapsed="false">
      <c r="A83" s="512"/>
      <c r="B83" s="19"/>
      <c r="C83" s="19"/>
      <c r="D83" s="19"/>
      <c r="E83" s="19" t="s">
        <v>0</v>
      </c>
      <c r="F83" s="19" t="s">
        <v>0</v>
      </c>
      <c r="G83" s="19"/>
      <c r="H83" s="516"/>
      <c r="I83" s="512"/>
      <c r="J83" s="19"/>
      <c r="K83" s="19"/>
      <c r="L83" s="19"/>
      <c r="M83" s="19"/>
      <c r="N83" s="19"/>
      <c r="O83" s="19"/>
      <c r="P83" s="19"/>
      <c r="Q83" s="19"/>
      <c r="R83" s="516"/>
    </row>
    <row r="84" customFormat="false" ht="12" hidden="false" customHeight="true" outlineLevel="0" collapsed="false">
      <c r="A84" s="512"/>
      <c r="B84" s="19"/>
      <c r="C84" s="19"/>
      <c r="D84" s="19"/>
      <c r="E84" s="19" t="s">
        <v>888</v>
      </c>
      <c r="F84" s="604" t="s">
        <v>906</v>
      </c>
      <c r="G84" s="689" t="n">
        <f aca="false">Transmitters!E25*Transmitters!I21</f>
        <v>0</v>
      </c>
      <c r="H84" s="516"/>
      <c r="I84" s="512"/>
      <c r="J84" s="19"/>
      <c r="K84" s="19"/>
      <c r="L84" s="19"/>
      <c r="M84" s="19"/>
      <c r="N84" s="19"/>
      <c r="O84" s="19"/>
      <c r="P84" s="19"/>
      <c r="Q84" s="19"/>
      <c r="R84" s="516"/>
    </row>
    <row r="85" customFormat="false" ht="12" hidden="false" customHeight="true" outlineLevel="0" collapsed="false">
      <c r="A85" s="512"/>
      <c r="B85" s="19"/>
      <c r="C85" s="19"/>
      <c r="D85" s="19"/>
      <c r="E85" s="19"/>
      <c r="F85" s="19"/>
      <c r="G85" s="19"/>
      <c r="H85" s="516"/>
      <c r="I85" s="512"/>
      <c r="J85" s="19"/>
      <c r="K85" s="19"/>
      <c r="L85" s="19"/>
      <c r="M85" s="19"/>
      <c r="N85" s="19"/>
      <c r="O85" s="19"/>
      <c r="P85" s="19"/>
      <c r="Q85" s="19"/>
      <c r="R85" s="516"/>
    </row>
    <row r="86" customFormat="false" ht="12" hidden="false" customHeight="true" outlineLevel="0" collapsed="false">
      <c r="A86" s="512"/>
      <c r="B86" s="19"/>
      <c r="C86" s="19"/>
      <c r="D86" s="19"/>
      <c r="E86" s="19"/>
      <c r="F86" s="19"/>
      <c r="G86" s="19"/>
      <c r="H86" s="516"/>
      <c r="I86" s="512"/>
      <c r="J86" s="19"/>
      <c r="K86" s="19"/>
      <c r="L86" s="19"/>
      <c r="M86" s="19"/>
      <c r="N86" s="19"/>
      <c r="O86" s="19"/>
      <c r="P86" s="19"/>
      <c r="Q86" s="19"/>
      <c r="R86" s="516"/>
    </row>
    <row r="87" customFormat="false" ht="12" hidden="false" customHeight="true" outlineLevel="0" collapsed="false">
      <c r="A87" s="512"/>
      <c r="B87" s="19"/>
      <c r="C87" s="19"/>
      <c r="D87" s="19"/>
      <c r="E87" s="19"/>
      <c r="F87" s="604" t="s">
        <v>907</v>
      </c>
      <c r="G87" s="678" t="n">
        <f aca="false">Transmitters!I31</f>
        <v>0</v>
      </c>
      <c r="H87" s="516"/>
      <c r="I87" s="512"/>
      <c r="J87" s="19"/>
      <c r="K87" s="19"/>
      <c r="L87" s="19"/>
      <c r="M87" s="19"/>
      <c r="N87" s="19"/>
      <c r="O87" s="19"/>
      <c r="P87" s="19"/>
      <c r="Q87" s="19"/>
      <c r="R87" s="516"/>
    </row>
    <row r="88" customFormat="false" ht="12" hidden="false" customHeight="true" outlineLevel="0" collapsed="false">
      <c r="A88" s="512"/>
      <c r="B88" s="19"/>
      <c r="C88" s="19"/>
      <c r="D88" s="19"/>
      <c r="E88" s="19"/>
      <c r="F88" s="690" t="n">
        <f aca="false">Transmitters!F31</f>
        <v>0</v>
      </c>
      <c r="G88" s="66"/>
      <c r="H88" s="516"/>
      <c r="I88" s="512"/>
      <c r="J88" s="19"/>
      <c r="K88" s="19"/>
      <c r="L88" s="19"/>
      <c r="M88" s="19"/>
      <c r="N88" s="604" t="s">
        <v>908</v>
      </c>
      <c r="O88" s="670" t="n">
        <f aca="false">'Downlink Budget'!B56</f>
        <v>500000</v>
      </c>
      <c r="P88" s="19"/>
      <c r="Q88" s="19"/>
      <c r="R88" s="516"/>
    </row>
    <row r="89" customFormat="false" ht="12" hidden="false" customHeight="true" outlineLevel="0" collapsed="false">
      <c r="A89" s="512"/>
      <c r="B89" s="19"/>
      <c r="C89" s="19"/>
      <c r="D89" s="19"/>
      <c r="E89" s="19"/>
      <c r="F89" s="19"/>
      <c r="G89" s="19"/>
      <c r="H89" s="516"/>
      <c r="I89" s="512"/>
      <c r="J89" s="19"/>
      <c r="K89" s="19"/>
      <c r="L89" s="19"/>
      <c r="M89" s="19"/>
      <c r="N89" s="19" t="s">
        <v>909</v>
      </c>
      <c r="O89" s="19"/>
      <c r="P89" s="19"/>
      <c r="Q89" s="19"/>
      <c r="R89" s="516"/>
    </row>
    <row r="90" customFormat="false" ht="12" hidden="false" customHeight="true" outlineLevel="0" collapsed="false">
      <c r="A90" s="512"/>
      <c r="B90" s="19"/>
      <c r="C90" s="19"/>
      <c r="D90" s="19"/>
      <c r="E90" s="19" t="s">
        <v>358</v>
      </c>
      <c r="F90" s="604" t="s">
        <v>868</v>
      </c>
      <c r="G90" s="689" t="n">
        <f aca="false">Transmitters!E25*Transmitters!I20</f>
        <v>0</v>
      </c>
      <c r="H90" s="516"/>
      <c r="I90" s="512"/>
      <c r="J90" s="19"/>
      <c r="K90" s="19"/>
      <c r="L90" s="19"/>
      <c r="M90" s="19"/>
      <c r="N90" s="19"/>
      <c r="O90" s="19"/>
      <c r="P90" s="19"/>
      <c r="Q90" s="19"/>
      <c r="R90" s="516"/>
    </row>
    <row r="91" customFormat="false" ht="12" hidden="false" customHeight="true" outlineLevel="0" collapsed="false">
      <c r="A91" s="512"/>
      <c r="B91" s="19"/>
      <c r="C91" s="19"/>
      <c r="D91" s="19"/>
      <c r="E91" s="19"/>
      <c r="F91" s="19"/>
      <c r="G91" s="19"/>
      <c r="H91" s="516"/>
      <c r="I91" s="512"/>
      <c r="J91" s="19"/>
      <c r="K91" s="19"/>
      <c r="L91" s="19"/>
      <c r="M91" s="19"/>
      <c r="N91" s="19"/>
      <c r="O91" s="19"/>
      <c r="P91" s="19"/>
      <c r="Q91" s="19"/>
      <c r="R91" s="516"/>
    </row>
    <row r="92" customFormat="false" ht="12" hidden="false" customHeight="true" outlineLevel="0" collapsed="false">
      <c r="A92" s="512"/>
      <c r="B92" s="19"/>
      <c r="C92" s="19"/>
      <c r="D92" s="19"/>
      <c r="E92" s="19"/>
      <c r="F92" s="19"/>
      <c r="G92" s="19"/>
      <c r="H92" s="516"/>
      <c r="I92" s="512"/>
      <c r="J92" s="19"/>
      <c r="K92" s="19"/>
      <c r="L92" s="19"/>
      <c r="M92" s="19"/>
      <c r="N92" s="19"/>
      <c r="O92" s="19"/>
      <c r="P92" s="19"/>
      <c r="Q92" s="19"/>
      <c r="R92" s="516"/>
    </row>
    <row r="93" customFormat="false" ht="12" hidden="false" customHeight="true" outlineLevel="0" collapsed="false">
      <c r="A93" s="512"/>
      <c r="B93" s="19"/>
      <c r="C93" s="19"/>
      <c r="D93" s="19"/>
      <c r="E93" s="19"/>
      <c r="F93" s="604" t="s">
        <v>910</v>
      </c>
      <c r="G93" s="681" t="n">
        <f aca="false">Transmitters!I30</f>
        <v>1</v>
      </c>
      <c r="H93" s="516"/>
      <c r="I93" s="512"/>
      <c r="J93" s="19"/>
      <c r="K93" s="19"/>
      <c r="L93" s="19"/>
      <c r="M93" s="19"/>
      <c r="N93" s="665" t="s">
        <v>862</v>
      </c>
      <c r="O93" s="691" t="n">
        <f aca="false">'Downlink Budget'!B35</f>
        <v>0.0001</v>
      </c>
      <c r="P93" s="19"/>
      <c r="Q93" s="19"/>
      <c r="R93" s="516"/>
    </row>
    <row r="94" customFormat="false" ht="12" hidden="false" customHeight="true" outlineLevel="0" collapsed="false">
      <c r="A94" s="512"/>
      <c r="B94" s="19"/>
      <c r="C94" s="19"/>
      <c r="D94" s="19"/>
      <c r="E94" s="19"/>
      <c r="F94" s="19"/>
      <c r="G94" s="19"/>
      <c r="H94" s="516"/>
      <c r="I94" s="512"/>
      <c r="J94" s="19"/>
      <c r="K94" s="19"/>
      <c r="L94" s="19"/>
      <c r="M94" s="19"/>
      <c r="N94" s="692" t="s">
        <v>911</v>
      </c>
      <c r="O94" s="693"/>
      <c r="P94" s="19"/>
      <c r="Q94" s="19"/>
      <c r="R94" s="516"/>
    </row>
    <row r="95" customFormat="false" ht="12" hidden="false" customHeight="true" outlineLevel="0" collapsed="false">
      <c r="A95" s="512"/>
      <c r="B95" s="19"/>
      <c r="C95" s="19"/>
      <c r="D95" s="19"/>
      <c r="E95" s="19" t="s">
        <v>886</v>
      </c>
      <c r="F95" s="604" t="s">
        <v>912</v>
      </c>
      <c r="G95" s="689" t="n">
        <f aca="false">Transmitters!E25*Transmitters!I19</f>
        <v>0.1995</v>
      </c>
      <c r="H95" s="516"/>
      <c r="I95" s="512"/>
      <c r="J95" s="19"/>
      <c r="K95" s="19"/>
      <c r="L95" s="19"/>
      <c r="M95" s="19"/>
      <c r="N95" s="694" t="str">
        <f aca="false">'Downlink Budget'!B32</f>
        <v>LoRa</v>
      </c>
      <c r="O95" s="693"/>
      <c r="P95" s="19"/>
      <c r="Q95" s="19"/>
      <c r="R95" s="516"/>
    </row>
    <row r="96" customFormat="false" ht="12" hidden="false" customHeight="true" outlineLevel="0" collapsed="false">
      <c r="A96" s="512"/>
      <c r="B96" s="19"/>
      <c r="C96" s="19"/>
      <c r="D96" s="19"/>
      <c r="E96" s="19"/>
      <c r="F96" s="19" t="s">
        <v>0</v>
      </c>
      <c r="G96" s="19"/>
      <c r="H96" s="516"/>
      <c r="I96" s="512"/>
      <c r="J96" s="19"/>
      <c r="K96" s="19"/>
      <c r="L96" s="19"/>
      <c r="M96" s="19"/>
      <c r="N96" s="668" t="s">
        <v>787</v>
      </c>
      <c r="O96" s="669" t="n">
        <f aca="false">'Downlink Budget'!B41</f>
        <v>5.3</v>
      </c>
      <c r="P96" s="19"/>
      <c r="Q96" s="19"/>
      <c r="R96" s="516"/>
    </row>
    <row r="97" customFormat="false" ht="12" hidden="false" customHeight="true" outlineLevel="0" collapsed="false">
      <c r="A97" s="512"/>
      <c r="B97" s="19"/>
      <c r="C97" s="19"/>
      <c r="D97" s="19"/>
      <c r="E97" s="19"/>
      <c r="F97" s="604" t="s">
        <v>913</v>
      </c>
      <c r="G97" s="695" t="n">
        <f aca="false">Transmitters!E16</f>
        <v>0.2</v>
      </c>
      <c r="H97" s="516"/>
      <c r="I97" s="512"/>
      <c r="J97" s="19"/>
      <c r="K97" s="19"/>
      <c r="L97" s="19"/>
      <c r="M97" s="19"/>
      <c r="N97" s="19"/>
      <c r="O97" s="19"/>
      <c r="P97" s="19"/>
      <c r="Q97" s="19"/>
      <c r="R97" s="516"/>
    </row>
    <row r="98" customFormat="false" ht="12" hidden="false" customHeight="true" outlineLevel="0" collapsed="false">
      <c r="A98" s="512"/>
      <c r="B98" s="19"/>
      <c r="C98" s="19"/>
      <c r="D98" s="19"/>
      <c r="E98" s="19"/>
      <c r="F98" s="19"/>
      <c r="G98" s="19"/>
      <c r="H98" s="516"/>
      <c r="I98" s="512"/>
      <c r="J98" s="19"/>
      <c r="K98" s="19"/>
      <c r="L98" s="19"/>
      <c r="M98" s="19"/>
      <c r="N98" s="19"/>
      <c r="O98" s="19"/>
      <c r="P98" s="19"/>
      <c r="Q98" s="19"/>
      <c r="R98" s="516"/>
    </row>
    <row r="99" customFormat="false" ht="12" hidden="false" customHeight="true" outlineLevel="0" collapsed="false">
      <c r="A99" s="512"/>
      <c r="B99" s="19"/>
      <c r="C99" s="19"/>
      <c r="D99" s="19"/>
      <c r="E99" s="19"/>
      <c r="F99" s="19"/>
      <c r="G99" s="19"/>
      <c r="H99" s="516"/>
      <c r="I99" s="512"/>
      <c r="J99" s="19"/>
      <c r="K99" s="19"/>
      <c r="L99" s="19"/>
      <c r="M99" s="19"/>
      <c r="N99" s="19"/>
      <c r="O99" s="19"/>
      <c r="P99" s="19"/>
      <c r="Q99" s="19"/>
      <c r="R99" s="516"/>
    </row>
    <row r="100" customFormat="false" ht="12" hidden="false" customHeight="true" outlineLevel="0" collapsed="false">
      <c r="A100" s="512"/>
      <c r="B100" s="19"/>
      <c r="C100" s="19"/>
      <c r="D100" s="19"/>
      <c r="E100" s="19"/>
      <c r="F100" s="19"/>
      <c r="G100" s="19"/>
      <c r="H100" s="516"/>
      <c r="I100" s="512"/>
      <c r="J100" s="19"/>
      <c r="K100" s="19"/>
      <c r="L100" s="19"/>
      <c r="M100" s="19"/>
      <c r="N100" s="658" t="s">
        <v>914</v>
      </c>
      <c r="O100" s="653"/>
      <c r="P100" s="19"/>
      <c r="Q100" s="19"/>
      <c r="R100" s="516"/>
    </row>
    <row r="101" customFormat="false" ht="12" hidden="false" customHeight="true" outlineLevel="0" collapsed="false">
      <c r="A101" s="512"/>
      <c r="B101" s="19"/>
      <c r="C101" s="19"/>
      <c r="D101" s="19"/>
      <c r="E101" s="19"/>
      <c r="F101" s="19"/>
      <c r="G101" s="19"/>
      <c r="H101" s="516"/>
      <c r="I101" s="512"/>
      <c r="J101" s="19"/>
      <c r="K101" s="19"/>
      <c r="L101" s="19"/>
      <c r="M101" s="19"/>
      <c r="N101" s="696" t="str">
        <f aca="false">'Downlink Budget'!B33</f>
        <v>Spread Spectrum (SF 12, 500 kHz, CR 4:5)</v>
      </c>
      <c r="O101" s="655"/>
      <c r="P101" s="19"/>
      <c r="Q101" s="19"/>
      <c r="R101" s="516"/>
    </row>
    <row r="102" customFormat="false" ht="12" hidden="false" customHeight="true" outlineLevel="0" collapsed="false">
      <c r="A102" s="512"/>
      <c r="B102" s="19"/>
      <c r="C102" s="19"/>
      <c r="D102" s="19"/>
      <c r="E102" s="19"/>
      <c r="F102" s="19"/>
      <c r="G102" s="19"/>
      <c r="H102" s="516"/>
      <c r="I102" s="512"/>
      <c r="J102" s="19"/>
      <c r="K102" s="19"/>
      <c r="L102" s="19"/>
      <c r="M102" s="19"/>
      <c r="N102" s="19"/>
      <c r="O102" s="19"/>
      <c r="P102" s="19"/>
      <c r="Q102" s="19"/>
      <c r="R102" s="516"/>
    </row>
    <row r="103" customFormat="false" ht="12" hidden="false" customHeight="true" outlineLevel="0" collapsed="false">
      <c r="A103" s="512"/>
      <c r="B103" s="19"/>
      <c r="C103" s="19"/>
      <c r="D103" s="19"/>
      <c r="E103" s="19"/>
      <c r="F103" s="658" t="s">
        <v>915</v>
      </c>
      <c r="G103" s="653"/>
      <c r="H103" s="516"/>
      <c r="I103" s="512"/>
      <c r="J103" s="19"/>
      <c r="K103" s="19"/>
      <c r="L103" s="19"/>
      <c r="M103" s="19"/>
      <c r="N103" s="19"/>
      <c r="O103" s="19"/>
      <c r="P103" s="19"/>
      <c r="Q103" s="19"/>
      <c r="R103" s="516"/>
    </row>
    <row r="104" customFormat="false" ht="12" hidden="false" customHeight="true" outlineLevel="0" collapsed="false">
      <c r="A104" s="512"/>
      <c r="B104" s="19"/>
      <c r="C104" s="19"/>
      <c r="D104" s="19"/>
      <c r="E104" s="19"/>
      <c r="F104" s="654" t="str">
        <f aca="false">'Uplink Budget'!B32</f>
        <v>LoRa</v>
      </c>
      <c r="G104" s="655"/>
      <c r="H104" s="516"/>
      <c r="I104" s="512"/>
      <c r="J104" s="19"/>
      <c r="K104" s="19"/>
      <c r="L104" s="19"/>
      <c r="M104" s="19"/>
      <c r="N104" s="19"/>
      <c r="O104" s="19"/>
      <c r="P104" s="19"/>
      <c r="Q104" s="19"/>
      <c r="R104" s="516"/>
    </row>
    <row r="105" customFormat="false" ht="12" hidden="false" customHeight="true" outlineLevel="0" collapsed="false">
      <c r="A105" s="512"/>
      <c r="B105" s="19"/>
      <c r="C105" s="19"/>
      <c r="D105" s="19"/>
      <c r="E105" s="19"/>
      <c r="F105" s="19"/>
      <c r="G105" s="19"/>
      <c r="H105" s="516"/>
      <c r="I105" s="512"/>
      <c r="J105" s="19"/>
      <c r="K105" s="604" t="s">
        <v>852</v>
      </c>
      <c r="L105" s="670" t="n">
        <f aca="false">'Downlink Budget'!B28</f>
        <v>1171.8</v>
      </c>
      <c r="M105" s="19"/>
      <c r="N105" s="19"/>
      <c r="O105" s="19" t="s">
        <v>0</v>
      </c>
      <c r="P105" s="19" t="s">
        <v>0</v>
      </c>
      <c r="Q105" s="19"/>
      <c r="R105" s="516"/>
    </row>
    <row r="106" customFormat="false" ht="12.75" hidden="false" customHeight="true" outlineLevel="0" collapsed="false">
      <c r="A106" s="512"/>
      <c r="B106" s="19"/>
      <c r="C106" s="19"/>
      <c r="D106" s="19"/>
      <c r="E106" s="19"/>
      <c r="F106" s="652" t="s">
        <v>916</v>
      </c>
      <c r="G106" s="685"/>
      <c r="H106" s="516"/>
      <c r="I106" s="512"/>
      <c r="J106" s="19"/>
      <c r="K106" s="19"/>
      <c r="L106" s="19"/>
      <c r="M106" s="19"/>
      <c r="N106" s="19"/>
      <c r="O106" s="19"/>
      <c r="P106" s="19"/>
      <c r="Q106" s="19"/>
      <c r="R106" s="516"/>
    </row>
    <row r="107" customFormat="false" ht="12.75" hidden="false" customHeight="true" outlineLevel="0" collapsed="false">
      <c r="A107" s="512"/>
      <c r="B107" s="19"/>
      <c r="C107" s="19"/>
      <c r="D107" s="19"/>
      <c r="E107" s="19"/>
      <c r="F107" s="659" t="str">
        <f aca="false">'Uplink Budget'!B33</f>
        <v>Spread Spectrum (SF 12, 500 kHz, CR 4:5)</v>
      </c>
      <c r="G107" s="655"/>
      <c r="H107" s="516"/>
      <c r="I107" s="512" t="s">
        <v>917</v>
      </c>
      <c r="J107" s="19"/>
      <c r="K107" s="604" t="s">
        <v>918</v>
      </c>
      <c r="L107" s="647" t="n">
        <f aca="false">'Downlink Budget'!B30</f>
        <v>16.0501636364117</v>
      </c>
      <c r="M107" s="19"/>
      <c r="N107" s="697" t="s">
        <v>851</v>
      </c>
      <c r="O107" s="649" t="n">
        <f aca="false">'Downlink Budget'!B43</f>
        <v>10.7501636364117</v>
      </c>
      <c r="P107" s="650" t="str">
        <f aca="false">IF(O107&lt;0,"NO LINK !",IF(O107&lt;6,"MARGINAL LINK",IF(O107&gt;6,"LINK CLOSES")))</f>
        <v>LINK CLOSES</v>
      </c>
      <c r="Q107" s="19"/>
      <c r="R107" s="516"/>
    </row>
    <row r="108" customFormat="false" ht="12.75" hidden="false" customHeight="true" outlineLevel="0" collapsed="false">
      <c r="A108" s="512"/>
      <c r="B108" s="19"/>
      <c r="C108" s="19"/>
      <c r="D108" s="19"/>
      <c r="E108" s="19"/>
      <c r="F108" s="19"/>
      <c r="G108" s="19"/>
      <c r="H108" s="516"/>
      <c r="I108" s="512"/>
      <c r="J108" s="19"/>
      <c r="K108" s="19"/>
      <c r="L108" s="19"/>
      <c r="M108" s="19"/>
      <c r="N108" s="19"/>
      <c r="O108" s="19"/>
      <c r="P108" s="19"/>
      <c r="Q108" s="19"/>
      <c r="R108" s="516"/>
    </row>
    <row r="109" customFormat="false" ht="12.75" hidden="false" customHeight="true" outlineLevel="0" collapsed="false">
      <c r="A109" s="512"/>
      <c r="B109" s="19"/>
      <c r="C109" s="604" t="s">
        <v>919</v>
      </c>
      <c r="D109" s="698" t="n">
        <f aca="false">'Uplink Budget'!B28</f>
        <v>1171.8</v>
      </c>
      <c r="E109" s="19"/>
      <c r="F109" s="19"/>
      <c r="G109" s="19"/>
      <c r="H109" s="516"/>
      <c r="I109" s="512" t="s">
        <v>920</v>
      </c>
      <c r="J109" s="19"/>
      <c r="K109" s="604" t="s">
        <v>921</v>
      </c>
      <c r="L109" s="647" t="n">
        <f aca="false">'Downlink Budget'!B60</f>
        <v>-10.251001470234</v>
      </c>
      <c r="M109" s="19"/>
      <c r="N109" s="697" t="s">
        <v>922</v>
      </c>
      <c r="O109" s="649" t="n">
        <f aca="false">'Downlink Budget'!B64</f>
        <v>10.748998529766</v>
      </c>
      <c r="P109" s="650" t="str">
        <f aca="false">IF(O109&lt;0,"NO LINK !",IF(O109&lt;6,"MARGINAL LINK",IF(O109&gt;6,"LINK CLOSES")))</f>
        <v>LINK CLOSES</v>
      </c>
      <c r="Q109" s="19"/>
      <c r="R109" s="516"/>
    </row>
    <row r="110" customFormat="false" ht="12" hidden="false" customHeight="true" outlineLevel="0" collapsed="false">
      <c r="A110" s="512"/>
      <c r="B110" s="19"/>
      <c r="C110" s="19"/>
      <c r="D110" s="19"/>
      <c r="E110" s="19"/>
      <c r="F110" s="19"/>
      <c r="G110" s="19"/>
      <c r="H110" s="516"/>
      <c r="I110" s="512"/>
      <c r="J110" s="19"/>
      <c r="K110" s="19"/>
      <c r="L110" s="19"/>
      <c r="M110" s="19"/>
      <c r="N110" s="19"/>
      <c r="O110" s="19"/>
      <c r="P110" s="19"/>
      <c r="Q110" s="19"/>
      <c r="R110" s="516"/>
    </row>
    <row r="111" customFormat="false" ht="12" hidden="false" customHeight="true" outlineLevel="0" collapsed="false">
      <c r="A111" s="512"/>
      <c r="B111" s="19"/>
      <c r="C111" s="19"/>
      <c r="D111" s="19"/>
      <c r="E111" s="19"/>
      <c r="F111" s="19"/>
      <c r="G111" s="19"/>
      <c r="H111" s="516"/>
      <c r="I111" s="512"/>
      <c r="J111" s="19"/>
      <c r="K111" s="19"/>
      <c r="L111" s="19"/>
      <c r="M111" s="19"/>
      <c r="N111" s="19"/>
      <c r="O111" s="19"/>
      <c r="P111" s="19"/>
      <c r="Q111" s="19"/>
      <c r="R111" s="516"/>
    </row>
    <row r="112" customFormat="false" ht="12" hidden="false" customHeight="true" outlineLevel="0" collapsed="false">
      <c r="A112" s="512"/>
      <c r="B112" s="19"/>
      <c r="C112" s="19"/>
      <c r="D112" s="19"/>
      <c r="E112" s="19"/>
      <c r="F112" s="19"/>
      <c r="G112" s="19"/>
      <c r="H112" s="516"/>
      <c r="I112" s="512"/>
      <c r="J112" s="19"/>
      <c r="K112" s="19"/>
      <c r="L112" s="19"/>
      <c r="M112" s="19"/>
      <c r="N112" s="19"/>
      <c r="O112" s="19"/>
      <c r="P112" s="19"/>
      <c r="Q112" s="19"/>
      <c r="R112" s="516"/>
    </row>
    <row r="113" customFormat="false" ht="12" hidden="false" customHeight="true" outlineLevel="0" collapsed="false">
      <c r="A113" s="512"/>
      <c r="B113" s="19"/>
      <c r="C113" s="19"/>
      <c r="D113" s="19"/>
      <c r="E113" s="19"/>
      <c r="F113" s="19"/>
      <c r="G113" s="19"/>
      <c r="H113" s="516"/>
      <c r="I113" s="512"/>
      <c r="J113" s="19"/>
      <c r="K113" s="19"/>
      <c r="L113" s="19"/>
      <c r="M113" s="19"/>
      <c r="N113" s="19"/>
      <c r="O113" s="19"/>
      <c r="P113" s="19"/>
      <c r="Q113" s="19"/>
      <c r="R113" s="516"/>
    </row>
    <row r="114" customFormat="false" ht="12" hidden="false" customHeight="true" outlineLevel="0" collapsed="false">
      <c r="A114" s="512"/>
      <c r="B114" s="19"/>
      <c r="C114" s="19"/>
      <c r="D114" s="19"/>
      <c r="E114" s="19"/>
      <c r="F114" s="19"/>
      <c r="G114" s="19"/>
      <c r="H114" s="516"/>
      <c r="I114" s="512"/>
      <c r="J114" s="19"/>
      <c r="K114" s="19"/>
      <c r="L114" s="19"/>
      <c r="M114" s="19"/>
      <c r="N114" s="19"/>
      <c r="O114" s="19" t="s">
        <v>0</v>
      </c>
      <c r="P114" s="19"/>
      <c r="Q114" s="19"/>
      <c r="R114" s="516"/>
    </row>
    <row r="115" customFormat="false" ht="12.75" hidden="false" customHeight="true" outlineLevel="0" collapsed="false">
      <c r="A115" s="526"/>
      <c r="B115" s="107"/>
      <c r="C115" s="107"/>
      <c r="D115" s="107"/>
      <c r="E115" s="107"/>
      <c r="F115" s="107"/>
      <c r="G115" s="107"/>
      <c r="H115" s="527"/>
      <c r="I115" s="526"/>
      <c r="J115" s="107"/>
      <c r="K115" s="107"/>
      <c r="L115" s="107"/>
      <c r="M115" s="107"/>
      <c r="N115" s="107"/>
      <c r="O115" s="107"/>
      <c r="P115" s="107"/>
      <c r="Q115" s="107"/>
      <c r="R115" s="527"/>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699" t="s">
        <v>924</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691</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0" t="s">
        <v>925</v>
      </c>
      <c r="C8" s="701" t="s">
        <v>926</v>
      </c>
      <c r="D8" s="702" t="s">
        <v>927</v>
      </c>
      <c r="E8" s="187" t="s">
        <v>0</v>
      </c>
      <c r="F8" s="326"/>
      <c r="G8" s="326"/>
      <c r="H8" s="326"/>
      <c r="I8" s="326"/>
      <c r="J8" s="326"/>
      <c r="K8" s="326"/>
      <c r="L8" s="326"/>
      <c r="M8" s="326"/>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6"/>
      <c r="G9" s="326"/>
      <c r="H9" s="326"/>
      <c r="I9" s="326"/>
      <c r="J9" s="326"/>
      <c r="K9" s="326"/>
      <c r="L9" s="326"/>
      <c r="M9" s="326"/>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6"/>
      <c r="G10" s="326"/>
      <c r="H10" s="326"/>
      <c r="I10" s="326"/>
      <c r="J10" s="326"/>
      <c r="K10" s="326"/>
      <c r="L10" s="326"/>
      <c r="M10" s="326"/>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6"/>
      <c r="G11" s="326"/>
      <c r="H11" s="326"/>
      <c r="I11" s="326"/>
      <c r="J11" s="326"/>
      <c r="K11" s="326"/>
      <c r="L11" s="326"/>
      <c r="M11" s="326"/>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6"/>
      <c r="G12" s="326"/>
      <c r="H12" s="326"/>
      <c r="I12" s="326"/>
      <c r="J12" s="326"/>
      <c r="K12" s="326"/>
      <c r="L12" s="326"/>
      <c r="M12" s="326"/>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6"/>
      <c r="G13" s="326"/>
      <c r="H13" s="326"/>
      <c r="I13" s="326"/>
      <c r="J13" s="326"/>
      <c r="K13" s="326"/>
      <c r="L13" s="326"/>
      <c r="M13" s="326"/>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6"/>
      <c r="G14" s="326"/>
      <c r="H14" s="326"/>
      <c r="I14" s="326"/>
      <c r="J14" s="326"/>
      <c r="K14" s="326"/>
      <c r="L14" s="326"/>
      <c r="M14" s="326"/>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6"/>
      <c r="G15" s="326"/>
      <c r="H15" s="326"/>
      <c r="I15" s="326"/>
      <c r="J15" s="326"/>
      <c r="K15" s="326"/>
      <c r="L15" s="326"/>
      <c r="M15" s="326"/>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6"/>
      <c r="G16" s="326"/>
      <c r="H16" s="326"/>
      <c r="I16" s="326"/>
      <c r="J16" s="326"/>
      <c r="K16" s="326"/>
      <c r="L16" s="326"/>
      <c r="M16" s="326"/>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6"/>
      <c r="G17" s="326"/>
      <c r="H17" s="326"/>
      <c r="I17" s="326"/>
      <c r="J17" s="326"/>
      <c r="K17" s="326"/>
      <c r="L17" s="326"/>
      <c r="M17" s="326"/>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6"/>
      <c r="G18" s="326"/>
      <c r="H18" s="326"/>
      <c r="I18" s="326" t="s">
        <v>928</v>
      </c>
      <c r="J18" s="326"/>
      <c r="K18" s="326"/>
      <c r="L18" s="326"/>
      <c r="M18" s="326"/>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6"/>
      <c r="G19" s="326"/>
      <c r="H19" s="326"/>
      <c r="I19" s="326"/>
      <c r="J19" s="326" t="s">
        <v>929</v>
      </c>
      <c r="K19" s="326"/>
      <c r="L19" s="326"/>
      <c r="M19" s="326"/>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6"/>
      <c r="G20" s="326"/>
      <c r="H20" s="326"/>
      <c r="I20" s="326"/>
      <c r="J20" s="326"/>
      <c r="K20" s="326"/>
      <c r="L20" s="326"/>
      <c r="M20" s="326"/>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6"/>
      <c r="G21" s="326"/>
      <c r="H21" s="326"/>
      <c r="I21" s="326"/>
      <c r="J21" s="326"/>
      <c r="K21" s="326"/>
      <c r="L21" s="326"/>
      <c r="M21" s="326"/>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6"/>
      <c r="G22" s="326"/>
      <c r="H22" s="326"/>
      <c r="I22" s="326"/>
      <c r="J22" s="326"/>
      <c r="K22" s="326"/>
      <c r="L22" s="326"/>
      <c r="M22" s="326"/>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6"/>
      <c r="G23" s="326"/>
      <c r="H23" s="326"/>
      <c r="I23" s="326"/>
      <c r="J23" s="326"/>
      <c r="K23" s="326"/>
      <c r="L23" s="326"/>
      <c r="M23" s="326"/>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6"/>
      <c r="G24" s="326"/>
      <c r="H24" s="326"/>
      <c r="I24" s="326"/>
      <c r="J24" s="326"/>
      <c r="K24" s="326"/>
      <c r="L24" s="326"/>
      <c r="M24" s="326"/>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6"/>
      <c r="G25" s="326"/>
      <c r="H25" s="326"/>
      <c r="I25" s="326"/>
      <c r="J25" s="326"/>
      <c r="K25" s="326"/>
      <c r="L25" s="326"/>
      <c r="M25" s="326"/>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6"/>
      <c r="G26" s="326"/>
      <c r="H26" s="326"/>
      <c r="I26" s="326"/>
      <c r="J26" s="326"/>
      <c r="K26" s="326"/>
      <c r="L26" s="326"/>
      <c r="M26" s="326"/>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6"/>
      <c r="G27" s="326"/>
      <c r="H27" s="326"/>
      <c r="I27" s="326"/>
      <c r="J27" s="326"/>
      <c r="K27" s="326"/>
      <c r="L27" s="326"/>
      <c r="M27" s="326"/>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6"/>
      <c r="G28" s="326"/>
      <c r="H28" s="326"/>
      <c r="I28" s="326"/>
      <c r="J28" s="326"/>
      <c r="K28" s="326"/>
      <c r="L28" s="326"/>
      <c r="M28" s="326"/>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6"/>
      <c r="G29" s="326"/>
      <c r="H29" s="326"/>
      <c r="I29" s="326"/>
      <c r="J29" s="326"/>
      <c r="K29" s="326"/>
      <c r="L29" s="326"/>
      <c r="M29" s="326"/>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6"/>
      <c r="G30" s="326"/>
      <c r="H30" s="326"/>
      <c r="I30" s="326"/>
      <c r="J30" s="326"/>
      <c r="K30" s="326"/>
      <c r="L30" s="326"/>
      <c r="M30" s="326"/>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6"/>
      <c r="G31" s="326"/>
      <c r="H31" s="326"/>
      <c r="I31" s="326"/>
      <c r="J31" s="326"/>
      <c r="K31" s="326"/>
      <c r="L31" s="326"/>
      <c r="M31" s="326"/>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930</v>
      </c>
      <c r="E32" s="19"/>
      <c r="F32" s="326"/>
      <c r="G32" s="326"/>
      <c r="H32" s="326"/>
      <c r="I32" s="326"/>
      <c r="J32" s="326"/>
      <c r="K32" s="326"/>
      <c r="L32" s="326"/>
      <c r="M32" s="326"/>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6"/>
      <c r="G33" s="326"/>
      <c r="H33" s="326"/>
      <c r="I33" s="326"/>
      <c r="J33" s="326"/>
      <c r="K33" s="326"/>
      <c r="L33" s="326"/>
      <c r="M33" s="326"/>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6"/>
      <c r="G34" s="326"/>
      <c r="H34" s="326"/>
      <c r="I34" s="326"/>
      <c r="J34" s="326"/>
      <c r="K34" s="326"/>
      <c r="L34" s="326"/>
      <c r="M34" s="326"/>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931</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932</v>
      </c>
      <c r="G38" s="19"/>
      <c r="H38" s="19" t="n">
        <v>5.15</v>
      </c>
      <c r="I38" s="19" t="s">
        <v>512</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476</v>
      </c>
      <c r="G40" s="19"/>
      <c r="H40" s="19" t="n">
        <v>38.6</v>
      </c>
      <c r="I40" s="19" t="s">
        <v>239</v>
      </c>
      <c r="J40" s="19" t="s">
        <v>933</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934</v>
      </c>
      <c r="G42" s="19"/>
      <c r="H42" s="703" t="n">
        <v>0</v>
      </c>
      <c r="I42" s="19" t="s">
        <v>239</v>
      </c>
      <c r="J42" s="19" t="s">
        <v>935</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936</v>
      </c>
      <c r="G44" s="19"/>
      <c r="H44" s="19" t="n">
        <v>5.15</v>
      </c>
      <c r="I44" s="19" t="s">
        <v>512</v>
      </c>
      <c r="J44" s="19" t="s">
        <v>937</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938</v>
      </c>
      <c r="G46" s="19"/>
      <c r="H46" s="703" t="n">
        <v>0</v>
      </c>
      <c r="I46" s="19" t="s">
        <v>239</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3"/>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3"/>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0" t="s">
        <v>939</v>
      </c>
      <c r="C49" s="701" t="s">
        <v>926</v>
      </c>
      <c r="D49" s="702" t="s">
        <v>927</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940</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932</v>
      </c>
      <c r="H83" s="19"/>
      <c r="I83" s="19" t="n">
        <v>2.15</v>
      </c>
      <c r="J83" s="19" t="s">
        <v>512</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476</v>
      </c>
      <c r="H85" s="19"/>
      <c r="I85" s="19" t="n">
        <v>78.8</v>
      </c>
      <c r="J85" s="19" t="s">
        <v>239</v>
      </c>
      <c r="K85" s="19" t="s">
        <v>933</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934</v>
      </c>
      <c r="H87" s="19"/>
      <c r="I87" s="703" t="n">
        <v>0</v>
      </c>
      <c r="J87" s="19" t="s">
        <v>239</v>
      </c>
      <c r="K87" s="19" t="s">
        <v>935</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936</v>
      </c>
      <c r="H89" s="19"/>
      <c r="I89" s="19" t="n">
        <v>2.15</v>
      </c>
      <c r="J89" s="19" t="s">
        <v>512</v>
      </c>
      <c r="K89" s="19" t="s">
        <v>937</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938</v>
      </c>
      <c r="H91" s="19"/>
      <c r="I91" s="703" t="n">
        <v>0</v>
      </c>
      <c r="J91" s="19" t="s">
        <v>239</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4" t="s">
        <v>492</v>
      </c>
      <c r="E97" s="705" t="s">
        <v>941</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0" t="s">
        <v>942</v>
      </c>
      <c r="C98" s="701" t="s">
        <v>926</v>
      </c>
      <c r="D98" s="706" t="s">
        <v>927</v>
      </c>
      <c r="E98" s="707" t="s">
        <v>927</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8" t="s">
        <v>943</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4" t="s">
        <v>492</v>
      </c>
      <c r="E174" s="705" t="s">
        <v>941</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0" t="s">
        <v>944</v>
      </c>
      <c r="C175" s="709" t="s">
        <v>945</v>
      </c>
      <c r="D175" s="706" t="s">
        <v>927</v>
      </c>
      <c r="E175" s="706" t="s">
        <v>927</v>
      </c>
      <c r="F175" s="710"/>
      <c r="G175" s="326"/>
      <c r="H175" s="326"/>
      <c r="I175" s="326"/>
      <c r="J175" s="326"/>
      <c r="K175" s="326"/>
      <c r="L175" s="326"/>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0"/>
      <c r="G176" s="326"/>
      <c r="H176" s="326"/>
      <c r="I176" s="326"/>
      <c r="J176" s="326"/>
      <c r="K176" s="326"/>
      <c r="L176" s="326"/>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0"/>
      <c r="G177" s="326"/>
      <c r="H177" s="326"/>
      <c r="I177" s="326"/>
      <c r="J177" s="326"/>
      <c r="K177" s="326"/>
      <c r="L177" s="326"/>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0"/>
      <c r="G178" s="326"/>
      <c r="H178" s="326"/>
      <c r="I178" s="326"/>
      <c r="J178" s="326"/>
      <c r="K178" s="326"/>
      <c r="L178" s="326"/>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0"/>
      <c r="G179" s="326"/>
      <c r="H179" s="326"/>
      <c r="I179" s="326"/>
      <c r="J179" s="326"/>
      <c r="K179" s="326"/>
      <c r="L179" s="326"/>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0"/>
      <c r="G180" s="326"/>
      <c r="H180" s="326"/>
      <c r="I180" s="326"/>
      <c r="J180" s="326"/>
      <c r="K180" s="326"/>
      <c r="L180" s="326"/>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0"/>
      <c r="G181" s="326"/>
      <c r="H181" s="326"/>
      <c r="I181" s="326"/>
      <c r="J181" s="326"/>
      <c r="K181" s="326"/>
      <c r="L181" s="326"/>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0"/>
      <c r="G182" s="326"/>
      <c r="H182" s="326"/>
      <c r="I182" s="326"/>
      <c r="J182" s="326"/>
      <c r="K182" s="326"/>
      <c r="L182" s="326"/>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0"/>
      <c r="G183" s="326"/>
      <c r="H183" s="326"/>
      <c r="I183" s="326"/>
      <c r="J183" s="326"/>
      <c r="K183" s="326"/>
      <c r="L183" s="326"/>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0"/>
      <c r="G184" s="326"/>
      <c r="H184" s="326"/>
      <c r="I184" s="326"/>
      <c r="J184" s="326"/>
      <c r="K184" s="326"/>
      <c r="L184" s="326"/>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0"/>
      <c r="G185" s="326"/>
      <c r="H185" s="326" t="s">
        <v>0</v>
      </c>
      <c r="I185" s="326" t="s">
        <v>946</v>
      </c>
      <c r="J185" s="326"/>
      <c r="K185" s="326"/>
      <c r="L185" s="326"/>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0"/>
      <c r="G186" s="326"/>
      <c r="H186" s="326"/>
      <c r="I186" s="326"/>
      <c r="J186" s="326" t="s">
        <v>929</v>
      </c>
      <c r="K186" s="326"/>
      <c r="L186" s="326"/>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0"/>
      <c r="G187" s="326"/>
      <c r="H187" s="326"/>
      <c r="I187" s="326"/>
      <c r="J187" s="326"/>
      <c r="K187" s="326"/>
      <c r="L187" s="326"/>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0"/>
      <c r="G188" s="326"/>
      <c r="H188" s="326"/>
      <c r="I188" s="326"/>
      <c r="J188" s="326"/>
      <c r="K188" s="326"/>
      <c r="L188" s="326"/>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0"/>
      <c r="G189" s="326"/>
      <c r="H189" s="326"/>
      <c r="I189" s="326"/>
      <c r="J189" s="326"/>
      <c r="K189" s="326"/>
      <c r="L189" s="326"/>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0"/>
      <c r="G190" s="326"/>
      <c r="H190" s="326"/>
      <c r="I190" s="326"/>
      <c r="J190" s="326"/>
      <c r="K190" s="326"/>
      <c r="L190" s="326"/>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0"/>
      <c r="G191" s="326"/>
      <c r="H191" s="326"/>
      <c r="I191" s="326"/>
      <c r="J191" s="326"/>
      <c r="K191" s="326"/>
      <c r="L191" s="326"/>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0"/>
      <c r="G192" s="326"/>
      <c r="H192" s="326"/>
      <c r="I192" s="326"/>
      <c r="J192" s="326"/>
      <c r="K192" s="326"/>
      <c r="L192" s="326"/>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0"/>
      <c r="G193" s="326"/>
      <c r="H193" s="326"/>
      <c r="I193" s="326"/>
      <c r="J193" s="326"/>
      <c r="K193" s="326"/>
      <c r="L193" s="326"/>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0"/>
      <c r="G194" s="326"/>
      <c r="H194" s="326"/>
      <c r="I194" s="326"/>
      <c r="J194" s="326"/>
      <c r="K194" s="326"/>
      <c r="L194" s="326"/>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0"/>
      <c r="G195" s="326"/>
      <c r="H195" s="326"/>
      <c r="I195" s="326"/>
      <c r="J195" s="326"/>
      <c r="K195" s="326"/>
      <c r="L195" s="326"/>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0"/>
      <c r="G196" s="326"/>
      <c r="H196" s="326"/>
      <c r="I196" s="326"/>
      <c r="J196" s="326"/>
      <c r="K196" s="326"/>
      <c r="L196" s="326"/>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0"/>
      <c r="G197" s="326"/>
      <c r="H197" s="326"/>
      <c r="I197" s="326"/>
      <c r="J197" s="326"/>
      <c r="K197" s="326"/>
      <c r="L197" s="326"/>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0"/>
      <c r="G198" s="326"/>
      <c r="H198" s="326"/>
      <c r="I198" s="326"/>
      <c r="J198" s="326"/>
      <c r="K198" s="326"/>
      <c r="L198" s="326"/>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0"/>
      <c r="G199" s="326"/>
      <c r="H199" s="326"/>
      <c r="I199" s="326"/>
      <c r="J199" s="326"/>
      <c r="K199" s="326"/>
      <c r="L199" s="326"/>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4" t="s">
        <v>492</v>
      </c>
      <c r="E214" s="705" t="s">
        <v>941</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0" t="s">
        <v>947</v>
      </c>
      <c r="C215" s="711" t="s">
        <v>948</v>
      </c>
      <c r="D215" s="706" t="s">
        <v>927</v>
      </c>
      <c r="E215" s="707" t="s">
        <v>927</v>
      </c>
      <c r="F215" s="326"/>
      <c r="G215" s="326" t="s">
        <v>0</v>
      </c>
      <c r="H215" s="326"/>
      <c r="I215" s="326"/>
      <c r="J215" s="326"/>
      <c r="K215" s="326"/>
      <c r="L215" s="326"/>
      <c r="M215" s="326"/>
      <c r="N215" s="712"/>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3" t="n">
        <v>1E-005</v>
      </c>
      <c r="D216" s="213" t="n">
        <f aca="false">6-(-10*LOG10(3282.81*((SIN(RADIANS(C216*1.7724))^2)/((C216*1.7724)^2))))</f>
        <v>6.0000048287004</v>
      </c>
      <c r="E216" s="98" t="s">
        <v>0</v>
      </c>
      <c r="F216" s="326"/>
      <c r="G216" s="326"/>
      <c r="H216" s="326"/>
      <c r="I216" s="326"/>
      <c r="J216" s="326"/>
      <c r="K216" s="326"/>
      <c r="L216" s="326"/>
      <c r="M216" s="326"/>
      <c r="N216" s="714"/>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3" t="n">
        <f aca="false">C216+5</f>
        <v>5.00001</v>
      </c>
      <c r="D217" s="213" t="n">
        <f aca="false">6-(-10*LOG10(3282.81*((SIN(RADIANS(C217*1.7724))^2)/((C217*1.7724)^2))))</f>
        <v>5.96534473493824</v>
      </c>
      <c r="E217" s="98" t="s">
        <v>0</v>
      </c>
      <c r="F217" s="326"/>
      <c r="G217" s="326"/>
      <c r="H217" s="326"/>
      <c r="I217" s="326"/>
      <c r="J217" s="326"/>
      <c r="K217" s="326"/>
      <c r="L217" s="326"/>
      <c r="M217" s="326"/>
      <c r="N217" s="714"/>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3" t="n">
        <f aca="false">C217+5</f>
        <v>10.00001</v>
      </c>
      <c r="D218" s="213" t="n">
        <f aca="false">6-(-10*LOG10(3282.81*((SIN(RADIANS(C218*1.7724))^2)/((C218*1.7724)^2))))</f>
        <v>5.86103078844933</v>
      </c>
      <c r="E218" s="98"/>
      <c r="F218" s="326"/>
      <c r="G218" s="326"/>
      <c r="H218" s="326"/>
      <c r="I218" s="326"/>
      <c r="J218" s="326"/>
      <c r="K218" s="326"/>
      <c r="L218" s="326"/>
      <c r="M218" s="326"/>
      <c r="N218" s="714"/>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3" t="n">
        <f aca="false">C218+5</f>
        <v>15.00001</v>
      </c>
      <c r="D219" s="213" t="n">
        <f aca="false">6-(-10*LOG10(3282.81*((SIN(RADIANS(C219*1.7724))^2)/((C219*1.7724)^2))))</f>
        <v>5.68604567511034</v>
      </c>
      <c r="E219" s="98"/>
      <c r="F219" s="326"/>
      <c r="G219" s="326"/>
      <c r="H219" s="326"/>
      <c r="I219" s="326"/>
      <c r="J219" s="326"/>
      <c r="K219" s="326"/>
      <c r="L219" s="326"/>
      <c r="M219" s="326"/>
      <c r="N219" s="714"/>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3" t="n">
        <f aca="false">C219+5</f>
        <v>20.00001</v>
      </c>
      <c r="D220" s="213" t="n">
        <f aca="false">6-(-10*LOG10(3282.81*((SIN(RADIANS(C220*1.7724))^2)/((C220*1.7724)^2))))</f>
        <v>5.43864063420619</v>
      </c>
      <c r="E220" s="98"/>
      <c r="F220" s="326"/>
      <c r="G220" s="326"/>
      <c r="H220" s="326"/>
      <c r="I220" s="326"/>
      <c r="J220" s="326"/>
      <c r="K220" s="326"/>
      <c r="L220" s="326"/>
      <c r="M220" s="326"/>
      <c r="N220" s="714"/>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3" t="n">
        <f aca="false">C220+5</f>
        <v>25.00001</v>
      </c>
      <c r="D221" s="213" t="n">
        <f aca="false">6-(-10*LOG10(3282.81*((SIN(RADIANS(C221*1.7724))^2)/((C221*1.7724)^2))))</f>
        <v>5.11624967347159</v>
      </c>
      <c r="E221" s="98"/>
      <c r="F221" s="326"/>
      <c r="G221" s="326"/>
      <c r="H221" s="326"/>
      <c r="I221" s="326"/>
      <c r="J221" s="326"/>
      <c r="K221" s="326"/>
      <c r="L221" s="326"/>
      <c r="M221" s="326"/>
      <c r="N221" s="714"/>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3" t="n">
        <f aca="false">C221+5</f>
        <v>30.00001</v>
      </c>
      <c r="D222" s="213" t="n">
        <f aca="false">6-(-10*LOG10(3282.81*((SIN(RADIANS(C222*1.7724))^2)/((C222*1.7724)^2))))</f>
        <v>4.71535646446191</v>
      </c>
      <c r="E222" s="98"/>
      <c r="F222" s="326"/>
      <c r="G222" s="326"/>
      <c r="H222" s="326"/>
      <c r="I222" s="326"/>
      <c r="J222" s="326"/>
      <c r="K222" s="326"/>
      <c r="L222" s="326"/>
      <c r="M222" s="326"/>
      <c r="N222" s="714"/>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3" t="n">
        <f aca="false">C222+5</f>
        <v>35.00001</v>
      </c>
      <c r="D223" s="213" t="n">
        <f aca="false">6-(-10*LOG10(3282.81*((SIN(RADIANS(C223*1.7724))^2)/((C223*1.7724)^2))))</f>
        <v>4.23129787992015</v>
      </c>
      <c r="E223" s="98"/>
      <c r="F223" s="326"/>
      <c r="G223" s="326"/>
      <c r="H223" s="326"/>
      <c r="I223" s="326"/>
      <c r="J223" s="326"/>
      <c r="K223" s="326"/>
      <c r="L223" s="326"/>
      <c r="M223" s="326"/>
      <c r="N223" s="714"/>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3" t="n">
        <f aca="false">C223+5</f>
        <v>40.00001</v>
      </c>
      <c r="D224" s="213" t="n">
        <f aca="false">6-(-10*LOG10(3282.81*((SIN(RADIANS(C224*1.7724))^2)/((C224*1.7724)^2))))</f>
        <v>3.65797816520126</v>
      </c>
      <c r="E224" s="98"/>
      <c r="F224" s="326"/>
      <c r="G224" s="326"/>
      <c r="H224" s="326"/>
      <c r="I224" s="326"/>
      <c r="J224" s="326"/>
      <c r="K224" s="326"/>
      <c r="L224" s="326"/>
      <c r="M224" s="326"/>
      <c r="N224" s="714"/>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3" t="n">
        <f aca="false">C224+5</f>
        <v>45.00001</v>
      </c>
      <c r="D225" s="213" t="n">
        <f aca="false">6-(-10*LOG10(3282.81*((SIN(RADIANS(C225*1.7724))^2)/((C225*1.7724)^2))))</f>
        <v>2.98745135255591</v>
      </c>
      <c r="E225" s="98"/>
      <c r="F225" s="326"/>
      <c r="G225" s="326"/>
      <c r="H225" s="326" t="s">
        <v>0</v>
      </c>
      <c r="I225" s="326" t="s">
        <v>949</v>
      </c>
      <c r="J225" s="326"/>
      <c r="K225" s="326"/>
      <c r="L225" s="326"/>
      <c r="M225" s="326"/>
      <c r="N225" s="714"/>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3" t="n">
        <f aca="false">C225+5</f>
        <v>50.00001</v>
      </c>
      <c r="D226" s="213" t="n">
        <f aca="false">6-(-10*LOG10(3282.81*((SIN(RADIANS(C226*1.7724))^2)/((C226*1.7724)^2))))</f>
        <v>2.209301246348</v>
      </c>
      <c r="E226" s="98"/>
      <c r="F226" s="326"/>
      <c r="G226" s="326"/>
      <c r="H226" s="326"/>
      <c r="I226" s="326"/>
      <c r="J226" s="715" t="s">
        <v>929</v>
      </c>
      <c r="K226" s="326"/>
      <c r="L226" s="326"/>
      <c r="M226" s="326"/>
      <c r="N226" s="714"/>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3" t="n">
        <f aca="false">C226+5</f>
        <v>55.00001</v>
      </c>
      <c r="D227" s="213" t="n">
        <f aca="false">6-(-10*LOG10(3282.81*((SIN(RADIANS(C227*1.7724))^2)/((C227*1.7724)^2))))</f>
        <v>1.30969706232094</v>
      </c>
      <c r="E227" s="98"/>
      <c r="F227" s="326"/>
      <c r="G227" s="326"/>
      <c r="H227" s="326"/>
      <c r="I227" s="326"/>
      <c r="J227" s="326"/>
      <c r="K227" s="326"/>
      <c r="L227" s="326"/>
      <c r="M227" s="326"/>
      <c r="N227" s="714"/>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3" t="n">
        <f aca="false">C227+5</f>
        <v>60.00001</v>
      </c>
      <c r="D228" s="213" t="n">
        <f aca="false">6-(-10*LOG10(3282.81*((SIN(RADIANS(C228*1.7724))^2)/((C228*1.7724)^2))))</f>
        <v>0.269904900649277</v>
      </c>
      <c r="E228" s="98"/>
      <c r="F228" s="326"/>
      <c r="G228" s="326"/>
      <c r="H228" s="326"/>
      <c r="I228" s="326"/>
      <c r="J228" s="326"/>
      <c r="K228" s="326"/>
      <c r="L228" s="326"/>
      <c r="M228" s="326"/>
      <c r="N228" s="714"/>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3" t="n">
        <f aca="false">C228+5</f>
        <v>65.00001</v>
      </c>
      <c r="D229" s="213" t="n">
        <f aca="false">6-(-10*LOG10(3282.81*((SIN(RADIANS(C229*1.7724))^2)/((C229*1.7724)^2))))</f>
        <v>-0.936163627741855</v>
      </c>
      <c r="E229" s="98"/>
      <c r="F229" s="326"/>
      <c r="G229" s="326"/>
      <c r="H229" s="326"/>
      <c r="I229" s="326"/>
      <c r="J229" s="326"/>
      <c r="K229" s="326"/>
      <c r="L229" s="326"/>
      <c r="M229" s="326"/>
      <c r="N229" s="714"/>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3" t="n">
        <f aca="false">C229+5</f>
        <v>70.00001</v>
      </c>
      <c r="D230" s="213" t="n">
        <f aca="false">6-(-10*LOG10(3282.81*((SIN(RADIANS(C230*1.7724))^2)/((C230*1.7724)^2))))</f>
        <v>-2.34621909600655</v>
      </c>
      <c r="E230" s="98"/>
      <c r="F230" s="326"/>
      <c r="G230" s="326"/>
      <c r="H230" s="326"/>
      <c r="I230" s="326"/>
      <c r="J230" s="326"/>
      <c r="K230" s="326"/>
      <c r="L230" s="326"/>
      <c r="M230" s="326"/>
      <c r="N230" s="714"/>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3" t="n">
        <f aca="false">C230+5</f>
        <v>75.00001</v>
      </c>
      <c r="D231" s="213" t="n">
        <f aca="false">6-(-10*LOG10(3282.81*((SIN(RADIANS(C231*1.7724))^2)/((C231*1.7724)^2))))</f>
        <v>-4.01757343051761</v>
      </c>
      <c r="E231" s="98"/>
      <c r="F231" s="326"/>
      <c r="G231" s="326"/>
      <c r="H231" s="326"/>
      <c r="I231" s="326"/>
      <c r="J231" s="326"/>
      <c r="K231" s="326"/>
      <c r="L231" s="326"/>
      <c r="M231" s="326"/>
      <c r="N231" s="714"/>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3" t="n">
        <f aca="false">C231+5</f>
        <v>80.00001</v>
      </c>
      <c r="D232" s="213" t="n">
        <f aca="false">6-(-10*LOG10(3282.81*((SIN(RADIANS(C232*1.7724))^2)/((C232*1.7724)^2))))</f>
        <v>-6.04353310707954</v>
      </c>
      <c r="E232" s="98"/>
      <c r="F232" s="326"/>
      <c r="G232" s="326"/>
      <c r="H232" s="326"/>
      <c r="I232" s="326"/>
      <c r="J232" s="326"/>
      <c r="K232" s="326"/>
      <c r="L232" s="326"/>
      <c r="M232" s="326"/>
      <c r="N232" s="714"/>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3" t="n">
        <f aca="false">C232+5</f>
        <v>85.00001</v>
      </c>
      <c r="D233" s="213" t="n">
        <f aca="false">6-(-10*LOG10(3282.81*((SIN(RADIANS(C233*1.7724))^2)/((C233*1.7724)^2))))</f>
        <v>-8.59177890144453</v>
      </c>
      <c r="E233" s="98"/>
      <c r="F233" s="326"/>
      <c r="G233" s="326"/>
      <c r="H233" s="326"/>
      <c r="I233" s="326"/>
      <c r="J233" s="326"/>
      <c r="K233" s="326"/>
      <c r="L233" s="326"/>
      <c r="M233" s="326"/>
      <c r="N233" s="714"/>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3" t="n">
        <f aca="false">C233+5</f>
        <v>90.00001</v>
      </c>
      <c r="D234" s="213" t="n">
        <f aca="false">6-(-10*LOG10(3282.81*((SIN(RADIANS(C234*1.7724))^2)/((C234*1.7724)^2))))</f>
        <v>-12.0136200011736</v>
      </c>
      <c r="E234" s="98"/>
      <c r="F234" s="326"/>
      <c r="G234" s="326"/>
      <c r="H234" s="326"/>
      <c r="I234" s="326"/>
      <c r="J234" s="326"/>
      <c r="K234" s="326"/>
      <c r="L234" s="326"/>
      <c r="M234" s="326"/>
      <c r="N234" s="714"/>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3" t="n">
        <f aca="false">C234+5</f>
        <v>95.00001</v>
      </c>
      <c r="D235" s="213" t="n">
        <f aca="false">6-(-10*LOG10(3282.81*((SIN(RADIANS(C235*1.7724))^2)/((C235*1.7724)^2))))</f>
        <v>-17.2797439732173</v>
      </c>
      <c r="E235" s="98"/>
      <c r="F235" s="326"/>
      <c r="G235" s="326"/>
      <c r="H235" s="326"/>
      <c r="I235" s="326"/>
      <c r="J235" s="326"/>
      <c r="K235" s="326"/>
      <c r="L235" s="326"/>
      <c r="M235" s="326"/>
      <c r="N235" s="714"/>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3" t="n">
        <f aca="false">C235+5</f>
        <v>100.00001</v>
      </c>
      <c r="D236" s="213" t="n">
        <f aca="false">6-(-10*LOG10(3282.81*((SIN(RADIANS(C236*1.7724))^2)/((C236*1.7724)^2))))</f>
        <v>-30.156464421918</v>
      </c>
      <c r="E236" s="98" t="s">
        <v>620</v>
      </c>
      <c r="F236" s="326"/>
      <c r="G236" s="326"/>
      <c r="H236" s="326"/>
      <c r="I236" s="326"/>
      <c r="J236" s="326"/>
      <c r="K236" s="326"/>
      <c r="L236" s="326"/>
      <c r="M236" s="326"/>
      <c r="N236" s="714"/>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3" t="n">
        <f aca="false">C236+5</f>
        <v>105.00001</v>
      </c>
      <c r="D237" s="213" t="n">
        <f aca="false">6-(-10*LOG10(3282.81*((SIN(RADIANS(C237*1.7724))^2)/((C237*1.7724)^2))))</f>
        <v>-23.7019734054069</v>
      </c>
      <c r="E237" s="98"/>
      <c r="F237" s="326"/>
      <c r="G237" s="326"/>
      <c r="H237" s="326"/>
      <c r="I237" s="326"/>
      <c r="J237" s="326"/>
      <c r="K237" s="326"/>
      <c r="L237" s="326"/>
      <c r="M237" s="326"/>
      <c r="N237" s="714"/>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3" t="n">
        <f aca="false">C237+5</f>
        <v>110.00001</v>
      </c>
      <c r="D238" s="213" t="n">
        <f aca="false">6-(-10*LOG10(3282.81*((SIN(RADIANS(C238*1.7724))^2)/((C238*1.7724)^2))))</f>
        <v>-16.3970905011324</v>
      </c>
      <c r="E238" s="98"/>
      <c r="F238" s="326"/>
      <c r="G238" s="326"/>
      <c r="H238" s="326"/>
      <c r="I238" s="326"/>
      <c r="J238" s="326"/>
      <c r="K238" s="326"/>
      <c r="L238" s="326"/>
      <c r="M238" s="326"/>
      <c r="N238" s="714"/>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3" t="n">
        <f aca="false">C238+5</f>
        <v>115.00001</v>
      </c>
      <c r="D239" s="213" t="n">
        <f aca="false">6-(-10*LOG10(3282.81*((SIN(RADIANS(C239*1.7724))^2)/((C239*1.7724)^2))))</f>
        <v>-12.8959518749307</v>
      </c>
      <c r="E239" s="98"/>
      <c r="F239" s="326"/>
      <c r="G239" s="326"/>
      <c r="H239" s="326"/>
      <c r="I239" s="326"/>
      <c r="J239" s="326"/>
      <c r="K239" s="326"/>
      <c r="L239" s="326"/>
      <c r="M239" s="326"/>
      <c r="N239" s="716"/>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3"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3"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3"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3"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3"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3"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3"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3"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3"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3"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3"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3"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3"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3"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3"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3"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3"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3"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3"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3"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3"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3"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3"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3"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3"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3"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3"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3"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3"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3"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3"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3"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3"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3"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3"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3"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3"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3"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3"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3"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3"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3"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3"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3"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3"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3"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3"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3"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3"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7"/>
      <c r="B1" s="718"/>
      <c r="C1" s="719" t="s">
        <v>950</v>
      </c>
      <c r="D1" s="719"/>
      <c r="E1" s="718"/>
      <c r="F1" s="718"/>
      <c r="G1" s="720"/>
      <c r="H1" s="19"/>
      <c r="I1" s="19"/>
      <c r="J1" s="19"/>
      <c r="K1" s="19"/>
      <c r="L1" s="19"/>
      <c r="M1" s="19"/>
      <c r="N1" s="19"/>
      <c r="O1" s="19"/>
      <c r="P1" s="19"/>
      <c r="Q1" s="19"/>
      <c r="R1" s="19"/>
      <c r="S1" s="710"/>
      <c r="T1" s="710"/>
      <c r="U1" s="710"/>
    </row>
    <row r="2" customFormat="false" ht="16.5" hidden="false" customHeight="true" outlineLevel="0" collapsed="false">
      <c r="A2" s="721" t="s">
        <v>951</v>
      </c>
      <c r="B2" s="722"/>
      <c r="C2" s="722"/>
      <c r="D2" s="722"/>
      <c r="E2" s="498"/>
      <c r="F2" s="498"/>
      <c r="G2" s="723"/>
      <c r="H2" s="19"/>
      <c r="I2" s="19"/>
      <c r="J2" s="19"/>
      <c r="K2" s="19"/>
      <c r="L2" s="19"/>
      <c r="M2" s="19"/>
      <c r="N2" s="19"/>
      <c r="O2" s="19"/>
      <c r="P2" s="19"/>
      <c r="Q2" s="19"/>
      <c r="R2" s="19"/>
      <c r="S2" s="710"/>
      <c r="T2" s="710"/>
      <c r="U2" s="710"/>
    </row>
    <row r="3" customFormat="false" ht="18" hidden="false" customHeight="true" outlineLevel="0" collapsed="false">
      <c r="A3" s="724" t="s">
        <v>952</v>
      </c>
      <c r="B3" s="503"/>
      <c r="C3" s="503"/>
      <c r="D3" s="503"/>
      <c r="E3" s="725"/>
      <c r="F3" s="10"/>
      <c r="G3" s="726"/>
      <c r="H3" s="19"/>
      <c r="I3" s="709" t="s">
        <v>953</v>
      </c>
      <c r="J3" s="727" t="str">
        <f aca="false">'Title Page'!F23</f>
        <v>2025 June 08</v>
      </c>
      <c r="K3" s="187"/>
      <c r="L3" s="21" t="s">
        <v>0</v>
      </c>
      <c r="M3" s="21" t="s">
        <v>0</v>
      </c>
      <c r="N3" s="19"/>
      <c r="O3" s="19"/>
      <c r="P3" s="19"/>
      <c r="Q3" s="19"/>
      <c r="R3" s="19"/>
      <c r="S3" s="710"/>
      <c r="T3" s="710"/>
      <c r="U3" s="710"/>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0"/>
      <c r="T4" s="710"/>
      <c r="U4" s="710"/>
    </row>
    <row r="5" customFormat="false" ht="12.75" hidden="false" customHeight="true" outlineLevel="0" collapsed="false">
      <c r="A5" s="728" t="s">
        <v>309</v>
      </c>
      <c r="B5" s="729" t="n">
        <v>8.2</v>
      </c>
      <c r="C5" s="19" t="s">
        <v>954</v>
      </c>
      <c r="D5" s="19"/>
      <c r="E5" s="730" t="s">
        <v>932</v>
      </c>
      <c r="F5" s="731" t="n">
        <f aca="false">20.4+20*LOG10(B6)+20*LOG10(B5)+10*LOG10(B7/100)</f>
        <v>58.68657931</v>
      </c>
      <c r="G5" s="19" t="s">
        <v>0</v>
      </c>
      <c r="H5" s="732" t="s">
        <v>955</v>
      </c>
      <c r="I5" s="381"/>
      <c r="J5" s="339"/>
      <c r="K5" s="19"/>
      <c r="L5" s="19"/>
      <c r="M5" s="19"/>
      <c r="N5" s="19"/>
      <c r="O5" s="19"/>
      <c r="P5" s="19"/>
      <c r="Q5" s="19"/>
      <c r="R5" s="19"/>
      <c r="S5" s="710"/>
      <c r="T5" s="710"/>
      <c r="U5" s="710"/>
    </row>
    <row r="6" customFormat="false" ht="12.75" hidden="false" customHeight="true" outlineLevel="0" collapsed="false">
      <c r="A6" s="728" t="s">
        <v>956</v>
      </c>
      <c r="B6" s="729" t="n">
        <v>13.5</v>
      </c>
      <c r="C6" s="19" t="s">
        <v>957</v>
      </c>
      <c r="D6" s="19"/>
      <c r="E6" s="19"/>
      <c r="F6" s="98"/>
      <c r="G6" s="19"/>
      <c r="H6" s="19"/>
      <c r="I6" s="19"/>
      <c r="J6" s="19"/>
      <c r="K6" s="19"/>
      <c r="L6" s="19"/>
      <c r="M6" s="19"/>
      <c r="N6" s="19"/>
      <c r="O6" s="19"/>
      <c r="P6" s="19"/>
      <c r="Q6" s="19"/>
      <c r="R6" s="19"/>
      <c r="S6" s="710"/>
      <c r="T6" s="710"/>
      <c r="U6" s="710"/>
    </row>
    <row r="7" customFormat="false" ht="12.75" hidden="false" customHeight="true" outlineLevel="0" collapsed="false">
      <c r="A7" s="733" t="s">
        <v>486</v>
      </c>
      <c r="B7" s="729" t="n">
        <v>55</v>
      </c>
      <c r="C7" s="19" t="s">
        <v>958</v>
      </c>
      <c r="D7" s="93" t="s">
        <v>959</v>
      </c>
      <c r="E7" s="21" t="s">
        <v>960</v>
      </c>
      <c r="F7" s="204" t="n">
        <f aca="false">21/(B5*B6)</f>
        <v>0.189701897</v>
      </c>
      <c r="G7" s="19" t="s">
        <v>215</v>
      </c>
      <c r="H7" s="21" t="s">
        <v>961</v>
      </c>
      <c r="I7" s="19"/>
      <c r="J7" s="19"/>
      <c r="K7" s="19"/>
      <c r="L7" s="19"/>
      <c r="M7" s="19"/>
      <c r="N7" s="19"/>
      <c r="O7" s="19"/>
      <c r="P7" s="19"/>
      <c r="Q7" s="19"/>
      <c r="R7" s="104" t="s">
        <v>0</v>
      </c>
      <c r="S7" s="734" t="n">
        <f aca="false">F7/2</f>
        <v>0.09485094851</v>
      </c>
      <c r="T7" s="710"/>
      <c r="U7" s="710"/>
    </row>
    <row r="8" customFormat="false" ht="12.75" hidden="false" customHeight="true" outlineLevel="0" collapsed="false">
      <c r="A8" s="735"/>
      <c r="B8" s="736"/>
      <c r="C8" s="710"/>
      <c r="D8" s="737"/>
      <c r="E8" s="738"/>
      <c r="F8" s="739"/>
      <c r="G8" s="19"/>
      <c r="H8" s="21"/>
      <c r="I8" s="19"/>
      <c r="J8" s="19"/>
      <c r="K8" s="19"/>
      <c r="L8" s="19"/>
      <c r="M8" s="19"/>
      <c r="N8" s="19"/>
      <c r="O8" s="19"/>
      <c r="P8" s="19"/>
      <c r="Q8" s="19"/>
      <c r="R8" s="104"/>
      <c r="S8" s="734"/>
      <c r="T8" s="710"/>
      <c r="U8" s="710"/>
    </row>
    <row r="9" customFormat="false" ht="12.75" hidden="false" customHeight="true" outlineLevel="0" collapsed="false">
      <c r="A9" s="735"/>
      <c r="B9" s="736"/>
      <c r="C9" s="710"/>
      <c r="D9" s="737" t="s">
        <v>464</v>
      </c>
      <c r="E9" s="738"/>
      <c r="F9" s="740" t="n">
        <f aca="false">299.8/(B5*1000)</f>
        <v>0.03656097561</v>
      </c>
      <c r="G9" s="19" t="s">
        <v>962</v>
      </c>
      <c r="H9" s="21"/>
      <c r="I9" s="19"/>
      <c r="J9" s="19"/>
      <c r="K9" s="19"/>
      <c r="L9" s="19"/>
      <c r="M9" s="19"/>
      <c r="N9" s="19"/>
      <c r="O9" s="19"/>
      <c r="P9" s="19"/>
      <c r="Q9" s="19"/>
      <c r="R9" s="104"/>
      <c r="S9" s="734"/>
      <c r="T9" s="710"/>
      <c r="U9" s="710"/>
    </row>
    <row r="10" customFormat="false" ht="12.75" hidden="false" customHeight="true" outlineLevel="0" collapsed="false">
      <c r="A10" s="735"/>
      <c r="B10" s="736"/>
      <c r="C10" s="710"/>
      <c r="D10" s="737"/>
      <c r="E10" s="738"/>
      <c r="F10" s="739"/>
      <c r="G10" s="19"/>
      <c r="H10" s="741" t="s">
        <v>963</v>
      </c>
      <c r="I10" s="19"/>
      <c r="J10" s="19"/>
      <c r="K10" s="19" t="s">
        <v>0</v>
      </c>
      <c r="L10" s="19"/>
      <c r="M10" s="19"/>
      <c r="N10" s="19"/>
      <c r="O10" s="19"/>
      <c r="P10" s="19"/>
      <c r="Q10" s="19"/>
      <c r="R10" s="104"/>
      <c r="S10" s="734"/>
      <c r="T10" s="710"/>
      <c r="U10" s="710"/>
    </row>
    <row r="11" customFormat="false" ht="12.75" hidden="false" customHeight="true" outlineLevel="0" collapsed="false">
      <c r="A11" s="735"/>
      <c r="B11" s="736"/>
      <c r="C11" s="710"/>
      <c r="D11" s="742" t="s">
        <v>964</v>
      </c>
      <c r="E11" s="738"/>
      <c r="F11" s="743" t="n">
        <f aca="false">B6/F9</f>
        <v>369.2461641</v>
      </c>
      <c r="G11" s="19" t="s">
        <v>965</v>
      </c>
      <c r="H11" s="744" t="str">
        <f aca="false">IF(F11&gt;9.99,"OK","Too Small")</f>
        <v>OK</v>
      </c>
      <c r="I11" s="19"/>
      <c r="J11" s="19"/>
      <c r="K11" s="19"/>
      <c r="L11" s="19"/>
      <c r="M11" s="19"/>
      <c r="N11" s="19"/>
      <c r="O11" s="19"/>
      <c r="P11" s="19"/>
      <c r="Q11" s="19"/>
      <c r="R11" s="104"/>
      <c r="S11" s="734"/>
      <c r="T11" s="710"/>
      <c r="U11" s="710"/>
    </row>
    <row r="12" customFormat="false" ht="12.75" hidden="false" customHeight="true" outlineLevel="0" collapsed="false">
      <c r="A12" s="745"/>
      <c r="B12" s="19"/>
      <c r="C12" s="19"/>
      <c r="D12" s="19"/>
      <c r="E12" s="21"/>
      <c r="F12" s="104"/>
      <c r="G12" s="19"/>
      <c r="H12" s="21"/>
      <c r="I12" s="19"/>
      <c r="J12" s="19"/>
      <c r="K12" s="19"/>
      <c r="L12" s="19"/>
      <c r="M12" s="19"/>
      <c r="N12" s="19"/>
      <c r="O12" s="19"/>
      <c r="P12" s="19"/>
      <c r="Q12" s="19"/>
      <c r="R12" s="104"/>
      <c r="S12" s="734"/>
      <c r="T12" s="710"/>
      <c r="U12" s="710"/>
    </row>
    <row r="13" customFormat="false" ht="12" hidden="false" customHeight="true" outlineLevel="0" collapsed="false">
      <c r="A13" s="746" t="s">
        <v>60</v>
      </c>
      <c r="B13" s="747" t="s">
        <v>966</v>
      </c>
      <c r="C13" s="357"/>
      <c r="D13" s="357"/>
      <c r="E13" s="357"/>
      <c r="F13" s="748"/>
      <c r="G13" s="509"/>
      <c r="H13" s="509"/>
      <c r="I13" s="509"/>
      <c r="J13" s="509"/>
      <c r="K13" s="510"/>
      <c r="L13" s="19"/>
      <c r="M13" s="19"/>
      <c r="N13" s="19"/>
      <c r="O13" s="19"/>
      <c r="P13" s="19"/>
      <c r="Q13" s="19"/>
      <c r="R13" s="710"/>
      <c r="S13" s="710"/>
      <c r="T13" s="710"/>
      <c r="U13" s="710"/>
    </row>
    <row r="14" customFormat="false" ht="12.75" hidden="false" customHeight="true" outlineLevel="0" collapsed="false">
      <c r="A14" s="749"/>
      <c r="B14" s="750"/>
      <c r="C14" s="749" t="s">
        <v>0</v>
      </c>
      <c r="D14" s="749"/>
      <c r="E14" s="749"/>
      <c r="F14" s="751" t="s">
        <v>967</v>
      </c>
      <c r="G14" s="752"/>
      <c r="H14" s="752"/>
      <c r="I14" s="753" t="s">
        <v>968</v>
      </c>
      <c r="J14" s="752"/>
      <c r="K14" s="754"/>
      <c r="L14" s="19"/>
      <c r="M14" s="19"/>
      <c r="N14" s="19"/>
      <c r="O14" s="19"/>
      <c r="P14" s="19"/>
      <c r="Q14" s="21"/>
      <c r="R14" s="710"/>
      <c r="S14" s="710"/>
      <c r="T14" s="710"/>
      <c r="U14" s="755"/>
    </row>
    <row r="15" customFormat="false" ht="12" hidden="false" customHeight="true" outlineLevel="0" collapsed="false">
      <c r="A15" s="756"/>
      <c r="B15" s="756" t="n">
        <v>0.0001</v>
      </c>
      <c r="C15" s="757" t="n">
        <f aca="false">((SIN(RADIANS(B15)))^2)/B15^2</f>
        <v>0.000304617419786399</v>
      </c>
      <c r="D15" s="756" t="n">
        <f aca="false">C15*1000000</f>
        <v>304.617419786399</v>
      </c>
      <c r="E15" s="757" t="n">
        <f aca="false">D15/304.6174</f>
        <v>1.00000006495492</v>
      </c>
      <c r="F15" s="758" t="n">
        <v>0</v>
      </c>
      <c r="G15" s="432" t="s">
        <v>258</v>
      </c>
      <c r="H15" s="432"/>
      <c r="I15" s="759" t="n">
        <f aca="false">(S7*B15)/79.76</f>
        <v>1.18920447E-007</v>
      </c>
      <c r="J15" s="760" t="s">
        <v>969</v>
      </c>
      <c r="K15" s="431"/>
      <c r="L15" s="19"/>
      <c r="M15" s="19"/>
      <c r="N15" s="19"/>
      <c r="O15" s="19"/>
      <c r="P15" s="19"/>
      <c r="Q15" s="19"/>
      <c r="R15" s="710"/>
      <c r="S15" s="761"/>
      <c r="T15" s="710"/>
      <c r="U15" s="762"/>
    </row>
    <row r="16" customFormat="false" ht="12" hidden="false" customHeight="true" outlineLevel="0" collapsed="false">
      <c r="A16" s="756"/>
      <c r="B16" s="756" t="n">
        <v>0.1</v>
      </c>
      <c r="C16" s="757" t="n">
        <f aca="false">((SIN(RADIANS(B16)))^2)/B16^2</f>
        <v>0.000304617110480926</v>
      </c>
      <c r="D16" s="756" t="n">
        <f aca="false">C16*1000000</f>
        <v>304.617110480926</v>
      </c>
      <c r="E16" s="756" t="n">
        <f aca="false">D16/304.6174</f>
        <v>0.999999049564884</v>
      </c>
      <c r="F16" s="763" t="n">
        <f aca="false">10*LOG10(E16)</f>
        <v>-4.12768922464339E-006</v>
      </c>
      <c r="G16" s="432" t="s">
        <v>258</v>
      </c>
      <c r="H16" s="432"/>
      <c r="I16" s="764" t="n">
        <f aca="false">(S7*B16)/79.76</f>
        <v>0.000118920447</v>
      </c>
      <c r="J16" s="42"/>
      <c r="K16" s="431"/>
      <c r="L16" s="19"/>
      <c r="M16" s="19"/>
      <c r="N16" s="19"/>
      <c r="O16" s="19"/>
      <c r="P16" s="19"/>
      <c r="Q16" s="19"/>
      <c r="R16" s="710"/>
      <c r="S16" s="710"/>
      <c r="T16" s="710"/>
      <c r="U16" s="765"/>
    </row>
    <row r="17" customFormat="false" ht="12" hidden="false" customHeight="true" outlineLevel="0" collapsed="false">
      <c r="A17" s="756" t="s">
        <v>0</v>
      </c>
      <c r="B17" s="756" t="n">
        <v>3.5</v>
      </c>
      <c r="C17" s="756" t="n">
        <f aca="false">((SIN(RADIANS(B17)))^2)/B17^2</f>
        <v>0.000304238708517468</v>
      </c>
      <c r="D17" s="756" t="n">
        <f aca="false">C17*1000000</f>
        <v>304.238708517468</v>
      </c>
      <c r="E17" s="756" t="n">
        <f aca="false">D17/304.6174</f>
        <v>0.998756829115697</v>
      </c>
      <c r="F17" s="758" t="n">
        <f aca="false">10*LOG10(E17)</f>
        <v>-0.00540238128891986</v>
      </c>
      <c r="G17" s="432" t="s">
        <v>258</v>
      </c>
      <c r="H17" s="432" t="s">
        <v>0</v>
      </c>
      <c r="I17" s="764" t="n">
        <f aca="false">(S7*B17)/79.76</f>
        <v>0.004162215644</v>
      </c>
      <c r="J17" s="42" t="s">
        <v>0</v>
      </c>
      <c r="K17" s="431"/>
      <c r="L17" s="19"/>
      <c r="M17" s="19"/>
      <c r="N17" s="19"/>
      <c r="O17" s="19"/>
      <c r="P17" s="19"/>
      <c r="Q17" s="19"/>
      <c r="R17" s="710"/>
      <c r="S17" s="710"/>
      <c r="T17" s="710"/>
      <c r="U17" s="766"/>
    </row>
    <row r="18" customFormat="false" ht="12" hidden="false" customHeight="true" outlineLevel="0" collapsed="false">
      <c r="A18" s="756"/>
      <c r="B18" s="756" t="n">
        <v>10</v>
      </c>
      <c r="C18" s="756" t="n">
        <f aca="false">((SIN(RADIANS(B18)))^2)/B18^2</f>
        <v>0.000301536896070458</v>
      </c>
      <c r="D18" s="756" t="n">
        <f aca="false">C18*1000000</f>
        <v>301.536896070458</v>
      </c>
      <c r="E18" s="756" t="n">
        <f aca="false">D18/304.6174</f>
        <v>0.989887301481984</v>
      </c>
      <c r="F18" s="758" t="n">
        <f aca="false">10*LOG10(E18)</f>
        <v>-0.044142469484505</v>
      </c>
      <c r="G18" s="432" t="s">
        <v>258</v>
      </c>
      <c r="H18" s="432"/>
      <c r="I18" s="764" t="n">
        <f aca="false">(S7*B18)/79.76</f>
        <v>0.0118920447</v>
      </c>
      <c r="J18" s="42"/>
      <c r="K18" s="431"/>
      <c r="L18" s="19"/>
      <c r="M18" s="19"/>
      <c r="N18" s="19"/>
      <c r="O18" s="19"/>
      <c r="P18" s="19"/>
      <c r="Q18" s="104"/>
      <c r="R18" s="710"/>
      <c r="S18" s="710"/>
      <c r="T18" s="710"/>
      <c r="U18" s="766"/>
    </row>
    <row r="19" customFormat="false" ht="12" hidden="false" customHeight="true" outlineLevel="0" collapsed="false">
      <c r="A19" s="756"/>
      <c r="B19" s="756" t="n">
        <v>25</v>
      </c>
      <c r="C19" s="756" t="n">
        <f aca="false">((SIN(RADIANS(B19)))^2)/B19^2</f>
        <v>0.000285769912250769</v>
      </c>
      <c r="D19" s="756" t="n">
        <f aca="false">C19*1000000</f>
        <v>285.769912250769</v>
      </c>
      <c r="E19" s="756" t="n">
        <f aca="false">D19/304.6174</f>
        <v>0.938127343516058</v>
      </c>
      <c r="F19" s="767" t="n">
        <f aca="false">10*LOG10(E19)</f>
        <v>-0.277382055094473</v>
      </c>
      <c r="G19" s="432" t="s">
        <v>258</v>
      </c>
      <c r="H19" s="432"/>
      <c r="I19" s="768" t="n">
        <f aca="false">(S7*B19)/79.76</f>
        <v>0.02973011174</v>
      </c>
      <c r="J19" s="42"/>
      <c r="K19" s="431"/>
      <c r="L19" s="19"/>
      <c r="M19" s="19"/>
      <c r="N19" s="19"/>
      <c r="O19" s="19"/>
      <c r="P19" s="19"/>
      <c r="Q19" s="703"/>
      <c r="R19" s="710"/>
      <c r="S19" s="710"/>
      <c r="T19" s="710"/>
      <c r="U19" s="766"/>
    </row>
    <row r="20" customFormat="false" ht="12" hidden="false" customHeight="true" outlineLevel="0" collapsed="false">
      <c r="A20" s="756"/>
      <c r="B20" s="756" t="n">
        <v>30</v>
      </c>
      <c r="C20" s="756" t="n">
        <f aca="false">((SIN(RADIANS(B20)))^2)/B20^2</f>
        <v>0.000277777777777778</v>
      </c>
      <c r="D20" s="756" t="n">
        <f aca="false">C20*1000000</f>
        <v>277.777777777778</v>
      </c>
      <c r="E20" s="756" t="n">
        <f aca="false">D20/304.6174</f>
        <v>0.911890712013752</v>
      </c>
      <c r="F20" s="767" t="n">
        <f aca="false">10*LOG10(E20)</f>
        <v>-0.400572077389389</v>
      </c>
      <c r="G20" s="432" t="s">
        <v>258</v>
      </c>
      <c r="H20" s="432"/>
      <c r="I20" s="768" t="n">
        <f aca="false">(S7*B20)/79.76</f>
        <v>0.03567613409</v>
      </c>
      <c r="J20" s="42"/>
      <c r="K20" s="431"/>
      <c r="L20" s="19"/>
      <c r="M20" s="19"/>
      <c r="N20" s="19"/>
      <c r="O20" s="19"/>
      <c r="P20" s="19"/>
      <c r="Q20" s="703"/>
      <c r="R20" s="710"/>
      <c r="S20" s="710"/>
      <c r="T20" s="710"/>
      <c r="U20" s="766"/>
    </row>
    <row r="21" customFormat="false" ht="12" hidden="false" customHeight="true" outlineLevel="0" collapsed="false">
      <c r="A21" s="756"/>
      <c r="B21" s="756" t="n">
        <v>40</v>
      </c>
      <c r="C21" s="756" t="n">
        <f aca="false">((SIN(RADIANS(B21)))^2)/B21^2</f>
        <v>0.000258234944479084</v>
      </c>
      <c r="D21" s="756" t="n">
        <f aca="false">C21*1000000</f>
        <v>258.234944479084</v>
      </c>
      <c r="E21" s="756" t="n">
        <f aca="false">D21/304.6174</f>
        <v>0.847735370596309</v>
      </c>
      <c r="F21" s="767" t="n">
        <f aca="false">10*LOG10(E21)</f>
        <v>-0.717396961227066</v>
      </c>
      <c r="G21" s="432" t="s">
        <v>258</v>
      </c>
      <c r="H21" s="432"/>
      <c r="I21" s="769" t="n">
        <f aca="false">(S7*B21)/79.76</f>
        <v>0.04756817879</v>
      </c>
      <c r="J21" s="42" t="s">
        <v>0</v>
      </c>
      <c r="K21" s="431"/>
      <c r="L21" s="19"/>
      <c r="M21" s="19"/>
      <c r="N21" s="19"/>
      <c r="O21" s="19"/>
      <c r="P21" s="19"/>
      <c r="Q21" s="703"/>
      <c r="R21" s="710"/>
      <c r="S21" s="710"/>
      <c r="T21" s="710"/>
      <c r="U21" s="766"/>
    </row>
    <row r="22" customFormat="false" ht="12" hidden="false" customHeight="true" outlineLevel="0" collapsed="false">
      <c r="A22" s="756"/>
      <c r="B22" s="756" t="n">
        <v>47</v>
      </c>
      <c r="C22" s="756" t="n">
        <f aca="false">((SIN(RADIANS(B22)))^2)/B22^2</f>
        <v>0.000242135915288394</v>
      </c>
      <c r="D22" s="756" t="n">
        <f aca="false">C22*1000000</f>
        <v>242.135915288394</v>
      </c>
      <c r="E22" s="756" t="n">
        <f aca="false">D22/304.6174</f>
        <v>0.794885371907167</v>
      </c>
      <c r="F22" s="770" t="n">
        <f aca="false">10*LOG10(E22)</f>
        <v>-0.996954951642838</v>
      </c>
      <c r="G22" s="771" t="s">
        <v>258</v>
      </c>
      <c r="H22" s="771"/>
      <c r="I22" s="772" t="n">
        <f aca="false">(S7*B22)/79.76</f>
        <v>0.05589261008</v>
      </c>
      <c r="J22" s="773"/>
      <c r="K22" s="774"/>
      <c r="L22" s="19"/>
      <c r="M22" s="19"/>
      <c r="N22" s="19"/>
      <c r="O22" s="19"/>
      <c r="P22" s="19"/>
      <c r="Q22" s="703"/>
      <c r="R22" s="710"/>
      <c r="S22" s="710"/>
      <c r="T22" s="710"/>
      <c r="U22" s="775"/>
    </row>
    <row r="23" customFormat="false" ht="12" hidden="false" customHeight="true" outlineLevel="0" collapsed="false">
      <c r="A23" s="756"/>
      <c r="B23" s="756" t="n">
        <v>56.5</v>
      </c>
      <c r="C23" s="756" t="n">
        <f aca="false">((SIN(RADIANS(B23)))^2)/B23^2</f>
        <v>0.000217829294148214</v>
      </c>
      <c r="D23" s="756" t="n">
        <f aca="false">C23*1000000</f>
        <v>217.829294148214</v>
      </c>
      <c r="E23" s="756" t="n">
        <f aca="false">D23/304.6174</f>
        <v>0.715091436497765</v>
      </c>
      <c r="F23" s="767" t="n">
        <f aca="false">10*LOG10(E23)</f>
        <v>-1.45638422775849</v>
      </c>
      <c r="G23" s="432" t="s">
        <v>258</v>
      </c>
      <c r="H23" s="432"/>
      <c r="I23" s="768" t="n">
        <f aca="false">(S7*B23)/79.76</f>
        <v>0.06719005254</v>
      </c>
      <c r="J23" s="42" t="s">
        <v>0</v>
      </c>
      <c r="K23" s="431"/>
      <c r="L23" s="19"/>
      <c r="M23" s="19"/>
      <c r="N23" s="19"/>
      <c r="O23" s="19"/>
      <c r="P23" s="19"/>
      <c r="Q23" s="703"/>
      <c r="R23" s="710"/>
      <c r="S23" s="710"/>
      <c r="T23" s="710"/>
      <c r="U23" s="775"/>
    </row>
    <row r="24" customFormat="false" ht="12" hidden="false" customHeight="true" outlineLevel="0" collapsed="false">
      <c r="A24" s="756"/>
      <c r="B24" s="756" t="n">
        <v>60</v>
      </c>
      <c r="C24" s="756" t="n">
        <f aca="false">((SIN(RADIANS(B24)))^2)/B24^2</f>
        <v>0.000208333333333333</v>
      </c>
      <c r="D24" s="756" t="n">
        <f aca="false">C24*1000000</f>
        <v>208.333333333333</v>
      </c>
      <c r="E24" s="756" t="n">
        <f aca="false">D24/304.6174</f>
        <v>0.683918034010314</v>
      </c>
      <c r="F24" s="767" t="n">
        <f aca="false">10*LOG10(E24)</f>
        <v>-1.64995944347239</v>
      </c>
      <c r="G24" s="432" t="s">
        <v>258</v>
      </c>
      <c r="H24" s="432"/>
      <c r="I24" s="768" t="n">
        <f aca="false">(S7*B24)/79.76</f>
        <v>0.07135226819</v>
      </c>
      <c r="J24" s="42"/>
      <c r="K24" s="431"/>
      <c r="L24" s="19"/>
      <c r="M24" s="19"/>
      <c r="N24" s="19"/>
      <c r="O24" s="19"/>
      <c r="P24" s="19"/>
      <c r="Q24" s="703"/>
      <c r="R24" s="710"/>
      <c r="S24" s="710"/>
      <c r="T24" s="710"/>
      <c r="U24" s="775"/>
    </row>
    <row r="25" customFormat="false" ht="12" hidden="false" customHeight="true" outlineLevel="0" collapsed="false">
      <c r="A25" s="756"/>
      <c r="B25" s="756" t="n">
        <v>65</v>
      </c>
      <c r="C25" s="756" t="n">
        <f aca="false">((SIN(RADIANS(B25)))^2)/B25^2</f>
        <v>0.000194412734874147</v>
      </c>
      <c r="D25" s="756" t="n">
        <f aca="false">C25*1000000</f>
        <v>194.412734874147</v>
      </c>
      <c r="E25" s="756" t="n">
        <f aca="false">D25/304.6174</f>
        <v>0.638219402024135</v>
      </c>
      <c r="F25" s="776" t="n">
        <f aca="false">10*LOG10(E25)</f>
        <v>-1.95029997284566</v>
      </c>
      <c r="G25" s="771" t="s">
        <v>258</v>
      </c>
      <c r="H25" s="771"/>
      <c r="I25" s="772" t="n">
        <f aca="false">(S7*B25)/79.76</f>
        <v>0.07729829054</v>
      </c>
      <c r="J25" s="773"/>
      <c r="K25" s="774"/>
      <c r="L25" s="19"/>
      <c r="M25" s="19" t="s">
        <v>0</v>
      </c>
      <c r="N25" s="19"/>
      <c r="O25" s="19"/>
      <c r="P25" s="19"/>
      <c r="Q25" s="703"/>
      <c r="R25" s="710"/>
      <c r="S25" s="710"/>
      <c r="T25" s="710"/>
      <c r="U25" s="775"/>
    </row>
    <row r="26" customFormat="false" ht="12" hidden="false" customHeight="true" outlineLevel="0" collapsed="false">
      <c r="A26" s="756"/>
      <c r="B26" s="756" t="n">
        <v>70</v>
      </c>
      <c r="C26" s="756" t="n">
        <f aca="false">((SIN(RADIANS(B26)))^2)/B26^2</f>
        <v>0.000180208616644794</v>
      </c>
      <c r="D26" s="756" t="n">
        <f aca="false">C26*1000000</f>
        <v>180.208616644794</v>
      </c>
      <c r="E26" s="756" t="n">
        <f aca="false">D26/304.6174</f>
        <v>0.591590029475643</v>
      </c>
      <c r="F26" s="767" t="n">
        <f aca="false">10*LOG10(E26)</f>
        <v>-2.27979154114292</v>
      </c>
      <c r="G26" s="432" t="s">
        <v>258</v>
      </c>
      <c r="H26" s="432"/>
      <c r="I26" s="768" t="n">
        <f aca="false">(S7*B26)/79.76</f>
        <v>0.08324431288</v>
      </c>
      <c r="J26" s="42"/>
      <c r="K26" s="431"/>
      <c r="L26" s="19"/>
      <c r="M26" s="19"/>
      <c r="N26" s="19"/>
      <c r="O26" s="19"/>
      <c r="P26" s="19"/>
      <c r="Q26" s="777"/>
      <c r="R26" s="710"/>
      <c r="S26" s="761"/>
      <c r="T26" s="710"/>
      <c r="U26" s="765"/>
    </row>
    <row r="27" customFormat="false" ht="12" hidden="false" customHeight="true" outlineLevel="0" collapsed="false">
      <c r="A27" s="756"/>
      <c r="B27" s="756" t="n">
        <v>79.76</v>
      </c>
      <c r="C27" s="756" t="n">
        <f aca="false">((SIN(RADIANS(B27)))^2)/B27^2</f>
        <v>0.000152224034944755</v>
      </c>
      <c r="D27" s="756" t="n">
        <f aca="false">C27*1000000</f>
        <v>152.224034944755</v>
      </c>
      <c r="E27" s="756" t="n">
        <f aca="false">D27/304.6174</f>
        <v>0.499722061000965</v>
      </c>
      <c r="F27" s="778" t="n">
        <f aca="false">10*LOG10(E27)</f>
        <v>-3.01271477534604</v>
      </c>
      <c r="G27" s="779" t="s">
        <v>258</v>
      </c>
      <c r="H27" s="779"/>
      <c r="I27" s="780" t="n">
        <f aca="false">(S7*B27)/79.76</f>
        <v>0.09485094851</v>
      </c>
      <c r="J27" s="781" t="s">
        <v>970</v>
      </c>
      <c r="K27" s="782"/>
      <c r="L27" s="19"/>
      <c r="M27" s="19"/>
      <c r="N27" s="19"/>
      <c r="O27" s="19"/>
      <c r="P27" s="19"/>
      <c r="Q27" s="703"/>
      <c r="R27" s="710"/>
      <c r="S27" s="710"/>
      <c r="T27" s="710"/>
      <c r="U27" s="775"/>
    </row>
    <row r="28" customFormat="false" ht="12" hidden="false" customHeight="true" outlineLevel="0" collapsed="false">
      <c r="A28" s="756"/>
      <c r="B28" s="756" t="n">
        <v>80</v>
      </c>
      <c r="C28" s="756" t="n">
        <f aca="false">((SIN(RADIANS(B28)))^2)/B28^2</f>
        <v>0.000151538485998899</v>
      </c>
      <c r="D28" s="756" t="n">
        <f aca="false">C28*1000000</f>
        <v>151.538485998899</v>
      </c>
      <c r="E28" s="756" t="n">
        <f aca="false">D28/304.6174</f>
        <v>0.497471536422079</v>
      </c>
      <c r="F28" s="758" t="n">
        <f aca="false">10*LOG10(E28)</f>
        <v>-3.03231763015668</v>
      </c>
      <c r="G28" s="432" t="s">
        <v>258</v>
      </c>
      <c r="H28" s="432"/>
      <c r="I28" s="768" t="n">
        <f aca="false">(S7*B28)/79.76</f>
        <v>0.09513635758</v>
      </c>
      <c r="J28" s="42" t="s">
        <v>0</v>
      </c>
      <c r="K28" s="431"/>
      <c r="L28" s="19"/>
      <c r="M28" s="19"/>
      <c r="N28" s="19"/>
      <c r="O28" s="19"/>
      <c r="P28" s="19"/>
      <c r="Q28" s="703"/>
      <c r="R28" s="710"/>
      <c r="S28" s="710"/>
      <c r="T28" s="710"/>
      <c r="U28" s="775"/>
    </row>
    <row r="29" customFormat="false" ht="12" hidden="false" customHeight="true" outlineLevel="0" collapsed="false">
      <c r="A29" s="756"/>
      <c r="B29" s="756" t="n">
        <v>90.8</v>
      </c>
      <c r="C29" s="756" t="n">
        <f aca="false">((SIN(RADIANS(B29)))^2)/B29^2</f>
        <v>0.00012126727880419</v>
      </c>
      <c r="D29" s="756" t="n">
        <f aca="false">C29*1000000</f>
        <v>121.26727880419</v>
      </c>
      <c r="E29" s="756" t="n">
        <f aca="false">D29/304.6174</f>
        <v>0.398097018765803</v>
      </c>
      <c r="F29" s="770" t="n">
        <f aca="false">10*LOG10(E29)</f>
        <v>-4.00011074710323</v>
      </c>
      <c r="G29" s="771" t="s">
        <v>258</v>
      </c>
      <c r="H29" s="771"/>
      <c r="I29" s="783" t="n">
        <f aca="false">(S7*B29)/79.76</f>
        <v>0.1079797659</v>
      </c>
      <c r="J29" s="773"/>
      <c r="K29" s="774"/>
      <c r="L29" s="19"/>
      <c r="M29" s="19"/>
      <c r="N29" s="19"/>
      <c r="O29" s="19"/>
      <c r="P29" s="19"/>
      <c r="Q29" s="703"/>
      <c r="R29" s="710"/>
      <c r="S29" s="710"/>
      <c r="T29" s="710"/>
      <c r="U29" s="775"/>
    </row>
    <row r="30" customFormat="false" ht="12" hidden="false" customHeight="true" outlineLevel="0" collapsed="false">
      <c r="A30" s="756"/>
      <c r="B30" s="756" t="n">
        <v>100</v>
      </c>
      <c r="C30" s="756" t="n">
        <f aca="false">((SIN(RADIANS(B30)))^2)/B30^2</f>
        <v>9.69846310392954E-005</v>
      </c>
      <c r="D30" s="756" t="n">
        <f aca="false">C30*1000000</f>
        <v>96.9846310392954</v>
      </c>
      <c r="E30" s="756" t="n">
        <f aca="false">D30/304.6174</f>
        <v>0.318381783310131</v>
      </c>
      <c r="F30" s="776" t="n">
        <f aca="false">10*LOG10(E30)</f>
        <v>-4.9705178903178</v>
      </c>
      <c r="G30" s="771" t="s">
        <v>258</v>
      </c>
      <c r="H30" s="771"/>
      <c r="I30" s="772" t="n">
        <f aca="false">(S7*B30)/79.76</f>
        <v>0.118920447</v>
      </c>
      <c r="J30" s="773"/>
      <c r="K30" s="774"/>
      <c r="L30" s="19"/>
      <c r="M30" s="19"/>
      <c r="N30" s="19"/>
      <c r="O30" s="19"/>
      <c r="P30" s="19"/>
      <c r="Q30" s="703"/>
      <c r="R30" s="710"/>
      <c r="S30" s="710"/>
      <c r="T30" s="710"/>
      <c r="U30" s="775"/>
    </row>
    <row r="31" customFormat="false" ht="12" hidden="false" customHeight="true" outlineLevel="0" collapsed="false">
      <c r="A31" s="756"/>
      <c r="B31" s="756" t="n">
        <v>110</v>
      </c>
      <c r="C31" s="756" t="n">
        <f aca="false">((SIN(RADIANS(B31)))^2)/B31^2</f>
        <v>7.297704310409E-005</v>
      </c>
      <c r="D31" s="756" t="n">
        <f aca="false">C31*1000000</f>
        <v>72.97704310409</v>
      </c>
      <c r="E31" s="756" t="n">
        <f aca="false">D31/304.6174</f>
        <v>0.239569516068649</v>
      </c>
      <c r="F31" s="767" t="n">
        <f aca="false">10*LOG10(E31)</f>
        <v>-6.20568444402229</v>
      </c>
      <c r="G31" s="432" t="s">
        <v>258</v>
      </c>
      <c r="H31" s="432"/>
      <c r="I31" s="768" t="n">
        <f aca="false">(S7*B31)/79.76</f>
        <v>0.1308124917</v>
      </c>
      <c r="J31" s="42"/>
      <c r="K31" s="431"/>
      <c r="L31" s="19"/>
      <c r="M31" s="19"/>
      <c r="N31" s="19"/>
      <c r="O31" s="19"/>
      <c r="P31" s="19"/>
      <c r="Q31" s="703"/>
      <c r="R31" s="710"/>
      <c r="S31" s="710"/>
      <c r="T31" s="710"/>
      <c r="U31" s="775"/>
    </row>
    <row r="32" customFormat="false" ht="12" hidden="false" customHeight="true" outlineLevel="0" collapsed="false">
      <c r="A32" s="756"/>
      <c r="B32" s="756" t="n">
        <v>122</v>
      </c>
      <c r="C32" s="756" t="n">
        <f aca="false">((SIN(RADIANS(B32)))^2)/B32^2</f>
        <v>4.83193747241695E-005</v>
      </c>
      <c r="D32" s="756" t="n">
        <f aca="false">C32*1000000</f>
        <v>48.3193747241695</v>
      </c>
      <c r="E32" s="756" t="n">
        <f aca="false">D32/304.6174</f>
        <v>0.158623160476616</v>
      </c>
      <c r="F32" s="776" t="n">
        <f aca="false">10*LOG10(E32)</f>
        <v>-7.99633401300626</v>
      </c>
      <c r="G32" s="771" t="s">
        <v>258</v>
      </c>
      <c r="H32" s="771"/>
      <c r="I32" s="783" t="n">
        <f aca="false">(S7*B32)/79.76</f>
        <v>0.1450829453</v>
      </c>
      <c r="J32" s="773"/>
      <c r="K32" s="774"/>
      <c r="L32" s="19"/>
      <c r="M32" s="19"/>
      <c r="N32" s="19"/>
      <c r="O32" s="19"/>
      <c r="P32" s="19"/>
      <c r="Q32" s="703"/>
      <c r="R32" s="710"/>
      <c r="S32" s="710"/>
      <c r="T32" s="710"/>
      <c r="U32" s="775"/>
    </row>
    <row r="33" customFormat="false" ht="12" hidden="false" customHeight="true" outlineLevel="0" collapsed="false">
      <c r="A33" s="756"/>
      <c r="B33" s="756" t="n">
        <v>130</v>
      </c>
      <c r="C33" s="756" t="n">
        <f aca="false">((SIN(RADIANS(B33)))^2)/B33^2</f>
        <v>3.47233188658855E-005</v>
      </c>
      <c r="D33" s="756" t="n">
        <f aca="false">C33*1000000</f>
        <v>34.7233188658855</v>
      </c>
      <c r="E33" s="756" t="n">
        <f aca="false">D33/304.6174</f>
        <v>0.113989939070734</v>
      </c>
      <c r="F33" s="767" t="n">
        <f aca="false">10*LOG10(E33)</f>
        <v>-9.43133478478286</v>
      </c>
      <c r="G33" s="432" t="s">
        <v>258</v>
      </c>
      <c r="H33" s="432"/>
      <c r="I33" s="768" t="n">
        <f aca="false">(S7*B33)/79.76</f>
        <v>0.1545965811</v>
      </c>
      <c r="J33" s="42"/>
      <c r="K33" s="431"/>
      <c r="L33" s="19"/>
      <c r="M33" s="19"/>
      <c r="N33" s="19"/>
      <c r="O33" s="19"/>
      <c r="P33" s="19"/>
      <c r="Q33" s="703"/>
      <c r="R33" s="710"/>
      <c r="S33" s="710"/>
      <c r="T33" s="710"/>
      <c r="U33" s="775"/>
    </row>
    <row r="34" customFormat="false" ht="12" hidden="false" customHeight="true" outlineLevel="0" collapsed="false">
      <c r="A34" s="756"/>
      <c r="B34" s="756" t="n">
        <v>132.85</v>
      </c>
      <c r="C34" s="756" t="n">
        <f aca="false">((SIN(RADIANS(B34)))^2)/B34^2</f>
        <v>3.04541692321057E-005</v>
      </c>
      <c r="D34" s="756" t="n">
        <f aca="false">C34*1000000</f>
        <v>30.4541692321057</v>
      </c>
      <c r="E34" s="756" t="n">
        <f aca="false">D34/304.6174</f>
        <v>0.0999751466334677</v>
      </c>
      <c r="F34" s="770" t="n">
        <f aca="false">10*LOG10(E34)</f>
        <v>-10.001079502146</v>
      </c>
      <c r="G34" s="771" t="s">
        <v>258</v>
      </c>
      <c r="H34" s="771"/>
      <c r="I34" s="772" t="n">
        <f aca="false">(S7*B34)/79.76</f>
        <v>0.1579858138</v>
      </c>
      <c r="J34" s="773"/>
      <c r="K34" s="774"/>
      <c r="L34" s="19"/>
      <c r="M34" s="19"/>
      <c r="N34" s="19"/>
      <c r="O34" s="19"/>
      <c r="P34" s="19"/>
      <c r="Q34" s="703"/>
      <c r="R34" s="710"/>
      <c r="S34" s="710"/>
      <c r="T34" s="710"/>
      <c r="U34" s="775"/>
    </row>
    <row r="35" customFormat="false" ht="12" hidden="false" customHeight="true" outlineLevel="0" collapsed="false">
      <c r="A35" s="756"/>
      <c r="B35" s="756" t="n">
        <v>140</v>
      </c>
      <c r="C35" s="756" t="n">
        <f aca="false">((SIN(RADIANS(B35)))^2)/B35^2</f>
        <v>2.10804036309457E-005</v>
      </c>
      <c r="D35" s="756" t="n">
        <f aca="false">C35*1000000</f>
        <v>21.0804036309457</v>
      </c>
      <c r="E35" s="756" t="n">
        <f aca="false">D35/304.6174</f>
        <v>0.0692028873956171</v>
      </c>
      <c r="F35" s="767" t="n">
        <f aca="false">10*LOG10(E35)</f>
        <v>-11.5987578482326</v>
      </c>
      <c r="G35" s="432" t="s">
        <v>258</v>
      </c>
      <c r="H35" s="432"/>
      <c r="I35" s="768" t="n">
        <f aca="false">(S7*B35)/79.76</f>
        <v>0.1664886258</v>
      </c>
      <c r="J35" s="42" t="s">
        <v>0</v>
      </c>
      <c r="K35" s="431"/>
      <c r="L35" s="19"/>
      <c r="M35" s="19"/>
      <c r="N35" s="19"/>
      <c r="O35" s="19"/>
      <c r="P35" s="19"/>
      <c r="Q35" s="703"/>
      <c r="R35" s="710"/>
      <c r="S35" s="710"/>
      <c r="T35" s="710"/>
      <c r="U35" s="775"/>
    </row>
    <row r="36" customFormat="false" ht="12" hidden="false" customHeight="true" outlineLevel="0" collapsed="false">
      <c r="A36" s="756"/>
      <c r="B36" s="756" t="n">
        <v>150</v>
      </c>
      <c r="C36" s="756" t="n">
        <f aca="false">((SIN(RADIANS(B36)))^2)/B36^2</f>
        <v>1.11111111111111E-005</v>
      </c>
      <c r="D36" s="756" t="n">
        <f aca="false">C36*1000000</f>
        <v>11.1111111111111</v>
      </c>
      <c r="E36" s="756" t="n">
        <f aca="false">D36/304.6174</f>
        <v>0.0364756284805501</v>
      </c>
      <c r="F36" s="767" t="n">
        <f aca="false">10*LOG10(E36)</f>
        <v>-14.3799721641098</v>
      </c>
      <c r="G36" s="432" t="s">
        <v>258</v>
      </c>
      <c r="H36" s="432"/>
      <c r="I36" s="768" t="n">
        <f aca="false">(S7*B36)/79.76</f>
        <v>0.1783806705</v>
      </c>
      <c r="J36" s="42"/>
      <c r="K36" s="431"/>
      <c r="L36" s="19"/>
      <c r="M36" s="19"/>
      <c r="N36" s="19"/>
      <c r="O36" s="19"/>
      <c r="P36" s="19"/>
      <c r="Q36" s="703"/>
      <c r="R36" s="710"/>
      <c r="S36" s="710"/>
      <c r="T36" s="710"/>
      <c r="U36" s="775"/>
    </row>
    <row r="37" customFormat="false" ht="12" hidden="false" customHeight="true" outlineLevel="0" collapsed="false">
      <c r="A37" s="756"/>
      <c r="B37" s="756" t="n">
        <v>160</v>
      </c>
      <c r="C37" s="756" t="n">
        <f aca="false">((SIN(RADIANS(B37)))^2)/B37^2</f>
        <v>4.56944447033246E-006</v>
      </c>
      <c r="D37" s="756" t="n">
        <f aca="false">C37*1000000</f>
        <v>4.56944447033246</v>
      </c>
      <c r="E37" s="756" t="n">
        <f aca="false">D37/304.6174</f>
        <v>0.0150006022976116</v>
      </c>
      <c r="F37" s="767" t="n">
        <f aca="false">10*LOG10(E37)</f>
        <v>-18.2389130299247</v>
      </c>
      <c r="G37" s="432" t="s">
        <v>258</v>
      </c>
      <c r="H37" s="432"/>
      <c r="I37" s="768" t="n">
        <f aca="false">(S7*B37)/79.76</f>
        <v>0.1902727152</v>
      </c>
      <c r="J37" s="42"/>
      <c r="K37" s="431"/>
      <c r="L37" s="19"/>
      <c r="M37" s="19"/>
      <c r="N37" s="19"/>
      <c r="O37" s="19"/>
      <c r="P37" s="19"/>
      <c r="Q37" s="703"/>
      <c r="R37" s="710"/>
      <c r="S37" s="710"/>
      <c r="T37" s="710"/>
      <c r="U37" s="775"/>
    </row>
    <row r="38" customFormat="false" ht="12" hidden="false" customHeight="true" outlineLevel="0" collapsed="false">
      <c r="A38" s="756" t="n">
        <v>170</v>
      </c>
      <c r="B38" s="756" t="n">
        <v>172.5</v>
      </c>
      <c r="C38" s="756" t="n">
        <f aca="false">((SIN(RADIANS(B38)))^2)/B38^2</f>
        <v>5.7255490377537E-007</v>
      </c>
      <c r="D38" s="756" t="n">
        <f aca="false">C38*1000000</f>
        <v>0.57255490377537</v>
      </c>
      <c r="E38" s="756" t="n">
        <f aca="false">D38/304.6174</f>
        <v>0.00187958699593447</v>
      </c>
      <c r="F38" s="767" t="n">
        <f aca="false">10*LOG10(E38)</f>
        <v>-27.2593756833808</v>
      </c>
      <c r="G38" s="432" t="s">
        <v>258</v>
      </c>
      <c r="H38" s="432"/>
      <c r="I38" s="764" t="n">
        <f aca="false">(S7*B38)/79.76</f>
        <v>0.205137771</v>
      </c>
      <c r="J38" s="42"/>
      <c r="K38" s="431"/>
      <c r="L38" s="19"/>
      <c r="M38" s="19"/>
      <c r="N38" s="19"/>
      <c r="O38" s="19"/>
      <c r="P38" s="19"/>
      <c r="Q38" s="703"/>
      <c r="R38" s="710"/>
      <c r="S38" s="710"/>
      <c r="T38" s="710"/>
      <c r="U38" s="775"/>
    </row>
    <row r="39" customFormat="false" ht="12" hidden="false" customHeight="true" outlineLevel="0" collapsed="false">
      <c r="A39" s="756"/>
      <c r="B39" s="756" t="n">
        <v>180</v>
      </c>
      <c r="C39" s="756" t="n">
        <f aca="false">((SIN(RADIANS(B39)))^2)/B39^2</f>
        <v>4.62888821809215E-037</v>
      </c>
      <c r="D39" s="756" t="n">
        <f aca="false">C39*1000000</f>
        <v>4.62888821809215E-031</v>
      </c>
      <c r="E39" s="756" t="n">
        <f aca="false">D39/304.6174</f>
        <v>1.51957446229012E-033</v>
      </c>
      <c r="F39" s="784" t="n">
        <f aca="false">10*LOG10(E39)</f>
        <v>-328.182780137352</v>
      </c>
      <c r="G39" s="432" t="s">
        <v>258</v>
      </c>
      <c r="H39" s="432"/>
      <c r="I39" s="785" t="n">
        <f aca="false">(S7*B39)/79.76</f>
        <v>0.2140568046</v>
      </c>
      <c r="J39" s="387" t="s">
        <v>971</v>
      </c>
      <c r="K39" s="431"/>
      <c r="L39" s="19"/>
      <c r="M39" s="19"/>
      <c r="N39" s="19"/>
      <c r="O39" s="19"/>
      <c r="P39" s="19"/>
      <c r="Q39" s="703"/>
      <c r="R39" s="710"/>
      <c r="S39" s="710"/>
      <c r="T39" s="710"/>
      <c r="U39" s="775"/>
    </row>
    <row r="40" customFormat="false" ht="12" hidden="false" customHeight="true" outlineLevel="0" collapsed="false">
      <c r="A40" s="756"/>
      <c r="B40" s="756" t="n">
        <v>190</v>
      </c>
      <c r="C40" s="756" t="n">
        <f aca="false">((SIN(RADIANS(B40)))^2)/B40^2</f>
        <v>8.35282260582988E-007</v>
      </c>
      <c r="D40" s="756" t="n">
        <f aca="false">C40*1000000</f>
        <v>0.835282260582988</v>
      </c>
      <c r="E40" s="756" t="n">
        <f aca="false">D40/304.6174</f>
        <v>0.00274207008720772</v>
      </c>
      <c r="F40" s="767" t="n">
        <f aca="false">10*LOG10(E40)</f>
        <v>-25.6192144885411</v>
      </c>
      <c r="G40" s="432" t="s">
        <v>258</v>
      </c>
      <c r="H40" s="432"/>
      <c r="I40" s="768" t="n">
        <f aca="false">(S7*B40)/79.76</f>
        <v>0.2259488493</v>
      </c>
      <c r="J40" s="42"/>
      <c r="K40" s="431"/>
      <c r="L40" s="19"/>
      <c r="M40" s="19"/>
      <c r="N40" s="19"/>
      <c r="O40" s="19"/>
      <c r="P40" s="19"/>
      <c r="Q40" s="703"/>
      <c r="R40" s="710"/>
      <c r="S40" s="710"/>
      <c r="T40" s="710"/>
      <c r="U40" s="775"/>
    </row>
    <row r="41" customFormat="false" ht="12" hidden="false" customHeight="true" outlineLevel="0" collapsed="false">
      <c r="A41" s="756"/>
      <c r="B41" s="756" t="n">
        <v>200</v>
      </c>
      <c r="C41" s="756" t="n">
        <f aca="false">((SIN(RADIANS(B41)))^2)/B41^2</f>
        <v>2.92444446101277E-006</v>
      </c>
      <c r="D41" s="756" t="n">
        <f aca="false">C41*1000000</f>
        <v>2.92444446101277</v>
      </c>
      <c r="E41" s="756" t="n">
        <f aca="false">D41/304.6174</f>
        <v>0.0096003854704714</v>
      </c>
      <c r="F41" s="767" t="n">
        <f aca="false">10*LOG10(E41)</f>
        <v>-20.1771132900858</v>
      </c>
      <c r="G41" s="432" t="s">
        <v>258</v>
      </c>
      <c r="H41" s="432"/>
      <c r="I41" s="768" t="n">
        <f aca="false">(S7*B41)/79.76</f>
        <v>0.237840894</v>
      </c>
      <c r="J41" s="42"/>
      <c r="K41" s="431"/>
      <c r="L41" s="19"/>
      <c r="M41" s="19"/>
      <c r="N41" s="19"/>
      <c r="O41" s="19"/>
      <c r="P41" s="19"/>
      <c r="Q41" s="703"/>
      <c r="R41" s="710"/>
      <c r="S41" s="710"/>
      <c r="T41" s="710"/>
      <c r="U41" s="775"/>
    </row>
    <row r="42" customFormat="false" ht="12" hidden="false" customHeight="true" outlineLevel="0" collapsed="false">
      <c r="A42" s="756"/>
      <c r="B42" s="756" t="n">
        <v>210</v>
      </c>
      <c r="C42" s="756" t="n">
        <f aca="false">((SIN(RADIANS(B42)))^2)/B42^2</f>
        <v>5.66893424036281E-006</v>
      </c>
      <c r="D42" s="756" t="n">
        <f aca="false">C42*1000000</f>
        <v>5.66893424036281</v>
      </c>
      <c r="E42" s="756" t="n">
        <f aca="false">D42/304.6174</f>
        <v>0.0186100145308929</v>
      </c>
      <c r="F42" s="767" t="n">
        <f aca="false">10*LOG10(E42)</f>
        <v>-17.3025328776745</v>
      </c>
      <c r="G42" s="432" t="s">
        <v>258</v>
      </c>
      <c r="H42" s="432"/>
      <c r="I42" s="768" t="n">
        <f aca="false">(S7*B42)/79.76</f>
        <v>0.2497329387</v>
      </c>
      <c r="J42" s="42"/>
      <c r="K42" s="431"/>
      <c r="L42" s="19"/>
      <c r="M42" s="19"/>
      <c r="N42" s="19"/>
      <c r="O42" s="19"/>
      <c r="P42" s="19"/>
      <c r="Q42" s="703"/>
      <c r="R42" s="710"/>
      <c r="S42" s="710"/>
      <c r="T42" s="710"/>
      <c r="U42" s="775"/>
    </row>
    <row r="43" customFormat="false" ht="12" hidden="false" customHeight="true" outlineLevel="0" collapsed="false">
      <c r="A43" s="756"/>
      <c r="B43" s="756" t="n">
        <v>220</v>
      </c>
      <c r="C43" s="756" t="n">
        <f aca="false">((SIN(RADIANS(B43)))^2)/B43^2</f>
        <v>8.53669237947386E-006</v>
      </c>
      <c r="D43" s="756" t="n">
        <f aca="false">C43*1000000</f>
        <v>8.53669237947386</v>
      </c>
      <c r="E43" s="756" t="n">
        <f aca="false">D43/304.6174</f>
        <v>0.0280243097717788</v>
      </c>
      <c r="F43" s="767" t="n">
        <f aca="false">10*LOG10(E43)</f>
        <v>-15.5246507511119</v>
      </c>
      <c r="G43" s="432" t="s">
        <v>258</v>
      </c>
      <c r="H43" s="432"/>
      <c r="I43" s="768" t="n">
        <f aca="false">(S7*B43)/79.76</f>
        <v>0.2616249834</v>
      </c>
      <c r="J43" s="42"/>
      <c r="K43" s="431"/>
      <c r="L43" s="19"/>
      <c r="M43" s="19"/>
      <c r="N43" s="19"/>
      <c r="O43" s="19"/>
      <c r="P43" s="19"/>
      <c r="Q43" s="703"/>
      <c r="R43" s="710"/>
      <c r="S43" s="710"/>
      <c r="T43" s="710"/>
      <c r="U43" s="775"/>
    </row>
    <row r="44" customFormat="false" ht="12" hidden="false" customHeight="true" outlineLevel="0" collapsed="false">
      <c r="A44" s="756"/>
      <c r="B44" s="756" t="n">
        <v>230</v>
      </c>
      <c r="C44" s="756" t="n">
        <f aca="false">((SIN(RADIANS(B44)))^2)/B44^2</f>
        <v>1.10930829647158E-005</v>
      </c>
      <c r="D44" s="756" t="n">
        <f aca="false">C44*1000000</f>
        <v>11.0930829647158</v>
      </c>
      <c r="E44" s="756" t="n">
        <f aca="false">D44/304.6174</f>
        <v>0.0364164455632403</v>
      </c>
      <c r="F44" s="767" t="n">
        <f aca="false">10*LOG10(E44)</f>
        <v>-14.387024458998</v>
      </c>
      <c r="G44" s="432" t="s">
        <v>258</v>
      </c>
      <c r="H44" s="432"/>
      <c r="I44" s="768" t="n">
        <f aca="false">(S7*B44)/79.76</f>
        <v>0.273517028</v>
      </c>
      <c r="J44" s="42"/>
      <c r="K44" s="431"/>
      <c r="L44" s="19"/>
      <c r="M44" s="19"/>
      <c r="N44" s="19"/>
      <c r="O44" s="19"/>
      <c r="P44" s="19"/>
      <c r="Q44" s="703"/>
      <c r="R44" s="710"/>
      <c r="S44" s="710"/>
      <c r="T44" s="710"/>
      <c r="U44" s="775"/>
    </row>
    <row r="45" customFormat="false" ht="12" hidden="false" customHeight="true" outlineLevel="0" collapsed="false">
      <c r="A45" s="756"/>
      <c r="B45" s="756" t="n">
        <v>240</v>
      </c>
      <c r="C45" s="756" t="n">
        <f aca="false">((SIN(RADIANS(B45)))^2)/B45^2</f>
        <v>1.30208333333333E-005</v>
      </c>
      <c r="D45" s="756" t="n">
        <f aca="false">C45*1000000</f>
        <v>13.0208333333333</v>
      </c>
      <c r="E45" s="756" t="n">
        <f aca="false">D45/304.6174</f>
        <v>0.0427448771256446</v>
      </c>
      <c r="F45" s="767" t="n">
        <f aca="false">10*LOG10(E45)</f>
        <v>-13.6911592700316</v>
      </c>
      <c r="G45" s="432" t="s">
        <v>258</v>
      </c>
      <c r="H45" s="432"/>
      <c r="I45" s="768" t="n">
        <f aca="false">(S7*B45)/79.76</f>
        <v>0.2854090727</v>
      </c>
      <c r="J45" s="42"/>
      <c r="K45" s="431"/>
      <c r="L45" s="19"/>
      <c r="M45" s="19"/>
      <c r="N45" s="19"/>
      <c r="O45" s="19"/>
      <c r="P45" s="19"/>
      <c r="Q45" s="703"/>
      <c r="R45" s="710"/>
      <c r="S45" s="761"/>
      <c r="T45" s="710"/>
      <c r="U45" s="775"/>
    </row>
    <row r="46" customFormat="false" ht="12" hidden="false" customHeight="true" outlineLevel="0" collapsed="false">
      <c r="A46" s="756"/>
      <c r="B46" s="756" t="n">
        <v>250</v>
      </c>
      <c r="C46" s="756" t="n">
        <f aca="false">((SIN(RADIANS(B46)))^2)/B46^2</f>
        <v>1.41283555449518E-005</v>
      </c>
      <c r="D46" s="756" t="n">
        <f aca="false">C46*1000000</f>
        <v>14.1283555449518</v>
      </c>
      <c r="E46" s="756" t="n">
        <f aca="false">D46/304.6174</f>
        <v>0.0463806583108904</v>
      </c>
      <c r="F46" s="786" t="n">
        <f aca="false">10*LOG10(E46)</f>
        <v>-13.3366309142985</v>
      </c>
      <c r="G46" s="432" t="s">
        <v>258</v>
      </c>
      <c r="H46" s="432"/>
      <c r="I46" s="787" t="n">
        <f aca="false">(S7*B46)/79.76</f>
        <v>0.2973011174</v>
      </c>
      <c r="J46" s="788" t="s">
        <v>972</v>
      </c>
      <c r="K46" s="789"/>
      <c r="L46" s="19"/>
      <c r="M46" s="19"/>
      <c r="N46" s="19"/>
      <c r="O46" s="19"/>
      <c r="P46" s="19"/>
      <c r="Q46" s="703"/>
      <c r="R46" s="710"/>
      <c r="S46" s="710"/>
      <c r="T46" s="710"/>
      <c r="U46" s="775"/>
    </row>
    <row r="47" customFormat="false" ht="12" hidden="false" customHeight="true" outlineLevel="0" collapsed="false">
      <c r="A47" s="756"/>
      <c r="B47" s="756" t="n">
        <v>260</v>
      </c>
      <c r="C47" s="756" t="n">
        <f aca="false">((SIN(RADIANS(B47)))^2)/B47^2</f>
        <v>1.43468389111384E-005</v>
      </c>
      <c r="D47" s="756" t="n">
        <f aca="false">C47*1000000</f>
        <v>14.3468389111384</v>
      </c>
      <c r="E47" s="756" t="n">
        <f aca="false">D47/304.6174</f>
        <v>0.0470978969393685</v>
      </c>
      <c r="F47" s="767" t="n">
        <f aca="false">10*LOG10(E47)</f>
        <v>-13.2699848497342</v>
      </c>
      <c r="G47" s="432" t="s">
        <v>258</v>
      </c>
      <c r="H47" s="432"/>
      <c r="I47" s="768" t="n">
        <f aca="false">(S7*B47)/79.76</f>
        <v>0.3091931621</v>
      </c>
      <c r="J47" s="42"/>
      <c r="K47" s="431"/>
      <c r="L47" s="19"/>
      <c r="M47" s="19"/>
      <c r="N47" s="19"/>
      <c r="O47" s="19"/>
      <c r="P47" s="19"/>
      <c r="Q47" s="703"/>
      <c r="R47" s="710"/>
      <c r="S47" s="710"/>
      <c r="T47" s="710"/>
      <c r="U47" s="775"/>
    </row>
    <row r="48" customFormat="false" ht="12" hidden="false" customHeight="true" outlineLevel="0" collapsed="false">
      <c r="A48" s="756"/>
      <c r="B48" s="756" t="n">
        <v>270</v>
      </c>
      <c r="C48" s="756" t="n">
        <f aca="false">((SIN(RADIANS(B48)))^2)/B48^2</f>
        <v>1.37174211248285E-005</v>
      </c>
      <c r="D48" s="756" t="n">
        <f aca="false">C48*1000000</f>
        <v>13.7174211248285</v>
      </c>
      <c r="E48" s="756" t="n">
        <f aca="false">D48/304.6174</f>
        <v>0.0450316400994445</v>
      </c>
      <c r="F48" s="767" t="n">
        <f aca="false">10*LOG10(E48)</f>
        <v>-13.4648223528963</v>
      </c>
      <c r="G48" s="432" t="s">
        <v>258</v>
      </c>
      <c r="H48" s="432"/>
      <c r="I48" s="768" t="n">
        <f aca="false">(S7*B48)/79.76</f>
        <v>0.3210852068</v>
      </c>
      <c r="J48" s="42"/>
      <c r="K48" s="431"/>
      <c r="L48" s="19"/>
      <c r="M48" s="19"/>
      <c r="N48" s="19"/>
      <c r="O48" s="19"/>
      <c r="P48" s="19"/>
      <c r="Q48" s="703"/>
      <c r="R48" s="710"/>
      <c r="S48" s="710"/>
      <c r="T48" s="710"/>
      <c r="U48" s="775"/>
    </row>
    <row r="49" customFormat="false" ht="12" hidden="false" customHeight="true" outlineLevel="0" collapsed="false">
      <c r="A49" s="756"/>
      <c r="B49" s="756" t="n">
        <v>280</v>
      </c>
      <c r="C49" s="756" t="n">
        <f aca="false">((SIN(RADIANS(B49)))^2)/B49^2</f>
        <v>1.23704886529714E-005</v>
      </c>
      <c r="D49" s="756" t="n">
        <f aca="false">C49*1000000</f>
        <v>12.3704886529714</v>
      </c>
      <c r="E49" s="756" t="n">
        <f aca="false">D49/304.6174</f>
        <v>0.0406099213405779</v>
      </c>
      <c r="F49" s="767" t="n">
        <f aca="false">10*LOG10(E49)</f>
        <v>-13.9136785171622</v>
      </c>
      <c r="G49" s="432" t="s">
        <v>258</v>
      </c>
      <c r="H49" s="432"/>
      <c r="I49" s="768" t="n">
        <f aca="false">(S7*B49)/79.76</f>
        <v>0.3329772515</v>
      </c>
      <c r="J49" s="42"/>
      <c r="K49" s="431"/>
      <c r="L49" s="19"/>
      <c r="M49" s="19"/>
      <c r="N49" s="19"/>
      <c r="O49" s="19"/>
      <c r="P49" s="19"/>
      <c r="Q49" s="703"/>
      <c r="R49" s="710"/>
      <c r="S49" s="710"/>
      <c r="T49" s="710"/>
      <c r="U49" s="775"/>
    </row>
    <row r="50" customFormat="false" ht="12" hidden="false" customHeight="true" outlineLevel="0" collapsed="false">
      <c r="A50" s="756"/>
      <c r="B50" s="756" t="n">
        <v>290</v>
      </c>
      <c r="C50" s="756" t="n">
        <f aca="false">((SIN(RADIANS(B50)))^2)/B50^2</f>
        <v>1.04996696974969E-005</v>
      </c>
      <c r="D50" s="756" t="n">
        <f aca="false">C50*1000000</f>
        <v>10.4996696974969</v>
      </c>
      <c r="E50" s="756" t="n">
        <f aca="false">D50/304.6174</f>
        <v>0.0344683845948948</v>
      </c>
      <c r="F50" s="767" t="n">
        <f aca="false">10*LOG10(E50)</f>
        <v>-14.6257906988369</v>
      </c>
      <c r="G50" s="432" t="s">
        <v>258</v>
      </c>
      <c r="H50" s="432"/>
      <c r="I50" s="768" t="n">
        <f aca="false">(S7*B50)/79.76</f>
        <v>0.3448692962</v>
      </c>
      <c r="J50" s="42"/>
      <c r="K50" s="431"/>
      <c r="L50" s="19"/>
      <c r="M50" s="19"/>
      <c r="N50" s="19"/>
      <c r="O50" s="19"/>
      <c r="P50" s="19"/>
      <c r="Q50" s="703"/>
      <c r="R50" s="710"/>
      <c r="S50" s="710"/>
      <c r="T50" s="710"/>
      <c r="U50" s="775"/>
    </row>
    <row r="51" customFormat="false" ht="12" hidden="false" customHeight="true" outlineLevel="0" collapsed="false">
      <c r="A51" s="756"/>
      <c r="B51" s="756" t="n">
        <v>300</v>
      </c>
      <c r="C51" s="756" t="n">
        <f aca="false">((SIN(RADIANS(B51)))^2)/B51^2</f>
        <v>8.33333333333333E-006</v>
      </c>
      <c r="D51" s="756" t="n">
        <f aca="false">C51*1000000</f>
        <v>8.33333333333333</v>
      </c>
      <c r="E51" s="756" t="n">
        <f aca="false">D51/304.6174</f>
        <v>0.0273567213604125</v>
      </c>
      <c r="F51" s="767" t="n">
        <f aca="false">10*LOG10(E51)</f>
        <v>-15.6293595301928</v>
      </c>
      <c r="G51" s="432" t="s">
        <v>258</v>
      </c>
      <c r="H51" s="432"/>
      <c r="I51" s="768" t="n">
        <f aca="false">(S7*B51)/79.76</f>
        <v>0.3567613409</v>
      </c>
      <c r="J51" s="42"/>
      <c r="K51" s="431"/>
      <c r="L51" s="19"/>
      <c r="M51" s="19"/>
      <c r="N51" s="19"/>
      <c r="O51" s="19"/>
      <c r="P51" s="19"/>
      <c r="Q51" s="703"/>
      <c r="R51" s="710"/>
      <c r="S51" s="710"/>
      <c r="T51" s="710"/>
      <c r="U51" s="775"/>
    </row>
    <row r="52" customFormat="false" ht="12" hidden="false" customHeight="true" outlineLevel="0" collapsed="false">
      <c r="A52" s="756"/>
      <c r="B52" s="756" t="n">
        <v>310</v>
      </c>
      <c r="C52" s="756" t="n">
        <f aca="false">((SIN(RADIANS(B52)))^2)/B52^2</f>
        <v>6.10639010232534E-006</v>
      </c>
      <c r="D52" s="756" t="n">
        <f aca="false">C52*1000000</f>
        <v>6.10639010232534</v>
      </c>
      <c r="E52" s="756" t="n">
        <f aca="false">D52/304.6174</f>
        <v>0.0200460975056755</v>
      </c>
      <c r="F52" s="767" t="n">
        <f aca="false">10*LOG10(E52)</f>
        <v>-16.9797016153316</v>
      </c>
      <c r="G52" s="432" t="s">
        <v>258</v>
      </c>
      <c r="H52" s="432"/>
      <c r="I52" s="768" t="n">
        <f aca="false">(S7*B52)/79.76</f>
        <v>0.3686533856</v>
      </c>
      <c r="J52" s="42"/>
      <c r="K52" s="431"/>
      <c r="L52" s="19"/>
      <c r="M52" s="19"/>
      <c r="N52" s="19"/>
      <c r="O52" s="19"/>
      <c r="P52" s="19"/>
      <c r="Q52" s="703"/>
      <c r="R52" s="710"/>
      <c r="S52" s="710"/>
      <c r="T52" s="710"/>
      <c r="U52" s="775"/>
    </row>
    <row r="53" customFormat="false" ht="12" hidden="false" customHeight="true" outlineLevel="0" collapsed="false">
      <c r="A53" s="756"/>
      <c r="B53" s="756" t="n">
        <v>320</v>
      </c>
      <c r="C53" s="756" t="n">
        <f aca="false">((SIN(RADIANS(B53)))^2)/B53^2</f>
        <v>4.0349210074857E-006</v>
      </c>
      <c r="D53" s="756" t="n">
        <f aca="false">C53*1000000</f>
        <v>4.0349210074857</v>
      </c>
      <c r="E53" s="756" t="n">
        <f aca="false">D53/304.6174</f>
        <v>0.0132458651655674</v>
      </c>
      <c r="F53" s="767" t="n">
        <f aca="false">10*LOG10(E53)</f>
        <v>-18.7791967010659</v>
      </c>
      <c r="G53" s="432" t="s">
        <v>258</v>
      </c>
      <c r="H53" s="432"/>
      <c r="I53" s="768" t="n">
        <f aca="false">(S7*B53)/79.76</f>
        <v>0.3805454303</v>
      </c>
      <c r="J53" s="42"/>
      <c r="K53" s="431"/>
      <c r="L53" s="19"/>
      <c r="M53" s="19"/>
      <c r="N53" s="19"/>
      <c r="O53" s="19"/>
      <c r="P53" s="19"/>
      <c r="Q53" s="703"/>
      <c r="R53" s="710"/>
      <c r="S53" s="710"/>
      <c r="T53" s="710"/>
      <c r="U53" s="775"/>
    </row>
    <row r="54" customFormat="false" ht="12" hidden="false" customHeight="true" outlineLevel="0" collapsed="false">
      <c r="A54" s="756"/>
      <c r="B54" s="756" t="n">
        <v>330</v>
      </c>
      <c r="C54" s="756" t="n">
        <f aca="false">((SIN(RADIANS(B54)))^2)/B54^2</f>
        <v>2.29568411386594E-006</v>
      </c>
      <c r="D54" s="756" t="n">
        <f aca="false">C54*1000000</f>
        <v>2.29568411386594</v>
      </c>
      <c r="E54" s="756" t="n">
        <f aca="false">D54/304.6174</f>
        <v>0.00753628687614672</v>
      </c>
      <c r="F54" s="767" t="n">
        <f aca="false">10*LOG10(E54)</f>
        <v>-21.2284257805539</v>
      </c>
      <c r="G54" s="432" t="s">
        <v>258</v>
      </c>
      <c r="H54" s="432" t="s">
        <v>0</v>
      </c>
      <c r="I54" s="768" t="n">
        <f aca="false">(S7*B54)/79.76</f>
        <v>0.392437475</v>
      </c>
      <c r="J54" s="42"/>
      <c r="K54" s="431"/>
      <c r="L54" s="19"/>
      <c r="M54" s="19"/>
      <c r="N54" s="19"/>
      <c r="O54" s="19"/>
      <c r="P54" s="19"/>
      <c r="Q54" s="703"/>
      <c r="R54" s="710"/>
      <c r="S54" s="710"/>
      <c r="T54" s="710"/>
      <c r="U54" s="775"/>
    </row>
    <row r="55" customFormat="false" ht="12" hidden="false" customHeight="true" outlineLevel="0" collapsed="false">
      <c r="A55" s="756"/>
      <c r="B55" s="756" t="n">
        <v>340</v>
      </c>
      <c r="C55" s="756" t="n">
        <f aca="false">((SIN(RADIANS(B55)))^2)/B55^2</f>
        <v>1.01191849862034E-006</v>
      </c>
      <c r="D55" s="756" t="n">
        <f aca="false">C55*1000000</f>
        <v>1.01191849862034</v>
      </c>
      <c r="E55" s="756" t="n">
        <f aca="false">D55/304.6174</f>
        <v>0.00332193268874444</v>
      </c>
      <c r="F55" s="767" t="n">
        <f aca="false">10*LOG10(E55)</f>
        <v>-24.7860917176513</v>
      </c>
      <c r="G55" s="432" t="s">
        <v>258</v>
      </c>
      <c r="H55" s="432"/>
      <c r="I55" s="768" t="n">
        <f aca="false">(S7*B55)/79.76</f>
        <v>0.4043295197</v>
      </c>
      <c r="J55" s="42"/>
      <c r="K55" s="431"/>
      <c r="L55" s="19"/>
      <c r="M55" s="19"/>
      <c r="N55" s="19"/>
      <c r="O55" s="19"/>
      <c r="P55" s="19"/>
      <c r="Q55" s="703"/>
      <c r="R55" s="710"/>
      <c r="S55" s="710"/>
      <c r="T55" s="710"/>
      <c r="U55" s="775"/>
    </row>
    <row r="56" customFormat="false" ht="12" hidden="false" customHeight="true" outlineLevel="0" collapsed="false">
      <c r="A56" s="756"/>
      <c r="B56" s="756" t="n">
        <v>350</v>
      </c>
      <c r="C56" s="756" t="n">
        <f aca="false">((SIN(RADIANS(B56)))^2)/B56^2</f>
        <v>2.46152568220782E-007</v>
      </c>
      <c r="D56" s="756" t="n">
        <f aca="false">C56*1000000</f>
        <v>0.246152568220782</v>
      </c>
      <c r="E56" s="756" t="n">
        <f aca="false">D56/304.6174</f>
        <v>0.000808071266515906</v>
      </c>
      <c r="F56" s="767" t="n">
        <f aca="false">10*LOG10(E56)</f>
        <v>-30.92550335649</v>
      </c>
      <c r="G56" s="432" t="s">
        <v>258</v>
      </c>
      <c r="H56" s="432"/>
      <c r="I56" s="768" t="n">
        <f aca="false">(S7*B56)/79.76</f>
        <v>0.4162215644</v>
      </c>
      <c r="J56" s="42"/>
      <c r="K56" s="431"/>
      <c r="L56" s="19"/>
      <c r="M56" s="19"/>
      <c r="N56" s="19"/>
      <c r="O56" s="19"/>
      <c r="P56" s="19"/>
      <c r="Q56" s="703"/>
      <c r="R56" s="710"/>
      <c r="S56" s="761"/>
      <c r="T56" s="710"/>
      <c r="U56" s="775"/>
    </row>
    <row r="57" customFormat="false" ht="12" hidden="false" customHeight="true" outlineLevel="0" collapsed="false">
      <c r="A57" s="756"/>
      <c r="B57" s="756" t="n">
        <v>360</v>
      </c>
      <c r="C57" s="756" t="n">
        <f aca="false">((SIN(RADIANS(B57)))^2)/B57^2</f>
        <v>4.62888821809215E-037</v>
      </c>
      <c r="D57" s="756" t="n">
        <f aca="false">C57*1000000</f>
        <v>4.62888821809215E-031</v>
      </c>
      <c r="E57" s="756" t="n">
        <f aca="false">D57/304.6174</f>
        <v>1.51957446229012E-033</v>
      </c>
      <c r="F57" s="784" t="n">
        <f aca="false">10*LOG10(E57)</f>
        <v>-328.182780137352</v>
      </c>
      <c r="G57" s="432" t="s">
        <v>258</v>
      </c>
      <c r="H57" s="432"/>
      <c r="I57" s="785" t="n">
        <f aca="false">(S7*B57)/79.76</f>
        <v>0.4281136091</v>
      </c>
      <c r="J57" s="788" t="s">
        <v>973</v>
      </c>
      <c r="K57" s="431"/>
      <c r="L57" s="19"/>
      <c r="M57" s="19"/>
      <c r="N57" s="19"/>
      <c r="O57" s="19"/>
      <c r="P57" s="19"/>
      <c r="Q57" s="703"/>
      <c r="R57" s="710"/>
      <c r="S57" s="710"/>
      <c r="T57" s="710"/>
      <c r="U57" s="775"/>
    </row>
    <row r="58" customFormat="false" ht="12" hidden="false" customHeight="true" outlineLevel="0" collapsed="false">
      <c r="A58" s="756"/>
      <c r="B58" s="756" t="n">
        <v>370</v>
      </c>
      <c r="C58" s="756" t="n">
        <f aca="false">((SIN(RADIANS(B58)))^2)/B58^2</f>
        <v>2.20260698371407E-007</v>
      </c>
      <c r="D58" s="756" t="n">
        <f aca="false">C58*1000000</f>
        <v>0.220260698371407</v>
      </c>
      <c r="E58" s="756" t="n">
        <f aca="false">D58/304.6174</f>
        <v>0.000723073266239576</v>
      </c>
      <c r="F58" s="767" t="n">
        <f aca="false">10*LOG10(E58)</f>
        <v>-31.4081769508244</v>
      </c>
      <c r="G58" s="432" t="s">
        <v>258</v>
      </c>
      <c r="H58" s="432"/>
      <c r="I58" s="768" t="n">
        <f aca="false">(S7*B58)/79.76</f>
        <v>0.4400056538</v>
      </c>
      <c r="J58" s="42"/>
      <c r="K58" s="431"/>
      <c r="L58" s="19"/>
      <c r="M58" s="19"/>
      <c r="N58" s="19"/>
      <c r="O58" s="19"/>
      <c r="P58" s="19"/>
      <c r="Q58" s="703"/>
      <c r="R58" s="710"/>
      <c r="S58" s="710"/>
      <c r="T58" s="710"/>
      <c r="U58" s="775"/>
    </row>
    <row r="59" customFormat="false" ht="12" hidden="false" customHeight="true" outlineLevel="0" collapsed="false">
      <c r="A59" s="756"/>
      <c r="B59" s="756" t="n">
        <v>380</v>
      </c>
      <c r="C59" s="756" t="n">
        <f aca="false">((SIN(RADIANS(B59)))^2)/B59^2</f>
        <v>8.10095418563096E-007</v>
      </c>
      <c r="D59" s="756" t="n">
        <f aca="false">C59*1000000</f>
        <v>0.810095418563096</v>
      </c>
      <c r="E59" s="756" t="n">
        <f aca="false">D59/304.6174</f>
        <v>0.00265938655691729</v>
      </c>
      <c r="F59" s="767" t="n">
        <f aca="false">10*LOG10(E59)</f>
        <v>-25.7521853091424</v>
      </c>
      <c r="G59" s="432" t="s">
        <v>258</v>
      </c>
      <c r="H59" s="432"/>
      <c r="I59" s="768" t="n">
        <f aca="false">(S7*B59)/79.76</f>
        <v>0.4518976985</v>
      </c>
      <c r="J59" s="42"/>
      <c r="K59" s="431"/>
      <c r="L59" s="19"/>
      <c r="M59" s="19"/>
      <c r="N59" s="19"/>
      <c r="O59" s="19"/>
      <c r="P59" s="19"/>
      <c r="Q59" s="703"/>
      <c r="R59" s="710"/>
      <c r="S59" s="710"/>
      <c r="T59" s="710"/>
      <c r="U59" s="775"/>
    </row>
    <row r="60" customFormat="false" ht="12" hidden="false" customHeight="true" outlineLevel="0" collapsed="false">
      <c r="A60" s="756"/>
      <c r="B60" s="756" t="n">
        <v>390</v>
      </c>
      <c r="C60" s="756" t="n">
        <f aca="false">((SIN(RADIANS(B60)))^2)/B60^2</f>
        <v>1.64365548980933E-006</v>
      </c>
      <c r="D60" s="756" t="n">
        <f aca="false">C60*1000000</f>
        <v>1.64365548980933</v>
      </c>
      <c r="E60" s="756" t="n">
        <f aca="false">D60/304.6174</f>
        <v>0.00539580302966715</v>
      </c>
      <c r="F60" s="767" t="n">
        <f aca="false">10*LOG10(E60)</f>
        <v>-22.6794391235261</v>
      </c>
      <c r="G60" s="432" t="s">
        <v>258</v>
      </c>
      <c r="H60" s="432"/>
      <c r="I60" s="768" t="n">
        <f aca="false">(S7*B60)/79.76</f>
        <v>0.4637897432</v>
      </c>
      <c r="J60" s="42"/>
      <c r="K60" s="431"/>
      <c r="L60" s="19"/>
      <c r="M60" s="19"/>
      <c r="N60" s="19"/>
      <c r="O60" s="19"/>
      <c r="P60" s="19"/>
      <c r="Q60" s="703"/>
      <c r="R60" s="710"/>
      <c r="S60" s="710"/>
      <c r="T60" s="710"/>
      <c r="U60" s="775"/>
    </row>
    <row r="61" customFormat="false" ht="12" hidden="false" customHeight="true" outlineLevel="0" collapsed="false">
      <c r="A61" s="756"/>
      <c r="B61" s="756" t="n">
        <v>400</v>
      </c>
      <c r="C61" s="756" t="n">
        <f aca="false">((SIN(RADIANS(B61)))^2)/B61^2</f>
        <v>2.58234944479084E-006</v>
      </c>
      <c r="D61" s="756" t="n">
        <f aca="false">C61*1000000</f>
        <v>2.58234944479084</v>
      </c>
      <c r="E61" s="756" t="n">
        <f aca="false">D61/304.6174</f>
        <v>0.00847735370596309</v>
      </c>
      <c r="F61" s="767" t="n">
        <f aca="false">10*LOG10(E61)</f>
        <v>-20.7173969612271</v>
      </c>
      <c r="G61" s="432" t="s">
        <v>258</v>
      </c>
      <c r="H61" s="432"/>
      <c r="I61" s="768" t="n">
        <f aca="false">(S7*B61)/79.76</f>
        <v>0.4756817879</v>
      </c>
      <c r="J61" s="42"/>
      <c r="K61" s="431"/>
      <c r="L61" s="19"/>
      <c r="M61" s="19"/>
      <c r="N61" s="19"/>
      <c r="O61" s="19"/>
      <c r="P61" s="19"/>
      <c r="Q61" s="703"/>
      <c r="R61" s="710"/>
      <c r="S61" s="710"/>
      <c r="T61" s="710"/>
      <c r="U61" s="775"/>
    </row>
    <row r="62" customFormat="false" ht="12" hidden="false" customHeight="true" outlineLevel="0" collapsed="false">
      <c r="A62" s="756"/>
      <c r="B62" s="756" t="n">
        <v>410</v>
      </c>
      <c r="C62" s="756" t="n">
        <f aca="false">((SIN(RADIANS(B62)))^2)/B62^2</f>
        <v>3.49092259865238E-006</v>
      </c>
      <c r="D62" s="756" t="n">
        <f aca="false">C62*1000000</f>
        <v>3.49092259865238</v>
      </c>
      <c r="E62" s="756" t="n">
        <f aca="false">D62/304.6174</f>
        <v>0.011460023618652</v>
      </c>
      <c r="F62" s="767" t="n">
        <f aca="false">10*LOG10(E62)</f>
        <v>-19.4081448730408</v>
      </c>
      <c r="G62" s="432" t="s">
        <v>258</v>
      </c>
      <c r="H62" s="432"/>
      <c r="I62" s="768" t="n">
        <f aca="false">(S7*B62)/79.76</f>
        <v>0.4875738326</v>
      </c>
      <c r="J62" s="42"/>
      <c r="K62" s="431"/>
      <c r="L62" s="19"/>
      <c r="M62" s="19"/>
      <c r="N62" s="19"/>
      <c r="O62" s="19"/>
      <c r="P62" s="19"/>
      <c r="Q62" s="703"/>
      <c r="R62" s="710"/>
      <c r="S62" s="710"/>
      <c r="T62" s="710"/>
      <c r="U62" s="775"/>
    </row>
    <row r="63" customFormat="false" ht="12" hidden="false" customHeight="true" outlineLevel="0" collapsed="false">
      <c r="A63" s="756"/>
      <c r="B63" s="756" t="n">
        <v>420</v>
      </c>
      <c r="C63" s="756" t="n">
        <f aca="false">((SIN(RADIANS(B63)))^2)/B63^2</f>
        <v>4.25170068027211E-006</v>
      </c>
      <c r="D63" s="756" t="n">
        <f aca="false">C63*1000000</f>
        <v>4.25170068027211</v>
      </c>
      <c r="E63" s="756" t="n">
        <f aca="false">D63/304.6174</f>
        <v>0.0139575108981697</v>
      </c>
      <c r="F63" s="767" t="n">
        <f aca="false">10*LOG10(E63)</f>
        <v>-18.5519202437575</v>
      </c>
      <c r="G63" s="432" t="s">
        <v>258</v>
      </c>
      <c r="H63" s="432"/>
      <c r="I63" s="768" t="n">
        <f aca="false">(S7*B63)/79.76</f>
        <v>0.4994658773</v>
      </c>
      <c r="J63" s="42"/>
      <c r="K63" s="431"/>
      <c r="L63" s="19"/>
      <c r="M63" s="19"/>
      <c r="N63" s="19"/>
      <c r="O63" s="19"/>
      <c r="P63" s="19"/>
      <c r="Q63" s="703"/>
      <c r="R63" s="710"/>
      <c r="S63" s="710"/>
      <c r="T63" s="710"/>
      <c r="U63" s="775"/>
    </row>
    <row r="64" customFormat="false" ht="12" hidden="false" customHeight="true" outlineLevel="0" collapsed="false">
      <c r="A64" s="756"/>
      <c r="B64" s="756" t="n">
        <v>430</v>
      </c>
      <c r="C64" s="756" t="n">
        <f aca="false">((SIN(RADIANS(B64)))^2)/B64^2</f>
        <v>4.77567453520545E-006</v>
      </c>
      <c r="D64" s="756" t="n">
        <f aca="false">C64*1000000</f>
        <v>4.77567453520545</v>
      </c>
      <c r="E64" s="756" t="n">
        <f aca="false">D64/304.6174</f>
        <v>0.015677615708116</v>
      </c>
      <c r="F64" s="767" t="n">
        <f aca="false">10*LOG10(E64)</f>
        <v>-18.0471998524495</v>
      </c>
      <c r="G64" s="432" t="s">
        <v>258</v>
      </c>
      <c r="H64" s="432"/>
      <c r="I64" s="768" t="n">
        <f aca="false">(S7*B64)/79.76</f>
        <v>0.511357922</v>
      </c>
      <c r="J64" s="42"/>
      <c r="K64" s="431"/>
      <c r="L64" s="19"/>
      <c r="M64" s="19"/>
      <c r="N64" s="19"/>
      <c r="O64" s="19"/>
      <c r="P64" s="19"/>
      <c r="Q64" s="703"/>
      <c r="R64" s="710"/>
      <c r="S64" s="761"/>
      <c r="T64" s="710"/>
      <c r="U64" s="775"/>
    </row>
    <row r="65" customFormat="false" ht="12" hidden="false" customHeight="true" outlineLevel="0" collapsed="false">
      <c r="A65" s="756"/>
      <c r="B65" s="756" t="n">
        <v>440</v>
      </c>
      <c r="C65" s="756" t="n">
        <f aca="false">((SIN(RADIANS(B65)))^2)/B65^2</f>
        <v>5.00953672723633E-006</v>
      </c>
      <c r="D65" s="756" t="n">
        <f aca="false">C65*1000000</f>
        <v>5.00953672723633</v>
      </c>
      <c r="E65" s="756" t="n">
        <f aca="false">D65/304.6174</f>
        <v>0.0164453400470109</v>
      </c>
      <c r="F65" s="786" t="n">
        <f aca="false">10*LOG10(E65)</f>
        <v>-17.8395714200416</v>
      </c>
      <c r="G65" s="432" t="s">
        <v>258</v>
      </c>
      <c r="H65" s="432"/>
      <c r="I65" s="787" t="n">
        <f aca="false">(S7*B65)/79.76</f>
        <v>0.5232499667</v>
      </c>
      <c r="J65" s="788" t="s">
        <v>974</v>
      </c>
      <c r="K65" s="789"/>
      <c r="L65" s="19"/>
      <c r="M65" s="19"/>
      <c r="N65" s="19"/>
      <c r="O65" s="19"/>
      <c r="P65" s="19"/>
      <c r="Q65" s="703"/>
      <c r="R65" s="710"/>
      <c r="S65" s="710"/>
      <c r="T65" s="710"/>
      <c r="U65" s="775"/>
    </row>
    <row r="66" customFormat="false" ht="12" hidden="false" customHeight="true" outlineLevel="0" collapsed="false">
      <c r="A66" s="756"/>
      <c r="B66" s="756" t="n">
        <v>450</v>
      </c>
      <c r="C66" s="756" t="n">
        <f aca="false">((SIN(RADIANS(B66)))^2)/B66^2</f>
        <v>4.93827160493827E-006</v>
      </c>
      <c r="D66" s="756" t="n">
        <f aca="false">C66*1000000</f>
        <v>4.93827160493827</v>
      </c>
      <c r="E66" s="756" t="n">
        <f aca="false">D66/304.6174</f>
        <v>0.0162113904358</v>
      </c>
      <c r="F66" s="767" t="n">
        <f aca="false">10*LOG10(E66)</f>
        <v>-17.9017973452234</v>
      </c>
      <c r="G66" s="432" t="s">
        <v>258</v>
      </c>
      <c r="H66" s="432"/>
      <c r="I66" s="768" t="n">
        <f aca="false">(S7*B66)/79.76</f>
        <v>0.5351420114</v>
      </c>
      <c r="J66" s="42"/>
      <c r="K66" s="431"/>
      <c r="L66" s="19"/>
      <c r="M66" s="19"/>
      <c r="N66" s="19"/>
      <c r="O66" s="19"/>
      <c r="P66" s="19"/>
      <c r="Q66" s="703"/>
      <c r="R66" s="710"/>
      <c r="S66" s="710"/>
      <c r="T66" s="710"/>
      <c r="U66" s="775"/>
    </row>
    <row r="67" customFormat="false" ht="12" hidden="false" customHeight="true" outlineLevel="0" collapsed="false">
      <c r="A67" s="756"/>
      <c r="B67" s="756" t="n">
        <v>460</v>
      </c>
      <c r="C67" s="756" t="n">
        <f aca="false">((SIN(RADIANS(B67)))^2)/B67^2</f>
        <v>4.58339466159241E-006</v>
      </c>
      <c r="D67" s="756" t="n">
        <f aca="false">C67*1000000</f>
        <v>4.58339466159241</v>
      </c>
      <c r="E67" s="756" t="n">
        <f aca="false">D67/304.6174</f>
        <v>0.0150463980770383</v>
      </c>
      <c r="F67" s="767" t="n">
        <f aca="false">10*LOG10(E67)</f>
        <v>-18.2256745239493</v>
      </c>
      <c r="G67" s="432" t="s">
        <v>258</v>
      </c>
      <c r="H67" s="432"/>
      <c r="I67" s="768" t="n">
        <f aca="false">(S7*B67)/79.76</f>
        <v>0.5470340561</v>
      </c>
      <c r="J67" s="42"/>
      <c r="K67" s="431"/>
      <c r="L67" s="19"/>
      <c r="M67" s="19"/>
      <c r="N67" s="19"/>
      <c r="O67" s="19"/>
      <c r="P67" s="19"/>
      <c r="Q67" s="703"/>
      <c r="R67" s="710"/>
      <c r="S67" s="710"/>
      <c r="T67" s="710"/>
      <c r="U67" s="775"/>
    </row>
    <row r="68" customFormat="false" ht="12" hidden="false" customHeight="true" outlineLevel="0" collapsed="false">
      <c r="A68" s="756"/>
      <c r="B68" s="756" t="n">
        <v>470</v>
      </c>
      <c r="C68" s="756" t="n">
        <f aca="false">((SIN(RADIANS(B68)))^2)/B68^2</f>
        <v>3.9973844344024E-006</v>
      </c>
      <c r="D68" s="756" t="n">
        <f aca="false">C68*1000000</f>
        <v>3.9973844344024</v>
      </c>
      <c r="E68" s="756" t="n">
        <f aca="false">D68/304.6174</f>
        <v>0.0131226398570876</v>
      </c>
      <c r="F68" s="767" t="n">
        <f aca="false">10*LOG10(E68)</f>
        <v>-18.8197878995721</v>
      </c>
      <c r="G68" s="432" t="s">
        <v>258</v>
      </c>
      <c r="H68" s="432"/>
      <c r="I68" s="768" t="n">
        <f aca="false">(S7*B68)/79.76</f>
        <v>0.5589261008</v>
      </c>
      <c r="J68" s="42"/>
      <c r="K68" s="431"/>
      <c r="L68" s="19"/>
      <c r="M68" s="19"/>
      <c r="N68" s="19"/>
      <c r="O68" s="19"/>
      <c r="P68" s="19"/>
      <c r="Q68" s="703"/>
      <c r="R68" s="710"/>
      <c r="S68" s="710"/>
      <c r="T68" s="710"/>
      <c r="U68" s="775"/>
    </row>
    <row r="69" customFormat="false" ht="12" hidden="false" customHeight="true" outlineLevel="0" collapsed="false">
      <c r="A69" s="756"/>
      <c r="B69" s="756" t="n">
        <v>480</v>
      </c>
      <c r="C69" s="756" t="n">
        <f aca="false">((SIN(RADIANS(B69)))^2)/B69^2</f>
        <v>3.25520833333334E-006</v>
      </c>
      <c r="D69" s="756" t="n">
        <f aca="false">C69*1000000</f>
        <v>3.25520833333334</v>
      </c>
      <c r="E69" s="756" t="n">
        <f aca="false">D69/304.6174</f>
        <v>0.0106862192814112</v>
      </c>
      <c r="F69" s="767" t="n">
        <f aca="false">10*LOG10(E69)</f>
        <v>-19.7117591833113</v>
      </c>
      <c r="G69" s="432" t="s">
        <v>258</v>
      </c>
      <c r="H69" s="432"/>
      <c r="I69" s="768" t="n">
        <f aca="false">(S7*B69)/79.76</f>
        <v>0.5708181455</v>
      </c>
      <c r="J69" s="42"/>
      <c r="K69" s="431"/>
      <c r="L69" s="19"/>
      <c r="M69" s="19"/>
      <c r="N69" s="19"/>
      <c r="O69" s="19"/>
      <c r="P69" s="19"/>
      <c r="Q69" s="703"/>
      <c r="R69" s="710"/>
      <c r="S69" s="710"/>
      <c r="T69" s="710"/>
      <c r="U69" s="775"/>
    </row>
    <row r="70" customFormat="false" ht="12" hidden="false" customHeight="true" outlineLevel="0" collapsed="false">
      <c r="A70" s="756"/>
      <c r="B70" s="756" t="n">
        <v>490</v>
      </c>
      <c r="C70" s="756" t="n">
        <f aca="false">((SIN(RADIANS(B70)))^2)/B70^2</f>
        <v>2.44408200263834E-006</v>
      </c>
      <c r="D70" s="756" t="n">
        <f aca="false">C70*1000000</f>
        <v>2.44408200263834</v>
      </c>
      <c r="E70" s="756" t="n">
        <f aca="false">D70/304.6174</f>
        <v>0.00802344843938113</v>
      </c>
      <c r="F70" s="767" t="n">
        <f aca="false">10*LOG10(E70)</f>
        <v>-20.9563893392164</v>
      </c>
      <c r="G70" s="432" t="s">
        <v>258</v>
      </c>
      <c r="H70" s="432"/>
      <c r="I70" s="768" t="n">
        <f aca="false">(S7*B70)/79.76</f>
        <v>0.5827101902</v>
      </c>
      <c r="J70" s="42"/>
      <c r="K70" s="431"/>
      <c r="L70" s="19"/>
      <c r="M70" s="19"/>
      <c r="N70" s="19"/>
      <c r="O70" s="19"/>
      <c r="P70" s="19"/>
      <c r="Q70" s="703"/>
      <c r="R70" s="710"/>
      <c r="S70" s="710"/>
      <c r="T70" s="710"/>
      <c r="U70" s="775"/>
    </row>
    <row r="71" customFormat="false" ht="12" hidden="false" customHeight="true" outlineLevel="0" collapsed="false">
      <c r="A71" s="756"/>
      <c r="B71" s="756" t="n">
        <v>500</v>
      </c>
      <c r="C71" s="756" t="n">
        <f aca="false">((SIN(RADIANS(B71)))^2)/B71^2</f>
        <v>1.65270364466614E-006</v>
      </c>
      <c r="D71" s="756" t="n">
        <f aca="false">C71*1000000</f>
        <v>1.65270364466614</v>
      </c>
      <c r="E71" s="756" t="n">
        <f aca="false">D71/304.6174</f>
        <v>0.0054255063718164</v>
      </c>
      <c r="F71" s="767" t="n">
        <f aca="false">10*LOG10(E71)</f>
        <v>-22.6555972213882</v>
      </c>
      <c r="G71" s="432" t="s">
        <v>258</v>
      </c>
      <c r="H71" s="432"/>
      <c r="I71" s="768" t="n">
        <f aca="false">(S7*B71)/79.76</f>
        <v>0.5946022349</v>
      </c>
      <c r="J71" s="42"/>
      <c r="K71" s="431"/>
      <c r="L71" s="19"/>
      <c r="M71" s="19"/>
      <c r="N71" s="19"/>
      <c r="O71" s="19"/>
      <c r="P71" s="19"/>
      <c r="Q71" s="703"/>
      <c r="R71" s="710"/>
      <c r="S71" s="710"/>
      <c r="T71" s="710"/>
      <c r="U71" s="775"/>
    </row>
    <row r="72" customFormat="false" ht="12" hidden="false" customHeight="true" outlineLevel="0" collapsed="false">
      <c r="A72" s="756"/>
      <c r="B72" s="756" t="n">
        <v>510</v>
      </c>
      <c r="C72" s="756" t="n">
        <f aca="false">((SIN(RADIANS(B72)))^2)/B72^2</f>
        <v>9.61168781237984E-007</v>
      </c>
      <c r="D72" s="756" t="n">
        <f aca="false">C72*1000000</f>
        <v>0.961168781237984</v>
      </c>
      <c r="E72" s="756" t="n">
        <f aca="false">D72/304.6174</f>
        <v>0.00315533118343858</v>
      </c>
      <c r="F72" s="767" t="n">
        <f aca="false">10*LOG10(E72)</f>
        <v>-25.0095505049549</v>
      </c>
      <c r="G72" s="432" t="s">
        <v>258</v>
      </c>
      <c r="H72" s="432"/>
      <c r="I72" s="768" t="n">
        <f aca="false">(S7*B72)/79.76</f>
        <v>0.6064942796</v>
      </c>
      <c r="J72" s="42"/>
      <c r="K72" s="431"/>
      <c r="L72" s="19"/>
      <c r="M72" s="19"/>
      <c r="N72" s="19"/>
      <c r="O72" s="19"/>
      <c r="P72" s="19"/>
      <c r="Q72" s="703"/>
      <c r="R72" s="710"/>
      <c r="S72" s="710"/>
      <c r="T72" s="710"/>
      <c r="U72" s="775"/>
    </row>
    <row r="73" customFormat="false" ht="12" hidden="false" customHeight="true" outlineLevel="0" collapsed="false">
      <c r="A73" s="756"/>
      <c r="B73" s="756" t="n">
        <v>520</v>
      </c>
      <c r="C73" s="756" t="n">
        <f aca="false">((SIN(RADIANS(B73)))^2)/B73^2</f>
        <v>4.32610127368754E-007</v>
      </c>
      <c r="D73" s="756" t="n">
        <f aca="false">C73*1000000</f>
        <v>0.432610127368754</v>
      </c>
      <c r="E73" s="756" t="n">
        <f aca="false">D73/304.6174</f>
        <v>0.00142017536545435</v>
      </c>
      <c r="F73" s="767" t="n">
        <f aca="false">10*LOG10(E73)</f>
        <v>-28.4765802495022</v>
      </c>
      <c r="G73" s="432" t="s">
        <v>258</v>
      </c>
      <c r="H73" s="432"/>
      <c r="I73" s="768" t="n">
        <f aca="false">(S7*B73)/79.76</f>
        <v>0.6183863243</v>
      </c>
      <c r="J73" s="42"/>
      <c r="K73" s="431"/>
      <c r="L73" s="19"/>
      <c r="M73" s="19"/>
      <c r="N73" s="19"/>
      <c r="O73" s="19"/>
      <c r="P73" s="19"/>
      <c r="Q73" s="703"/>
      <c r="R73" s="710"/>
      <c r="S73" s="710"/>
      <c r="T73" s="710"/>
      <c r="U73" s="775"/>
    </row>
    <row r="74" customFormat="false" ht="12" hidden="false" customHeight="true" outlineLevel="0" collapsed="false">
      <c r="A74" s="756"/>
      <c r="B74" s="756" t="n">
        <v>530</v>
      </c>
      <c r="C74" s="756" t="n">
        <f aca="false">((SIN(RADIANS(B74)))^2)/B74^2</f>
        <v>1.07346705614261E-007</v>
      </c>
      <c r="D74" s="756" t="n">
        <f aca="false">C74*1000000</f>
        <v>0.107346705614261</v>
      </c>
      <c r="E74" s="756" t="n">
        <f aca="false">D74/304.6174</f>
        <v>0.000352398469733708</v>
      </c>
      <c r="F74" s="767" t="n">
        <f aca="false">10*LOG10(E74)</f>
        <v>-34.5296598615003</v>
      </c>
      <c r="G74" s="432" t="s">
        <v>258</v>
      </c>
      <c r="H74" s="432"/>
      <c r="I74" s="768" t="n">
        <f aca="false">(S7*B74)/79.76</f>
        <v>0.630278369</v>
      </c>
      <c r="J74" s="42"/>
      <c r="K74" s="431"/>
      <c r="L74" s="19"/>
      <c r="M74" s="19"/>
      <c r="N74" s="19"/>
      <c r="O74" s="19"/>
      <c r="P74" s="19"/>
      <c r="Q74" s="703"/>
      <c r="R74" s="710"/>
      <c r="S74" s="761"/>
      <c r="T74" s="710"/>
      <c r="U74" s="775"/>
    </row>
    <row r="75" customFormat="false" ht="12" hidden="false" customHeight="true" outlineLevel="0" collapsed="false">
      <c r="A75" s="756"/>
      <c r="B75" s="756" t="n">
        <v>540</v>
      </c>
      <c r="C75" s="756" t="n">
        <f aca="false">((SIN(RADIANS(B75)))^2)/B75^2</f>
        <v>4.62888821809215E-037</v>
      </c>
      <c r="D75" s="756" t="n">
        <f aca="false">C75*1000000</f>
        <v>4.62888821809215E-031</v>
      </c>
      <c r="E75" s="756" t="n">
        <f aca="false">D75/304.6174</f>
        <v>1.51957446229012E-033</v>
      </c>
      <c r="F75" s="784" t="n">
        <f aca="false">10*LOG10(E75)</f>
        <v>-328.182780137352</v>
      </c>
      <c r="G75" s="432" t="s">
        <v>258</v>
      </c>
      <c r="H75" s="432"/>
      <c r="I75" s="785" t="n">
        <f aca="false">(S7*B75)/79.76</f>
        <v>0.6421704137</v>
      </c>
      <c r="J75" s="788" t="s">
        <v>975</v>
      </c>
      <c r="K75" s="431"/>
      <c r="L75" s="19"/>
      <c r="M75" s="19"/>
      <c r="N75" s="19"/>
      <c r="O75" s="19"/>
      <c r="P75" s="19"/>
      <c r="Q75" s="703"/>
      <c r="R75" s="710"/>
      <c r="S75" s="710"/>
      <c r="T75" s="710"/>
      <c r="U75" s="775"/>
    </row>
    <row r="76" customFormat="false" ht="12" hidden="false" customHeight="true" outlineLevel="0" collapsed="false">
      <c r="A76" s="756"/>
      <c r="B76" s="756" t="n">
        <v>550</v>
      </c>
      <c r="C76" s="756" t="n">
        <f aca="false">((SIN(RADIANS(B76)))^2)/B76^2</f>
        <v>9.9681618535688E-008</v>
      </c>
      <c r="D76" s="756" t="n">
        <f aca="false">C76*1000000</f>
        <v>0.099681618535688</v>
      </c>
      <c r="E76" s="756" t="n">
        <f aca="false">D76/304.6174</f>
        <v>0.00032723547156429</v>
      </c>
      <c r="F76" s="767" t="n">
        <f aca="false">10*LOG10(E76)</f>
        <v>-34.8513962593694</v>
      </c>
      <c r="G76" s="432" t="s">
        <v>258</v>
      </c>
      <c r="H76" s="432"/>
      <c r="I76" s="768" t="n">
        <f aca="false">(S7*B76)/79.76</f>
        <v>0.6540624584</v>
      </c>
      <c r="J76" s="42"/>
      <c r="K76" s="431"/>
      <c r="L76" s="19"/>
      <c r="M76" s="19"/>
      <c r="N76" s="19"/>
      <c r="O76" s="19"/>
      <c r="P76" s="19"/>
      <c r="Q76" s="703"/>
      <c r="R76" s="710"/>
      <c r="S76" s="710"/>
      <c r="T76" s="710"/>
      <c r="U76" s="775"/>
    </row>
    <row r="77" customFormat="false" ht="12" hidden="false" customHeight="true" outlineLevel="0" collapsed="false">
      <c r="A77" s="756"/>
      <c r="B77" s="756" t="n">
        <v>560</v>
      </c>
      <c r="C77" s="756" t="n">
        <f aca="false">((SIN(RADIANS(B77)))^2)/B77^2</f>
        <v>3.73015875129179E-007</v>
      </c>
      <c r="D77" s="756" t="n">
        <f aca="false">C77*1000000</f>
        <v>0.373015875129179</v>
      </c>
      <c r="E77" s="756" t="n">
        <f aca="false">D77/304.6174</f>
        <v>0.00122453896307033</v>
      </c>
      <c r="F77" s="767" t="n">
        <f aca="false">10*LOG10(E77)</f>
        <v>-29.1202739169302</v>
      </c>
      <c r="G77" s="432" t="s">
        <v>258</v>
      </c>
      <c r="H77" s="432"/>
      <c r="I77" s="768" t="n">
        <f aca="false">(S7*B77)/79.76</f>
        <v>0.6659545031</v>
      </c>
      <c r="J77" s="42"/>
      <c r="K77" s="431"/>
      <c r="L77" s="19"/>
      <c r="M77" s="19"/>
      <c r="N77" s="19"/>
      <c r="O77" s="19"/>
      <c r="P77" s="19"/>
      <c r="Q77" s="703"/>
      <c r="R77" s="710"/>
      <c r="S77" s="710"/>
      <c r="T77" s="710"/>
      <c r="U77" s="775"/>
    </row>
    <row r="78" customFormat="false" ht="12" hidden="false" customHeight="true" outlineLevel="0" collapsed="false">
      <c r="A78" s="756"/>
      <c r="B78" s="756" t="n">
        <v>570</v>
      </c>
      <c r="C78" s="756" t="n">
        <f aca="false">((SIN(RADIANS(B78)))^2)/B78^2</f>
        <v>7.69467528470296E-007</v>
      </c>
      <c r="D78" s="756" t="n">
        <f aca="false">C78*1000000</f>
        <v>0.769467528470296</v>
      </c>
      <c r="E78" s="756" t="n">
        <f aca="false">D78/304.6174</f>
        <v>0.00252601305266966</v>
      </c>
      <c r="F78" s="767" t="n">
        <f aca="false">10*LOG10(E78)</f>
        <v>-25.975644096446</v>
      </c>
      <c r="G78" s="432" t="s">
        <v>258</v>
      </c>
      <c r="H78" s="432"/>
      <c r="I78" s="768" t="n">
        <f aca="false">(S7*B78)/79.76</f>
        <v>0.6778465478</v>
      </c>
      <c r="J78" s="42"/>
      <c r="K78" s="431"/>
      <c r="L78" s="19"/>
      <c r="M78" s="19"/>
      <c r="N78" s="19"/>
      <c r="O78" s="19"/>
      <c r="P78" s="19"/>
      <c r="Q78" s="703"/>
      <c r="R78" s="710"/>
      <c r="S78" s="710"/>
      <c r="T78" s="710"/>
      <c r="U78" s="775"/>
    </row>
    <row r="79" customFormat="false" ht="12" hidden="false" customHeight="true" outlineLevel="0" collapsed="false">
      <c r="A79" s="756"/>
      <c r="B79" s="756" t="n">
        <v>580</v>
      </c>
      <c r="C79" s="756" t="n">
        <f aca="false">((SIN(RADIANS(B79)))^2)/B79^2</f>
        <v>1.22822803557234E-006</v>
      </c>
      <c r="D79" s="756" t="n">
        <f aca="false">C79*1000000</f>
        <v>1.22822803557234</v>
      </c>
      <c r="E79" s="756" t="n">
        <f aca="false">D79/304.6174</f>
        <v>0.00403203505634393</v>
      </c>
      <c r="F79" s="767" t="n">
        <f aca="false">10*LOG10(E79)</f>
        <v>-23.9447570059266</v>
      </c>
      <c r="G79" s="432" t="s">
        <v>258</v>
      </c>
      <c r="H79" s="432"/>
      <c r="I79" s="768" t="n">
        <f aca="false">(S7*B79)/79.76</f>
        <v>0.6897385925</v>
      </c>
      <c r="J79" s="42"/>
      <c r="K79" s="431"/>
      <c r="L79" s="19"/>
      <c r="M79" s="19"/>
      <c r="N79" s="19"/>
      <c r="O79" s="19"/>
      <c r="P79" s="19"/>
      <c r="Q79" s="703"/>
      <c r="R79" s="710"/>
      <c r="S79" s="710"/>
      <c r="T79" s="710"/>
      <c r="U79" s="775"/>
    </row>
    <row r="80" customFormat="false" ht="12" hidden="false" customHeight="true" outlineLevel="0" collapsed="false">
      <c r="A80" s="756"/>
      <c r="B80" s="756" t="n">
        <v>590</v>
      </c>
      <c r="C80" s="756" t="n">
        <f aca="false">((SIN(RADIANS(B80)))^2)/B80^2</f>
        <v>1.68579169443684E-006</v>
      </c>
      <c r="D80" s="756" t="n">
        <f aca="false">C80*1000000</f>
        <v>1.68579169443684</v>
      </c>
      <c r="E80" s="756" t="n">
        <f aca="false">D80/304.6174</f>
        <v>0.00553412803876876</v>
      </c>
      <c r="F80" s="767" t="n">
        <f aca="false">10*LOG10(E80)</f>
        <v>-22.569507971489</v>
      </c>
      <c r="G80" s="432" t="s">
        <v>258</v>
      </c>
      <c r="H80" s="432"/>
      <c r="I80" s="768" t="n">
        <f aca="false">(S7*B80)/79.76</f>
        <v>0.7016306372</v>
      </c>
      <c r="J80" s="42"/>
      <c r="K80" s="431"/>
      <c r="L80" s="19"/>
      <c r="M80" s="19"/>
      <c r="N80" s="19"/>
      <c r="O80" s="19"/>
      <c r="P80" s="19"/>
      <c r="Q80" s="703"/>
      <c r="R80" s="710"/>
      <c r="S80" s="710"/>
      <c r="T80" s="710"/>
      <c r="U80" s="775"/>
    </row>
    <row r="81" customFormat="false" ht="12" hidden="false" customHeight="true" outlineLevel="0" collapsed="false">
      <c r="A81" s="756"/>
      <c r="B81" s="756" t="n">
        <v>600</v>
      </c>
      <c r="C81" s="756" t="n">
        <f aca="false">((SIN(RADIANS(B81)))^2)/B81^2</f>
        <v>2.08333333333333E-006</v>
      </c>
      <c r="D81" s="756" t="n">
        <f aca="false">C81*1000000</f>
        <v>2.08333333333333</v>
      </c>
      <c r="E81" s="756" t="n">
        <f aca="false">D81/304.6174</f>
        <v>0.00683918034010314</v>
      </c>
      <c r="F81" s="767" t="n">
        <f aca="false">10*LOG10(E81)</f>
        <v>-21.6499594434724</v>
      </c>
      <c r="G81" s="432" t="s">
        <v>258</v>
      </c>
      <c r="H81" s="432"/>
      <c r="I81" s="768" t="n">
        <f aca="false">(S7*B81)/79.76</f>
        <v>0.7135226819</v>
      </c>
      <c r="J81" s="42"/>
      <c r="K81" s="431"/>
      <c r="L81" s="19"/>
      <c r="M81" s="19"/>
      <c r="N81" s="19"/>
      <c r="O81" s="19"/>
      <c r="P81" s="19"/>
      <c r="Q81" s="703"/>
      <c r="R81" s="710"/>
      <c r="S81" s="710"/>
      <c r="T81" s="710"/>
      <c r="U81" s="775"/>
    </row>
    <row r="82" customFormat="false" ht="12" hidden="false" customHeight="true" outlineLevel="0" collapsed="false">
      <c r="A82" s="756"/>
      <c r="B82" s="756" t="n">
        <v>610</v>
      </c>
      <c r="C82" s="756" t="n">
        <f aca="false">((SIN(RADIANS(B82)))^2)/B82^2</f>
        <v>2.37307772523378E-006</v>
      </c>
      <c r="D82" s="756" t="n">
        <f aca="false">C82*1000000</f>
        <v>2.37307772523378</v>
      </c>
      <c r="E82" s="756" t="n">
        <f aca="false">D82/304.6174</f>
        <v>0.00779035513149866</v>
      </c>
      <c r="F82" s="767" t="n">
        <f aca="false">10*LOG10(E82)</f>
        <v>-21.0844274410731</v>
      </c>
      <c r="G82" s="432" t="s">
        <v>258</v>
      </c>
      <c r="H82" s="432"/>
      <c r="I82" s="768" t="n">
        <f aca="false">(S7*B82)/79.76</f>
        <v>0.7254147266</v>
      </c>
      <c r="J82" s="42"/>
      <c r="K82" s="431"/>
      <c r="L82" s="19"/>
      <c r="M82" s="19"/>
      <c r="N82" s="19"/>
      <c r="O82" s="19"/>
      <c r="P82" s="19"/>
      <c r="Q82" s="703"/>
      <c r="R82" s="710"/>
      <c r="S82" s="761"/>
      <c r="T82" s="710"/>
      <c r="U82" s="775"/>
    </row>
    <row r="83" customFormat="false" ht="12" hidden="false" customHeight="true" outlineLevel="0" collapsed="false">
      <c r="A83" s="756"/>
      <c r="B83" s="756" t="n">
        <v>620</v>
      </c>
      <c r="C83" s="756" t="n">
        <f aca="false">((SIN(RADIANS(B83)))^2)/B83^2</f>
        <v>2.52301329446658E-006</v>
      </c>
      <c r="D83" s="756" t="n">
        <f aca="false">C83*1000000</f>
        <v>2.52301329446658</v>
      </c>
      <c r="E83" s="756" t="n">
        <f aca="false">D83/304.6174</f>
        <v>0.00828256460224065</v>
      </c>
      <c r="F83" s="786" t="n">
        <f aca="false">10*LOG10(E83)</f>
        <v>-20.8183516802829</v>
      </c>
      <c r="G83" s="432" t="s">
        <v>258</v>
      </c>
      <c r="H83" s="432"/>
      <c r="I83" s="787" t="n">
        <f aca="false">(S7*B83)/79.76</f>
        <v>0.7373067713</v>
      </c>
      <c r="J83" s="788" t="s">
        <v>976</v>
      </c>
      <c r="K83" s="789"/>
      <c r="L83" s="19"/>
      <c r="M83" s="19"/>
      <c r="N83" s="19"/>
      <c r="O83" s="19"/>
      <c r="P83" s="19"/>
      <c r="Q83" s="703"/>
      <c r="R83" s="710"/>
      <c r="S83" s="710"/>
      <c r="T83" s="710"/>
      <c r="U83" s="775"/>
    </row>
    <row r="84" customFormat="false" ht="12" hidden="false" customHeight="true" outlineLevel="0" collapsed="false">
      <c r="A84" s="756"/>
      <c r="B84" s="756" t="n">
        <v>630</v>
      </c>
      <c r="C84" s="756" t="n">
        <f aca="false">((SIN(RADIANS(B84)))^2)/B84^2</f>
        <v>2.51952632905014E-006</v>
      </c>
      <c r="D84" s="756" t="n">
        <f aca="false">C84*1000000</f>
        <v>2.51952632905014</v>
      </c>
      <c r="E84" s="756" t="n">
        <f aca="false">D84/304.6174</f>
        <v>0.00827111756928573</v>
      </c>
      <c r="F84" s="767" t="n">
        <f aca="false">10*LOG10(E84)</f>
        <v>-20.8243580587882</v>
      </c>
      <c r="G84" s="432" t="s">
        <v>258</v>
      </c>
      <c r="H84" s="432"/>
      <c r="I84" s="768" t="n">
        <f aca="false">(S7*B84)/79.76</f>
        <v>0.749198816</v>
      </c>
      <c r="J84" s="42"/>
      <c r="K84" s="431"/>
      <c r="L84" s="19"/>
      <c r="M84" s="19"/>
      <c r="N84" s="19"/>
      <c r="O84" s="19"/>
      <c r="P84" s="19"/>
      <c r="Q84" s="703"/>
      <c r="R84" s="710"/>
      <c r="S84" s="710"/>
      <c r="T84" s="710"/>
      <c r="U84" s="775"/>
    </row>
    <row r="85" customFormat="false" ht="12" hidden="false" customHeight="true" outlineLevel="0" collapsed="false">
      <c r="A85" s="756"/>
      <c r="B85" s="756" t="n">
        <v>640</v>
      </c>
      <c r="C85" s="756" t="n">
        <f aca="false">((SIN(RADIANS(B85)))^2)/B85^2</f>
        <v>2.3677888437328E-006</v>
      </c>
      <c r="D85" s="756" t="n">
        <f aca="false">C85*1000000</f>
        <v>2.3677888437328</v>
      </c>
      <c r="E85" s="756" t="n">
        <f aca="false">D85/304.6174</f>
        <v>0.00777299275659499</v>
      </c>
      <c r="F85" s="767" t="n">
        <f aca="false">10*LOG10(E85)</f>
        <v>-21.0941173699955</v>
      </c>
      <c r="G85" s="432" t="s">
        <v>258</v>
      </c>
      <c r="H85" s="432"/>
      <c r="I85" s="768" t="n">
        <f aca="false">(S7*B85)/79.76</f>
        <v>0.7610908607</v>
      </c>
      <c r="J85" s="42"/>
      <c r="K85" s="431"/>
      <c r="L85" s="19"/>
      <c r="M85" s="19"/>
      <c r="N85" s="19"/>
      <c r="O85" s="19"/>
      <c r="P85" s="19"/>
      <c r="Q85" s="703"/>
      <c r="R85" s="710"/>
      <c r="S85" s="710"/>
      <c r="T85" s="710"/>
      <c r="U85" s="775"/>
    </row>
    <row r="86" customFormat="false" ht="12" hidden="false" customHeight="true" outlineLevel="0" collapsed="false">
      <c r="A86" s="756"/>
      <c r="B86" s="756" t="n">
        <v>650</v>
      </c>
      <c r="C86" s="756" t="n">
        <f aca="false">((SIN(RADIANS(B86)))^2)/B86^2</f>
        <v>2.08999342380944E-006</v>
      </c>
      <c r="D86" s="756" t="n">
        <f aca="false">C86*1000000</f>
        <v>2.08999342380944</v>
      </c>
      <c r="E86" s="756" t="n">
        <f aca="false">D86/304.6174</f>
        <v>0.00686104412882995</v>
      </c>
      <c r="F86" s="767" t="n">
        <f aca="false">10*LOG10(E86)</f>
        <v>-21.6360978737149</v>
      </c>
      <c r="G86" s="432" t="s">
        <v>258</v>
      </c>
      <c r="H86" s="432"/>
      <c r="I86" s="768" t="n">
        <f aca="false">(S7*B86)/79.76</f>
        <v>0.7729829054</v>
      </c>
      <c r="J86" s="42"/>
      <c r="K86" s="431"/>
      <c r="L86" s="19"/>
      <c r="M86" s="19"/>
      <c r="N86" s="19"/>
      <c r="O86" s="19"/>
      <c r="P86" s="19"/>
      <c r="Q86" s="703"/>
      <c r="R86" s="710"/>
      <c r="S86" s="710"/>
      <c r="T86" s="710"/>
      <c r="U86" s="775"/>
    </row>
    <row r="87" customFormat="false" ht="12" hidden="false" customHeight="true" outlineLevel="0" collapsed="false">
      <c r="A87" s="756"/>
      <c r="B87" s="756" t="n">
        <v>670</v>
      </c>
      <c r="C87" s="756" t="n">
        <f aca="false">((SIN(RADIANS(B87)))^2)/B87^2</f>
        <v>1.30724902836593E-006</v>
      </c>
      <c r="D87" s="756" t="n">
        <f aca="false">C87*1000000</f>
        <v>1.30724902836593</v>
      </c>
      <c r="E87" s="756" t="n">
        <f aca="false">D87/304.6174</f>
        <v>0.00429144569012121</v>
      </c>
      <c r="F87" s="767" t="n">
        <f aca="false">10*LOG10(E87)</f>
        <v>-23.6739637926627</v>
      </c>
      <c r="G87" s="432" t="s">
        <v>258</v>
      </c>
      <c r="H87" s="432"/>
      <c r="I87" s="768" t="n">
        <f aca="false">(S7*B87)/79.76</f>
        <v>0.7967669948</v>
      </c>
      <c r="J87" s="42"/>
      <c r="K87" s="431"/>
      <c r="L87" s="19"/>
      <c r="M87" s="19"/>
      <c r="N87" s="19"/>
      <c r="O87" s="19"/>
      <c r="P87" s="19"/>
      <c r="Q87" s="703"/>
      <c r="R87" s="710"/>
      <c r="S87" s="710"/>
      <c r="T87" s="710"/>
      <c r="U87" s="775"/>
    </row>
    <row r="88" customFormat="false" ht="12" hidden="false" customHeight="true" outlineLevel="0" collapsed="false">
      <c r="A88" s="756"/>
      <c r="B88" s="756" t="n">
        <v>680</v>
      </c>
      <c r="C88" s="756" t="n">
        <f aca="false">((SIN(RADIANS(B88)))^2)/B88^2</f>
        <v>8.93546520688876E-007</v>
      </c>
      <c r="D88" s="756" t="n">
        <f aca="false">C88*1000000</f>
        <v>0.893546520688876</v>
      </c>
      <c r="E88" s="756" t="n">
        <f aca="false">D88/304.6174</f>
        <v>0.0029333403826862</v>
      </c>
      <c r="F88" s="767" t="n">
        <f aca="false">10*LOG10(E88)</f>
        <v>-25.3263753887925</v>
      </c>
      <c r="G88" s="432" t="s">
        <v>258</v>
      </c>
      <c r="H88" s="432"/>
      <c r="I88" s="768" t="n">
        <f aca="false">(S7*B88)/79.76</f>
        <v>0.8086590394</v>
      </c>
      <c r="J88" s="42"/>
      <c r="K88" s="431"/>
      <c r="L88" s="19"/>
      <c r="M88" s="19"/>
      <c r="N88" s="19"/>
      <c r="O88" s="19"/>
      <c r="P88" s="19"/>
      <c r="Q88" s="703"/>
      <c r="R88" s="710"/>
      <c r="S88" s="710"/>
      <c r="T88" s="710"/>
      <c r="U88" s="775"/>
    </row>
    <row r="89" customFormat="false" ht="12" hidden="false" customHeight="true" outlineLevel="0" collapsed="false">
      <c r="A89" s="756"/>
      <c r="B89" s="756" t="n">
        <v>690</v>
      </c>
      <c r="C89" s="756" t="n">
        <f aca="false">((SIN(RADIANS(B89)))^2)/B89^2</f>
        <v>5.25099768956101E-007</v>
      </c>
      <c r="D89" s="756" t="n">
        <f aca="false">C89*1000000</f>
        <v>0.525099768956101</v>
      </c>
      <c r="E89" s="756" t="n">
        <f aca="false">D89/304.6174</f>
        <v>0.00172380096788989</v>
      </c>
      <c r="F89" s="767" t="n">
        <f aca="false">10*LOG10(E89)</f>
        <v>-27.6351287977412</v>
      </c>
      <c r="G89" s="432" t="s">
        <v>258</v>
      </c>
      <c r="H89" s="432"/>
      <c r="I89" s="768" t="n">
        <f aca="false">(S7*B89)/79.76</f>
        <v>0.8205510841</v>
      </c>
      <c r="J89" s="42"/>
      <c r="K89" s="431"/>
      <c r="L89" s="19"/>
      <c r="M89" s="19"/>
      <c r="N89" s="19"/>
      <c r="O89" s="19"/>
      <c r="P89" s="19"/>
      <c r="Q89" s="703"/>
      <c r="R89" s="710"/>
      <c r="S89" s="710"/>
      <c r="T89" s="710"/>
      <c r="U89" s="775"/>
    </row>
    <row r="90" customFormat="false" ht="12" hidden="false" customHeight="true" outlineLevel="0" collapsed="false">
      <c r="A90" s="756"/>
      <c r="B90" s="756" t="n">
        <v>700</v>
      </c>
      <c r="C90" s="756" t="n">
        <f aca="false">((SIN(RADIANS(B90)))^2)/B90^2</f>
        <v>2.38730160082676E-007</v>
      </c>
      <c r="D90" s="756" t="n">
        <f aca="false">C90*1000000</f>
        <v>0.238730160082676</v>
      </c>
      <c r="E90" s="756" t="n">
        <f aca="false">D90/304.6174</f>
        <v>0.000783704936365013</v>
      </c>
      <c r="F90" s="767" t="n">
        <f aca="false">10*LOG10(E90)</f>
        <v>-31.0584741770913</v>
      </c>
      <c r="G90" s="432" t="s">
        <v>258</v>
      </c>
      <c r="H90" s="432"/>
      <c r="I90" s="768" t="n">
        <f aca="false">(S7*B90)/79.76</f>
        <v>0.8324431288</v>
      </c>
      <c r="J90" s="42"/>
      <c r="K90" s="431"/>
      <c r="L90" s="19"/>
      <c r="M90" s="19"/>
      <c r="N90" s="19"/>
      <c r="O90" s="19"/>
      <c r="P90" s="19"/>
      <c r="Q90" s="703"/>
      <c r="R90" s="710"/>
      <c r="S90" s="710"/>
      <c r="T90" s="710"/>
      <c r="U90" s="775"/>
    </row>
    <row r="91" customFormat="false" ht="12" hidden="false" customHeight="true" outlineLevel="0" collapsed="false">
      <c r="A91" s="756"/>
      <c r="B91" s="756" t="n">
        <v>710</v>
      </c>
      <c r="C91" s="756" t="n">
        <f aca="false">((SIN(RADIANS(B91)))^2)/B91^2</f>
        <v>5.98168807916007E-008</v>
      </c>
      <c r="D91" s="756" t="n">
        <f aca="false">C91*1000000</f>
        <v>0.0598168807916007</v>
      </c>
      <c r="E91" s="756" t="n">
        <f aca="false">D91/304.6174</f>
        <v>0.00019636724885578</v>
      </c>
      <c r="F91" s="767" t="n">
        <f aca="false">10*LOG10(E91)</f>
        <v>-37.069309443866</v>
      </c>
      <c r="G91" s="432" t="s">
        <v>258</v>
      </c>
      <c r="H91" s="432"/>
      <c r="I91" s="768" t="n">
        <f aca="false">(S7*B91)/79.76</f>
        <v>0.8443351735</v>
      </c>
      <c r="J91" s="42"/>
      <c r="K91" s="431"/>
      <c r="L91" s="19"/>
      <c r="M91" s="19"/>
      <c r="N91" s="19"/>
      <c r="O91" s="19"/>
      <c r="P91" s="19"/>
      <c r="Q91" s="703"/>
      <c r="R91" s="710"/>
      <c r="S91" s="761"/>
      <c r="T91" s="710"/>
      <c r="U91" s="775"/>
    </row>
    <row r="92" customFormat="false" ht="12" hidden="false" customHeight="true" outlineLevel="0" collapsed="false">
      <c r="A92" s="756"/>
      <c r="B92" s="756" t="n">
        <v>720</v>
      </c>
      <c r="C92" s="756" t="n">
        <f aca="false">((SIN(RADIANS(B92)))^2)/B92^2</f>
        <v>4.62888821809215E-037</v>
      </c>
      <c r="D92" s="756" t="n">
        <f aca="false">C92*1000000</f>
        <v>4.62888821809215E-031</v>
      </c>
      <c r="E92" s="756" t="n">
        <f aca="false">D92/304.6174</f>
        <v>1.51957446229012E-033</v>
      </c>
      <c r="F92" s="784" t="n">
        <f aca="false">10*LOG10(E92)</f>
        <v>-328.182780137352</v>
      </c>
      <c r="G92" s="432" t="s">
        <v>258</v>
      </c>
      <c r="H92" s="432"/>
      <c r="I92" s="785" t="n">
        <f aca="false">(S7*B92)/79.76</f>
        <v>0.8562272182</v>
      </c>
      <c r="J92" s="788" t="s">
        <v>977</v>
      </c>
      <c r="K92" s="431"/>
      <c r="L92" s="19"/>
      <c r="M92" s="19"/>
      <c r="N92" s="19"/>
      <c r="O92" s="19"/>
      <c r="P92" s="19"/>
      <c r="Q92" s="703"/>
      <c r="R92" s="710"/>
      <c r="S92" s="710"/>
      <c r="T92" s="710"/>
      <c r="U92" s="775"/>
    </row>
    <row r="93" customFormat="false" ht="12" hidden="false" customHeight="true" outlineLevel="0" collapsed="false">
      <c r="A93" s="756"/>
      <c r="B93" s="756" t="n">
        <v>730</v>
      </c>
      <c r="C93" s="756" t="n">
        <f aca="false">((SIN(RADIANS(B93)))^2)/B93^2</f>
        <v>5.65841426290966E-008</v>
      </c>
      <c r="D93" s="756" t="n">
        <f aca="false">C93*1000000</f>
        <v>0.0565841426290966</v>
      </c>
      <c r="E93" s="756" t="n">
        <f aca="false">D93/304.6174</f>
        <v>0.000185754794798644</v>
      </c>
      <c r="F93" s="767" t="n">
        <f aca="false">10*LOG10(E93)</f>
        <v>-37.3105996718937</v>
      </c>
      <c r="G93" s="432" t="s">
        <v>258</v>
      </c>
      <c r="H93" s="432"/>
      <c r="I93" s="768" t="n">
        <f aca="false">(S7*B93)/79.76</f>
        <v>0.8681192629</v>
      </c>
      <c r="J93" s="42"/>
      <c r="K93" s="431"/>
      <c r="L93" s="19"/>
      <c r="M93" s="19"/>
      <c r="N93" s="19"/>
      <c r="O93" s="19"/>
      <c r="P93" s="19"/>
      <c r="Q93" s="703"/>
      <c r="R93" s="710"/>
      <c r="S93" s="710"/>
      <c r="T93" s="710"/>
      <c r="U93" s="775"/>
    </row>
    <row r="94" customFormat="false" ht="12" hidden="false" customHeight="true" outlineLevel="0" collapsed="false">
      <c r="A94" s="756"/>
      <c r="B94" s="756" t="n">
        <v>740</v>
      </c>
      <c r="C94" s="756" t="n">
        <f aca="false">((SIN(RADIANS(B94)))^2)/B94^2</f>
        <v>2.13619025640085E-007</v>
      </c>
      <c r="D94" s="756" t="n">
        <f aca="false">C94*1000000</f>
        <v>0.213619025640085</v>
      </c>
      <c r="E94" s="756" t="n">
        <f aca="false">D94/304.6174</f>
        <v>0.000701269939406235</v>
      </c>
      <c r="F94" s="767" t="n">
        <f aca="false">10*LOG10(E94)</f>
        <v>-31.5411477714257</v>
      </c>
      <c r="G94" s="432" t="s">
        <v>258</v>
      </c>
      <c r="H94" s="432"/>
      <c r="I94" s="768" t="n">
        <f aca="false">(S7*B94)/79.76</f>
        <v>0.8800113076</v>
      </c>
      <c r="J94" s="42"/>
      <c r="K94" s="431"/>
      <c r="L94" s="19"/>
      <c r="M94" s="19"/>
      <c r="N94" s="19"/>
      <c r="O94" s="19"/>
      <c r="P94" s="19"/>
      <c r="Q94" s="703"/>
      <c r="R94" s="710"/>
      <c r="S94" s="710"/>
      <c r="T94" s="710"/>
      <c r="U94" s="775"/>
    </row>
    <row r="95" customFormat="false" ht="12" hidden="false" customHeight="true" outlineLevel="0" collapsed="false">
      <c r="A95" s="756"/>
      <c r="B95" s="756" t="n">
        <v>750</v>
      </c>
      <c r="C95" s="756" t="n">
        <f aca="false">((SIN(RADIANS(B95)))^2)/B95^2</f>
        <v>4.44444444444445E-007</v>
      </c>
      <c r="D95" s="756" t="n">
        <f aca="false">C95*1000000</f>
        <v>0.444444444444445</v>
      </c>
      <c r="E95" s="756" t="n">
        <f aca="false">D95/304.6174</f>
        <v>0.00145902513922201</v>
      </c>
      <c r="F95" s="767" t="n">
        <f aca="false">10*LOG10(E95)</f>
        <v>-28.3593722508301</v>
      </c>
      <c r="G95" s="432" t="s">
        <v>258</v>
      </c>
      <c r="H95" s="432"/>
      <c r="I95" s="768" t="n">
        <f aca="false">(S7*B95)/79.76</f>
        <v>0.8919033523</v>
      </c>
      <c r="J95" s="42"/>
      <c r="K95" s="431"/>
      <c r="L95" s="19"/>
      <c r="M95" s="19"/>
      <c r="N95" s="19"/>
      <c r="O95" s="19"/>
      <c r="P95" s="19"/>
      <c r="Q95" s="703"/>
      <c r="R95" s="710"/>
      <c r="S95" s="710"/>
      <c r="T95" s="710"/>
      <c r="U95" s="775"/>
    </row>
    <row r="96" customFormat="false" ht="12" hidden="false" customHeight="true" outlineLevel="0" collapsed="false">
      <c r="A96" s="756"/>
      <c r="B96" s="756" t="n">
        <v>760</v>
      </c>
      <c r="C96" s="756" t="n">
        <f aca="false">((SIN(RADIANS(B96)))^2)/B96^2</f>
        <v>7.15332256174749E-007</v>
      </c>
      <c r="D96" s="756" t="n">
        <f aca="false">C96*1000000</f>
        <v>0.715332256174749</v>
      </c>
      <c r="E96" s="756" t="n">
        <f aca="false">D96/304.6174</f>
        <v>0.00234829742547454</v>
      </c>
      <c r="F96" s="767" t="n">
        <f aca="false">10*LOG10(E96)</f>
        <v>-26.2924689802836</v>
      </c>
      <c r="G96" s="432" t="s">
        <v>258</v>
      </c>
      <c r="H96" s="432"/>
      <c r="I96" s="768" t="n">
        <f aca="false">(S7*B96)/79.76</f>
        <v>0.903795397</v>
      </c>
      <c r="J96" s="42"/>
      <c r="K96" s="431"/>
      <c r="L96" s="19"/>
      <c r="M96" s="19"/>
      <c r="N96" s="19"/>
      <c r="O96" s="19"/>
      <c r="P96" s="19"/>
      <c r="Q96" s="703"/>
      <c r="R96" s="710"/>
      <c r="S96" s="710"/>
      <c r="T96" s="710"/>
      <c r="U96" s="775"/>
    </row>
    <row r="97" customFormat="false" ht="12" hidden="false" customHeight="true" outlineLevel="0" collapsed="false">
      <c r="A97" s="756"/>
      <c r="B97" s="756" t="n">
        <v>770</v>
      </c>
      <c r="C97" s="756" t="n">
        <f aca="false">((SIN(RADIANS(B97)))^2)/B97^2</f>
        <v>9.89752215944449E-007</v>
      </c>
      <c r="D97" s="756" t="n">
        <f aca="false">C97*1000000</f>
        <v>0.989752215944449</v>
      </c>
      <c r="E97" s="756" t="n">
        <f aca="false">D97/304.6174</f>
        <v>0.00324916507049318</v>
      </c>
      <c r="F97" s="767" t="n">
        <f aca="false">10*LOG10(E97)</f>
        <v>-24.8822822420958</v>
      </c>
      <c r="G97" s="432" t="s">
        <v>258</v>
      </c>
      <c r="H97" s="432"/>
      <c r="I97" s="768" t="n">
        <f aca="false">(S7*B97)/79.76</f>
        <v>0.9156874417</v>
      </c>
      <c r="J97" s="42"/>
      <c r="K97" s="431"/>
      <c r="L97" s="19"/>
      <c r="M97" s="19"/>
      <c r="N97" s="19"/>
      <c r="O97" s="19"/>
      <c r="P97" s="19"/>
      <c r="Q97" s="703"/>
      <c r="R97" s="710"/>
      <c r="S97" s="710"/>
      <c r="T97" s="710"/>
      <c r="U97" s="775"/>
    </row>
    <row r="98" customFormat="false" ht="12" hidden="false" customHeight="true" outlineLevel="0" collapsed="false">
      <c r="A98" s="756"/>
      <c r="B98" s="756" t="n">
        <v>780</v>
      </c>
      <c r="C98" s="756" t="n">
        <f aca="false">((SIN(RADIANS(B98)))^2)/B98^2</f>
        <v>1.232741617357E-006</v>
      </c>
      <c r="D98" s="756" t="n">
        <f aca="false">C98*1000000</f>
        <v>1.232741617357</v>
      </c>
      <c r="E98" s="756" t="n">
        <f aca="false">D98/304.6174</f>
        <v>0.00404685227225037</v>
      </c>
      <c r="F98" s="767" t="n">
        <f aca="false">10*LOG10(E98)</f>
        <v>-23.9288264896091</v>
      </c>
      <c r="G98" s="432" t="s">
        <v>258</v>
      </c>
      <c r="H98" s="432"/>
      <c r="I98" s="768" t="n">
        <f aca="false">(S7*B98)/79.76</f>
        <v>0.9275794864</v>
      </c>
      <c r="J98" s="42"/>
      <c r="K98" s="431"/>
      <c r="L98" s="19"/>
      <c r="M98" s="19"/>
      <c r="N98" s="19"/>
      <c r="O98" s="19"/>
      <c r="P98" s="19"/>
      <c r="Q98" s="703"/>
      <c r="R98" s="710"/>
      <c r="S98" s="710"/>
      <c r="T98" s="710"/>
      <c r="U98" s="775"/>
    </row>
    <row r="99" customFormat="false" ht="12" hidden="false" customHeight="true" outlineLevel="0" collapsed="false">
      <c r="A99" s="756"/>
      <c r="B99" s="756" t="n">
        <v>790</v>
      </c>
      <c r="C99" s="756" t="n">
        <f aca="false">((SIN(RADIANS(B99)))^2)/B99^2</f>
        <v>1.41487297157425E-006</v>
      </c>
      <c r="D99" s="756" t="n">
        <f aca="false">C99*1000000</f>
        <v>1.41487297157425</v>
      </c>
      <c r="E99" s="756" t="n">
        <f aca="false">D99/304.6174</f>
        <v>0.00464475427724828</v>
      </c>
      <c r="F99" s="767" t="n">
        <f aca="false">10*LOG10(E99)</f>
        <v>-23.3303725666666</v>
      </c>
      <c r="G99" s="432" t="s">
        <v>258</v>
      </c>
      <c r="H99" s="432"/>
      <c r="I99" s="768" t="n">
        <f aca="false">(S7*B99)/79.76</f>
        <v>0.9394715311</v>
      </c>
      <c r="J99" s="42"/>
      <c r="K99" s="431"/>
      <c r="L99" s="19"/>
      <c r="M99" s="19"/>
      <c r="N99" s="19"/>
      <c r="O99" s="19"/>
      <c r="P99" s="19"/>
      <c r="Q99" s="703"/>
      <c r="R99" s="710"/>
      <c r="S99" s="710"/>
      <c r="T99" s="710"/>
      <c r="U99" s="775"/>
    </row>
    <row r="100" customFormat="false" ht="12" hidden="false" customHeight="true" outlineLevel="0" collapsed="false">
      <c r="A100" s="756"/>
      <c r="B100" s="756" t="n">
        <v>800</v>
      </c>
      <c r="C100" s="756" t="n">
        <f aca="false">((SIN(RADIANS(B100)))^2)/B100^2</f>
        <v>1.51538485998899E-006</v>
      </c>
      <c r="D100" s="756" t="n">
        <f aca="false">C100*1000000</f>
        <v>1.51538485998899</v>
      </c>
      <c r="E100" s="756" t="n">
        <f aca="false">D100/304.6174</f>
        <v>0.00497471536422079</v>
      </c>
      <c r="F100" s="767" t="n">
        <f aca="false">10*LOG10(E100)</f>
        <v>-23.0323176301567</v>
      </c>
      <c r="G100" s="432" t="s">
        <v>258</v>
      </c>
      <c r="H100" s="432"/>
      <c r="I100" s="768" t="n">
        <f aca="false">(S7*B100)/79.76</f>
        <v>0.9513635758</v>
      </c>
      <c r="J100" s="42"/>
      <c r="K100" s="431"/>
      <c r="L100" s="19"/>
      <c r="M100" s="19"/>
      <c r="N100" s="19"/>
      <c r="O100" s="19"/>
      <c r="P100" s="19"/>
      <c r="Q100" s="703"/>
      <c r="R100" s="710"/>
      <c r="S100" s="761"/>
      <c r="T100" s="710"/>
      <c r="U100" s="775"/>
    </row>
    <row r="101" customFormat="false" ht="12" hidden="false" customHeight="true" outlineLevel="0" collapsed="false">
      <c r="A101" s="756"/>
      <c r="B101" s="756" t="n">
        <v>810</v>
      </c>
      <c r="C101" s="756" t="n">
        <f aca="false">((SIN(RADIANS(B101)))^2)/B101^2</f>
        <v>1.52415790275873E-006</v>
      </c>
      <c r="D101" s="756" t="n">
        <f aca="false">C101*1000000</f>
        <v>1.52415790275873</v>
      </c>
      <c r="E101" s="756" t="n">
        <f aca="false">D101/304.6174</f>
        <v>0.00500351556660495</v>
      </c>
      <c r="F101" s="786" t="n">
        <f aca="false">10*LOG10(E101)</f>
        <v>-23.0072474472895</v>
      </c>
      <c r="G101" s="432" t="s">
        <v>258</v>
      </c>
      <c r="H101" s="432"/>
      <c r="I101" s="787" t="n">
        <f aca="false">(S7*B101)/79.76</f>
        <v>0.9632556205</v>
      </c>
      <c r="J101" s="788" t="s">
        <v>978</v>
      </c>
      <c r="K101" s="789"/>
      <c r="L101" s="19"/>
      <c r="M101" s="19"/>
      <c r="N101" s="19"/>
      <c r="O101" s="19"/>
      <c r="P101" s="19"/>
      <c r="Q101" s="703"/>
      <c r="R101" s="710"/>
      <c r="S101" s="710"/>
      <c r="T101" s="710"/>
      <c r="U101" s="775"/>
    </row>
    <row r="102" customFormat="false" ht="12" hidden="false" customHeight="true" outlineLevel="0" collapsed="false">
      <c r="A102" s="756"/>
      <c r="B102" s="756" t="n">
        <v>820</v>
      </c>
      <c r="C102" s="756" t="n">
        <f aca="false">((SIN(RADIANS(B102)))^2)/B102^2</f>
        <v>1.44236512551005E-006</v>
      </c>
      <c r="D102" s="756" t="n">
        <f aca="false">C102*1000000</f>
        <v>1.44236512551005</v>
      </c>
      <c r="E102" s="756" t="n">
        <f aca="false">D102/304.6174</f>
        <v>0.00473500570062658</v>
      </c>
      <c r="F102" s="767" t="n">
        <f aca="false">10*LOG10(E102)</f>
        <v>-23.2467949379921</v>
      </c>
      <c r="G102" s="432" t="s">
        <v>258</v>
      </c>
      <c r="H102" s="432"/>
      <c r="I102" s="768" t="n">
        <f aca="false">(S7*B102)/79.76</f>
        <v>0.9751476652</v>
      </c>
      <c r="J102" s="42"/>
      <c r="K102" s="431"/>
      <c r="L102" s="19"/>
      <c r="M102" s="19"/>
      <c r="N102" s="19"/>
      <c r="O102" s="19"/>
      <c r="P102" s="19"/>
      <c r="Q102" s="703"/>
      <c r="R102" s="710"/>
      <c r="S102" s="710"/>
      <c r="T102" s="710"/>
      <c r="U102" s="775"/>
    </row>
    <row r="103" customFormat="false" ht="12" hidden="false" customHeight="true" outlineLevel="0" collapsed="false">
      <c r="A103" s="756"/>
      <c r="B103" s="756" t="n">
        <v>830</v>
      </c>
      <c r="C103" s="756" t="n">
        <f aca="false">((SIN(RADIANS(B103)))^2)/B103^2</f>
        <v>1.28178577668673E-006</v>
      </c>
      <c r="D103" s="756" t="n">
        <f aca="false">C103*1000000</f>
        <v>1.28178577668673</v>
      </c>
      <c r="E103" s="756" t="n">
        <f aca="false">D103/304.6174</f>
        <v>0.00420785476038707</v>
      </c>
      <c r="F103" s="767" t="n">
        <f aca="false">10*LOG10(E103)</f>
        <v>-23.7593925883793</v>
      </c>
      <c r="G103" s="432" t="s">
        <v>258</v>
      </c>
      <c r="H103" s="432"/>
      <c r="I103" s="768" t="n">
        <f aca="false">(S7*B103)/79.76</f>
        <v>0.9870397099</v>
      </c>
      <c r="J103" s="42"/>
      <c r="K103" s="431"/>
      <c r="L103" s="19"/>
      <c r="M103" s="19"/>
      <c r="N103" s="19"/>
      <c r="O103" s="19"/>
      <c r="P103" s="19"/>
      <c r="Q103" s="703"/>
      <c r="R103" s="710"/>
      <c r="S103" s="710"/>
      <c r="T103" s="710"/>
      <c r="U103" s="775"/>
    </row>
    <row r="104" customFormat="false" ht="12" hidden="false" customHeight="true" outlineLevel="0" collapsed="false">
      <c r="A104" s="756"/>
      <c r="B104" s="756" t="n">
        <v>840</v>
      </c>
      <c r="C104" s="756" t="n">
        <f aca="false">((SIN(RADIANS(B104)))^2)/B104^2</f>
        <v>1.06292517006803E-006</v>
      </c>
      <c r="D104" s="756" t="n">
        <f aca="false">C104*1000000</f>
        <v>1.06292517006803</v>
      </c>
      <c r="E104" s="756" t="n">
        <f aca="false">D104/304.6174</f>
        <v>0.00348937772454241</v>
      </c>
      <c r="F104" s="767" t="n">
        <f aca="false">10*LOG10(E104)</f>
        <v>-24.5725201570372</v>
      </c>
      <c r="G104" s="432" t="s">
        <v>258</v>
      </c>
      <c r="H104" s="432"/>
      <c r="I104" s="768" t="n">
        <f aca="false">(S7*B104)/79.76</f>
        <v>0.9989317546</v>
      </c>
      <c r="J104" s="42"/>
      <c r="K104" s="431"/>
      <c r="L104" s="19"/>
      <c r="M104" s="19"/>
      <c r="N104" s="19"/>
      <c r="O104" s="19"/>
      <c r="P104" s="19"/>
      <c r="Q104" s="703"/>
      <c r="R104" s="710"/>
      <c r="S104" s="710"/>
      <c r="T104" s="710"/>
      <c r="U104" s="775"/>
    </row>
    <row r="105" customFormat="false" ht="12" hidden="false" customHeight="true" outlineLevel="0" collapsed="false">
      <c r="A105" s="756"/>
      <c r="B105" s="756"/>
      <c r="C105" s="756"/>
      <c r="D105" s="756"/>
      <c r="E105" s="756"/>
      <c r="F105" s="453"/>
      <c r="G105" s="42"/>
      <c r="H105" s="42"/>
      <c r="I105" s="42"/>
      <c r="J105" s="42"/>
      <c r="K105" s="431"/>
      <c r="L105" s="19"/>
      <c r="M105" s="19"/>
      <c r="N105" s="19"/>
      <c r="O105" s="19"/>
      <c r="P105" s="19"/>
      <c r="Q105" s="19"/>
      <c r="R105" s="710"/>
      <c r="S105" s="710"/>
      <c r="T105" s="710"/>
      <c r="U105" s="710"/>
    </row>
    <row r="106" customFormat="false" ht="12" hidden="false" customHeight="true" outlineLevel="0" collapsed="false">
      <c r="A106" s="756"/>
      <c r="B106" s="756"/>
      <c r="C106" s="756"/>
      <c r="D106" s="756"/>
      <c r="E106" s="756"/>
      <c r="F106" s="461"/>
      <c r="G106" s="515"/>
      <c r="H106" s="515"/>
      <c r="I106" s="515"/>
      <c r="J106" s="515"/>
      <c r="K106" s="462"/>
      <c r="L106" s="19"/>
      <c r="M106" s="19"/>
      <c r="N106" s="19"/>
      <c r="O106" s="19"/>
      <c r="P106" s="19"/>
      <c r="Q106" s="19"/>
      <c r="R106" s="710"/>
      <c r="S106" s="710"/>
      <c r="T106" s="710"/>
      <c r="U106" s="710"/>
    </row>
    <row r="107" customFormat="false" ht="12" hidden="false" customHeight="true" outlineLevel="0" collapsed="false">
      <c r="A107" s="790"/>
      <c r="B107" s="790"/>
      <c r="C107" s="790"/>
      <c r="D107" s="790"/>
      <c r="E107" s="790"/>
      <c r="F107" s="19"/>
      <c r="G107" s="19"/>
      <c r="H107" s="19"/>
      <c r="I107" s="19"/>
      <c r="J107" s="19"/>
      <c r="K107" s="19"/>
      <c r="L107" s="19"/>
      <c r="M107" s="19"/>
      <c r="N107" s="19"/>
      <c r="O107" s="19"/>
      <c r="P107" s="19"/>
      <c r="Q107" s="19"/>
      <c r="R107" s="710"/>
      <c r="S107" s="710"/>
      <c r="T107" s="710"/>
      <c r="U107" s="710"/>
    </row>
    <row r="108" customFormat="false" ht="12" hidden="false" customHeight="true" outlineLevel="0" collapsed="false">
      <c r="A108" s="790"/>
      <c r="B108" s="790"/>
      <c r="C108" s="790"/>
      <c r="D108" s="790"/>
      <c r="E108" s="790"/>
      <c r="F108" s="19"/>
      <c r="G108" s="19"/>
      <c r="H108" s="19"/>
      <c r="I108" s="19"/>
      <c r="J108" s="19"/>
      <c r="K108" s="19"/>
      <c r="L108" s="19"/>
      <c r="M108" s="19"/>
      <c r="N108" s="19"/>
      <c r="O108" s="19"/>
      <c r="P108" s="19"/>
      <c r="Q108" s="19"/>
      <c r="R108" s="710"/>
      <c r="S108" s="710"/>
      <c r="T108" s="710"/>
      <c r="U108" s="710"/>
    </row>
    <row r="109" customFormat="false" ht="12" hidden="false" customHeight="true" outlineLevel="0" collapsed="false">
      <c r="A109" s="790"/>
      <c r="B109" s="790"/>
      <c r="C109" s="790"/>
      <c r="D109" s="790"/>
      <c r="E109" s="790"/>
      <c r="F109" s="19"/>
      <c r="G109" s="19"/>
      <c r="H109" s="19"/>
      <c r="I109" s="19"/>
      <c r="J109" s="19"/>
      <c r="K109" s="19"/>
      <c r="L109" s="19"/>
      <c r="M109" s="19"/>
      <c r="N109" s="19"/>
      <c r="O109" s="19"/>
      <c r="P109" s="19"/>
      <c r="Q109" s="19"/>
      <c r="R109" s="710"/>
      <c r="S109" s="710"/>
      <c r="T109" s="710"/>
      <c r="U109" s="710"/>
    </row>
    <row r="110" customFormat="false" ht="12" hidden="false" customHeight="true" outlineLevel="0" collapsed="false">
      <c r="A110" s="790"/>
      <c r="B110" s="790"/>
      <c r="C110" s="790"/>
      <c r="D110" s="790"/>
      <c r="E110" s="790"/>
      <c r="F110" s="19"/>
      <c r="G110" s="19"/>
      <c r="H110" s="19"/>
      <c r="I110" s="19"/>
      <c r="J110" s="19"/>
      <c r="K110" s="19"/>
      <c r="L110" s="19"/>
      <c r="M110" s="19"/>
      <c r="N110" s="19"/>
      <c r="O110" s="19"/>
      <c r="P110" s="19"/>
      <c r="Q110" s="19"/>
      <c r="R110" s="710"/>
      <c r="S110" s="710"/>
      <c r="T110" s="710"/>
      <c r="U110" s="710"/>
    </row>
    <row r="111" customFormat="false" ht="12" hidden="false" customHeight="true" outlineLevel="0" collapsed="false">
      <c r="A111" s="790"/>
      <c r="B111" s="790"/>
      <c r="C111" s="790"/>
      <c r="D111" s="790"/>
      <c r="E111" s="790"/>
      <c r="F111" s="19"/>
      <c r="G111" s="19"/>
      <c r="H111" s="19"/>
      <c r="I111" s="19"/>
      <c r="J111" s="19"/>
      <c r="K111" s="19"/>
      <c r="L111" s="19"/>
      <c r="M111" s="19"/>
      <c r="N111" s="19"/>
      <c r="O111" s="19"/>
      <c r="P111" s="19"/>
      <c r="Q111" s="19"/>
      <c r="R111" s="710"/>
      <c r="S111" s="710"/>
      <c r="T111" s="710"/>
      <c r="U111" s="710"/>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0"/>
      <c r="S112" s="710"/>
      <c r="T112" s="710"/>
      <c r="U112" s="710"/>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0"/>
      <c r="S113" s="710"/>
      <c r="T113" s="710"/>
      <c r="U113" s="710"/>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0"/>
      <c r="S114" s="710"/>
      <c r="T114" s="710"/>
      <c r="U114" s="710"/>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0"/>
      <c r="S115" s="710"/>
      <c r="T115" s="710"/>
      <c r="U115" s="710"/>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0"/>
      <c r="S116" s="710"/>
      <c r="T116" s="710"/>
      <c r="U116" s="710"/>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0"/>
      <c r="S117" s="710"/>
      <c r="T117" s="710"/>
      <c r="U117" s="710"/>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0"/>
      <c r="S118" s="710"/>
      <c r="T118" s="710"/>
      <c r="U118" s="710"/>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0"/>
      <c r="S119" s="710"/>
      <c r="T119" s="710"/>
      <c r="U119" s="710"/>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0"/>
      <c r="S120" s="710"/>
      <c r="T120" s="710"/>
      <c r="U120" s="710"/>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0"/>
      <c r="S121" s="710"/>
      <c r="T121" s="710"/>
      <c r="U121" s="710"/>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0"/>
      <c r="S122" s="710"/>
      <c r="T122" s="710"/>
      <c r="U122" s="710"/>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0"/>
      <c r="S123" s="710"/>
      <c r="T123" s="710"/>
      <c r="U123" s="710"/>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0"/>
      <c r="S124" s="710"/>
      <c r="T124" s="710"/>
      <c r="U124" s="710"/>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22" colorId="64" zoomScale="120" zoomScaleNormal="120" zoomScalePageLayoutView="100" workbookViewId="0">
      <selection pane="topLeft" activeCell="D53" activeCellId="0" sqref="D53"/>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979</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203</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980</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981</v>
      </c>
      <c r="D10" s="19"/>
      <c r="E10" s="19"/>
      <c r="F10" s="19"/>
      <c r="G10" s="791" t="s">
        <v>982</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983</v>
      </c>
      <c r="D13" s="19"/>
      <c r="E13" s="19"/>
      <c r="F13" s="19"/>
      <c r="G13" s="791" t="s">
        <v>984</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985</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1" t="s">
        <v>986</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1" t="s">
        <v>987</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1"/>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988</v>
      </c>
      <c r="D22" s="19"/>
      <c r="E22" s="19"/>
      <c r="F22" s="19"/>
      <c r="G22" s="791" t="s">
        <v>989</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990</v>
      </c>
      <c r="D24" s="19"/>
      <c r="E24" s="19"/>
      <c r="F24" s="19"/>
      <c r="G24" s="791" t="s">
        <v>991</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992</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2" t="s">
        <v>993</v>
      </c>
      <c r="C31" s="793"/>
      <c r="D31" s="793"/>
      <c r="E31" s="793"/>
      <c r="F31" s="793"/>
      <c r="G31" s="793"/>
      <c r="H31" s="793"/>
      <c r="I31" s="793"/>
      <c r="J31" s="793"/>
      <c r="K31" s="793"/>
      <c r="L31" s="793"/>
      <c r="M31" s="794"/>
      <c r="N31" s="19"/>
      <c r="O31" s="19"/>
      <c r="P31" s="19"/>
      <c r="Q31" s="19"/>
      <c r="R31" s="19"/>
      <c r="S31" s="19"/>
    </row>
    <row r="32" customFormat="false" ht="12" hidden="false" customHeight="true" outlineLevel="0" collapsed="false">
      <c r="A32" s="19"/>
      <c r="B32" s="795"/>
      <c r="C32" s="49" t="s">
        <v>994</v>
      </c>
      <c r="D32" s="49"/>
      <c r="E32" s="49"/>
      <c r="F32" s="49"/>
      <c r="G32" s="49"/>
      <c r="H32" s="49"/>
      <c r="I32" s="49"/>
      <c r="J32" s="49"/>
      <c r="K32" s="49"/>
      <c r="L32" s="49"/>
      <c r="M32" s="388"/>
      <c r="N32" s="19"/>
      <c r="O32" s="19"/>
      <c r="P32" s="19"/>
      <c r="Q32" s="19"/>
      <c r="R32" s="19"/>
      <c r="S32" s="19"/>
    </row>
    <row r="33" customFormat="false" ht="12" hidden="false" customHeight="true" outlineLevel="0" collapsed="false">
      <c r="A33" s="19"/>
      <c r="B33" s="795"/>
      <c r="C33" s="49" t="s">
        <v>995</v>
      </c>
      <c r="D33" s="49"/>
      <c r="E33" s="49"/>
      <c r="F33" s="49"/>
      <c r="G33" s="49"/>
      <c r="H33" s="49"/>
      <c r="I33" s="49"/>
      <c r="J33" s="49"/>
      <c r="K33" s="49"/>
      <c r="L33" s="49"/>
      <c r="M33" s="388"/>
      <c r="N33" s="19"/>
      <c r="O33" s="19"/>
      <c r="P33" s="19"/>
      <c r="Q33" s="19"/>
      <c r="R33" s="19"/>
      <c r="S33" s="19"/>
    </row>
    <row r="34" customFormat="false" ht="12.75" hidden="false" customHeight="true" outlineLevel="0" collapsed="false">
      <c r="A34" s="19"/>
      <c r="B34" s="796"/>
      <c r="C34" s="342" t="s">
        <v>996</v>
      </c>
      <c r="D34" s="342"/>
      <c r="E34" s="342"/>
      <c r="F34" s="342"/>
      <c r="G34" s="342"/>
      <c r="H34" s="342"/>
      <c r="I34" s="342"/>
      <c r="J34" s="342"/>
      <c r="K34" s="342"/>
      <c r="L34" s="342"/>
      <c r="M34" s="380"/>
      <c r="N34" s="19"/>
      <c r="O34" s="19"/>
      <c r="P34" s="19"/>
      <c r="Q34" s="19"/>
      <c r="R34" s="19"/>
      <c r="S34" s="19"/>
    </row>
    <row r="35" customFormat="false" ht="12" hidden="false" customHeight="true" outlineLevel="0" collapsed="false">
      <c r="A35" s="19"/>
      <c r="B35" s="797" t="s">
        <v>997</v>
      </c>
      <c r="C35" s="798" t="s">
        <v>998</v>
      </c>
      <c r="D35" s="799"/>
      <c r="E35" s="799" t="s">
        <v>999</v>
      </c>
      <c r="F35" s="799"/>
      <c r="G35" s="799"/>
      <c r="H35" s="798" t="s">
        <v>1000</v>
      </c>
      <c r="I35" s="800"/>
      <c r="J35" s="489"/>
      <c r="K35" s="292"/>
      <c r="L35" s="292"/>
      <c r="M35" s="491"/>
      <c r="N35" s="19"/>
      <c r="O35" s="19"/>
      <c r="P35" s="19"/>
      <c r="Q35" s="19"/>
      <c r="R35" s="19"/>
      <c r="S35" s="19"/>
    </row>
    <row r="36" customFormat="false" ht="12" hidden="false" customHeight="true" outlineLevel="0" collapsed="false">
      <c r="A36" s="19"/>
      <c r="B36" s="801" t="n">
        <v>1</v>
      </c>
      <c r="C36" s="802" t="n">
        <v>10</v>
      </c>
      <c r="D36" s="802" t="s">
        <v>314</v>
      </c>
      <c r="E36" s="803" t="n">
        <v>12</v>
      </c>
      <c r="F36" s="802" t="s">
        <v>1001</v>
      </c>
      <c r="G36" s="802"/>
      <c r="H36" s="804" t="n">
        <f aca="false">E36/100</f>
        <v>0.12</v>
      </c>
      <c r="I36" s="805" t="s">
        <v>455</v>
      </c>
      <c r="J36" s="489"/>
      <c r="K36" s="292" t="s">
        <v>0</v>
      </c>
      <c r="L36" s="292"/>
      <c r="M36" s="491"/>
      <c r="N36" s="19"/>
      <c r="O36" s="19"/>
      <c r="P36" s="19"/>
      <c r="Q36" s="19"/>
      <c r="R36" s="19"/>
      <c r="S36" s="19"/>
    </row>
    <row r="37" customFormat="false" ht="12" hidden="false" customHeight="true" outlineLevel="0" collapsed="false">
      <c r="A37" s="19"/>
      <c r="B37" s="801" t="n">
        <v>2</v>
      </c>
      <c r="C37" s="112" t="n">
        <v>30</v>
      </c>
      <c r="D37" s="112" t="s">
        <v>314</v>
      </c>
      <c r="E37" s="803" t="n">
        <v>17</v>
      </c>
      <c r="F37" s="802" t="s">
        <v>1001</v>
      </c>
      <c r="G37" s="802" t="s">
        <v>0</v>
      </c>
      <c r="H37" s="804" t="n">
        <f aca="false">E37/100</f>
        <v>0.17</v>
      </c>
      <c r="I37" s="805" t="s">
        <v>455</v>
      </c>
      <c r="J37" s="489"/>
      <c r="K37" s="292" t="s">
        <v>997</v>
      </c>
      <c r="L37" s="50" t="n">
        <v>8</v>
      </c>
      <c r="M37" s="491"/>
      <c r="N37" s="19"/>
      <c r="O37" s="19"/>
      <c r="P37" s="19"/>
      <c r="Q37" s="19"/>
      <c r="R37" s="19"/>
      <c r="S37" s="19"/>
    </row>
    <row r="38" customFormat="false" ht="12" hidden="false" customHeight="true" outlineLevel="0" collapsed="false">
      <c r="A38" s="19"/>
      <c r="B38" s="801" t="n">
        <v>3</v>
      </c>
      <c r="C38" s="802" t="n">
        <v>50</v>
      </c>
      <c r="D38" s="802" t="s">
        <v>314</v>
      </c>
      <c r="E38" s="803" t="s">
        <v>1002</v>
      </c>
      <c r="F38" s="802" t="s">
        <v>1001</v>
      </c>
      <c r="G38" s="802"/>
      <c r="H38" s="804" t="s">
        <v>1002</v>
      </c>
      <c r="I38" s="805" t="s">
        <v>455</v>
      </c>
      <c r="J38" s="489"/>
      <c r="K38" s="292"/>
      <c r="L38" s="292"/>
      <c r="M38" s="491"/>
      <c r="N38" s="19"/>
      <c r="O38" s="19"/>
      <c r="P38" s="19"/>
      <c r="Q38" s="19"/>
      <c r="R38" s="19"/>
      <c r="S38" s="19"/>
    </row>
    <row r="39" customFormat="false" ht="12" hidden="false" customHeight="true" outlineLevel="0" collapsed="false">
      <c r="A39" s="19"/>
      <c r="B39" s="801" t="n">
        <v>4</v>
      </c>
      <c r="C39" s="802" t="n">
        <v>100</v>
      </c>
      <c r="D39" s="802" t="s">
        <v>314</v>
      </c>
      <c r="E39" s="803" t="n">
        <v>28</v>
      </c>
      <c r="F39" s="802" t="s">
        <v>1001</v>
      </c>
      <c r="G39" s="802"/>
      <c r="H39" s="804" t="n">
        <f aca="false">E39/100</f>
        <v>0.28</v>
      </c>
      <c r="I39" s="805" t="s">
        <v>455</v>
      </c>
      <c r="J39" s="489"/>
      <c r="K39" s="292" t="s">
        <v>309</v>
      </c>
      <c r="L39" s="806" t="n">
        <f aca="false" t="array" ref="L39:L39">INDEX(C36:C48,L37,1)</f>
        <v>435</v>
      </c>
      <c r="M39" s="491"/>
      <c r="N39" s="19"/>
      <c r="O39" s="19"/>
      <c r="P39" s="19"/>
      <c r="Q39" s="19"/>
      <c r="R39" s="19"/>
      <c r="S39" s="19"/>
    </row>
    <row r="40" customFormat="false" ht="12" hidden="false" customHeight="true" outlineLevel="0" collapsed="false">
      <c r="A40" s="19"/>
      <c r="B40" s="801" t="n">
        <v>5</v>
      </c>
      <c r="C40" s="112" t="n">
        <v>145</v>
      </c>
      <c r="D40" s="112" t="s">
        <v>314</v>
      </c>
      <c r="E40" s="803" t="n">
        <v>32</v>
      </c>
      <c r="F40" s="802" t="s">
        <v>1001</v>
      </c>
      <c r="G40" s="802"/>
      <c r="H40" s="804" t="n">
        <f aca="false">E40/100</f>
        <v>0.32</v>
      </c>
      <c r="I40" s="805" t="s">
        <v>455</v>
      </c>
      <c r="J40" s="489"/>
      <c r="K40" s="292"/>
      <c r="L40" s="292"/>
      <c r="M40" s="491"/>
      <c r="N40" s="19"/>
      <c r="O40" s="19"/>
      <c r="P40" s="19"/>
      <c r="Q40" s="19"/>
      <c r="R40" s="19"/>
      <c r="S40" s="19"/>
    </row>
    <row r="41" customFormat="false" ht="12" hidden="false" customHeight="true" outlineLevel="0" collapsed="false">
      <c r="A41" s="19"/>
      <c r="B41" s="801" t="n">
        <v>6</v>
      </c>
      <c r="C41" s="802" t="n">
        <v>200</v>
      </c>
      <c r="D41" s="802" t="s">
        <v>314</v>
      </c>
      <c r="E41" s="803" t="n">
        <v>40</v>
      </c>
      <c r="F41" s="802" t="s">
        <v>1001</v>
      </c>
      <c r="G41" s="802" t="s">
        <v>0</v>
      </c>
      <c r="H41" s="804" t="n">
        <f aca="false">E41/100</f>
        <v>0.4</v>
      </c>
      <c r="I41" s="805" t="s">
        <v>455</v>
      </c>
      <c r="J41" s="489"/>
      <c r="K41" s="292" t="s">
        <v>1003</v>
      </c>
      <c r="L41" s="807" t="n">
        <v>0.1</v>
      </c>
      <c r="M41" s="491"/>
      <c r="N41" s="19"/>
      <c r="O41" s="19"/>
      <c r="P41" s="19"/>
      <c r="Q41" s="19"/>
      <c r="R41" s="19"/>
      <c r="S41" s="19"/>
    </row>
    <row r="42" customFormat="false" ht="12" hidden="false" customHeight="true" outlineLevel="0" collapsed="false">
      <c r="A42" s="19"/>
      <c r="B42" s="801" t="n">
        <v>7</v>
      </c>
      <c r="C42" s="802" t="n">
        <v>400</v>
      </c>
      <c r="D42" s="802" t="s">
        <v>314</v>
      </c>
      <c r="E42" s="803" t="s">
        <v>1002</v>
      </c>
      <c r="F42" s="802" t="s">
        <v>1001</v>
      </c>
      <c r="G42" s="802"/>
      <c r="H42" s="804" t="s">
        <v>1002</v>
      </c>
      <c r="I42" s="805" t="s">
        <v>455</v>
      </c>
      <c r="J42" s="489"/>
      <c r="K42" s="292"/>
      <c r="L42" s="292"/>
      <c r="M42" s="491"/>
      <c r="N42" s="19"/>
      <c r="O42" s="19"/>
      <c r="P42" s="19"/>
      <c r="Q42" s="19"/>
      <c r="R42" s="19"/>
      <c r="S42" s="19"/>
    </row>
    <row r="43" customFormat="false" ht="12" hidden="false" customHeight="true" outlineLevel="0" collapsed="false">
      <c r="A43" s="19"/>
      <c r="B43" s="801" t="n">
        <v>8</v>
      </c>
      <c r="C43" s="112" t="n">
        <v>435</v>
      </c>
      <c r="D43" s="112" t="s">
        <v>314</v>
      </c>
      <c r="E43" s="803" t="n">
        <v>58</v>
      </c>
      <c r="F43" s="802" t="s">
        <v>1001</v>
      </c>
      <c r="G43" s="802"/>
      <c r="H43" s="804" t="n">
        <f aca="false">E43/100</f>
        <v>0.58</v>
      </c>
      <c r="I43" s="805" t="s">
        <v>455</v>
      </c>
      <c r="J43" s="489"/>
      <c r="K43" s="292" t="s">
        <v>1004</v>
      </c>
      <c r="L43" s="808" t="n">
        <f aca="false" t="array" ref="L43:L43">(INDEX(H36:H48,L37,1))*L41</f>
        <v>0.058</v>
      </c>
      <c r="M43" s="491"/>
      <c r="N43" s="19"/>
      <c r="O43" s="19"/>
      <c r="P43" s="19"/>
      <c r="Q43" s="19"/>
      <c r="R43" s="19"/>
      <c r="S43" s="19"/>
    </row>
    <row r="44" customFormat="false" ht="12" hidden="false" customHeight="true" outlineLevel="0" collapsed="false">
      <c r="A44" s="19"/>
      <c r="B44" s="801" t="n">
        <v>9</v>
      </c>
      <c r="C44" s="802" t="n">
        <v>500</v>
      </c>
      <c r="D44" s="802" t="s">
        <v>314</v>
      </c>
      <c r="E44" s="803" t="n">
        <v>68</v>
      </c>
      <c r="F44" s="802" t="s">
        <v>1001</v>
      </c>
      <c r="G44" s="802"/>
      <c r="H44" s="804" t="n">
        <f aca="false">E44/100</f>
        <v>0.68</v>
      </c>
      <c r="I44" s="805" t="s">
        <v>455</v>
      </c>
      <c r="J44" s="489"/>
      <c r="K44" s="292"/>
      <c r="L44" s="292"/>
      <c r="M44" s="491"/>
      <c r="N44" s="19"/>
      <c r="O44" s="19"/>
      <c r="P44" s="19"/>
      <c r="Q44" s="19"/>
      <c r="R44" s="19"/>
      <c r="S44" s="19"/>
    </row>
    <row r="45" customFormat="false" ht="12" hidden="false" customHeight="true" outlineLevel="0" collapsed="false">
      <c r="A45" s="19"/>
      <c r="B45" s="801" t="n">
        <v>10</v>
      </c>
      <c r="C45" s="112" t="n">
        <v>1270</v>
      </c>
      <c r="D45" s="112" t="s">
        <v>314</v>
      </c>
      <c r="E45" s="803" t="n">
        <v>113</v>
      </c>
      <c r="F45" s="802" t="s">
        <v>1001</v>
      </c>
      <c r="G45" s="802"/>
      <c r="H45" s="804" t="n">
        <f aca="false">E45/100</f>
        <v>1.13</v>
      </c>
      <c r="I45" s="805" t="s">
        <v>455</v>
      </c>
      <c r="J45" s="489"/>
      <c r="K45" s="292"/>
      <c r="L45" s="292"/>
      <c r="M45" s="491"/>
      <c r="N45" s="19"/>
      <c r="O45" s="19"/>
      <c r="P45" s="19"/>
      <c r="Q45" s="19"/>
      <c r="R45" s="19"/>
      <c r="S45" s="19"/>
    </row>
    <row r="46" customFormat="false" ht="12" hidden="false" customHeight="true" outlineLevel="0" collapsed="false">
      <c r="A46" s="19"/>
      <c r="B46" s="801" t="n">
        <v>11</v>
      </c>
      <c r="C46" s="112" t="n">
        <v>2400</v>
      </c>
      <c r="D46" s="112" t="s">
        <v>314</v>
      </c>
      <c r="E46" s="803" t="n">
        <v>165</v>
      </c>
      <c r="F46" s="802" t="s">
        <v>1001</v>
      </c>
      <c r="G46" s="802"/>
      <c r="H46" s="804" t="n">
        <f aca="false">E46/100</f>
        <v>1.65</v>
      </c>
      <c r="I46" s="805" t="s">
        <v>455</v>
      </c>
      <c r="J46" s="489"/>
      <c r="K46" s="292"/>
      <c r="L46" s="23" t="s">
        <v>60</v>
      </c>
      <c r="M46" s="491"/>
      <c r="N46" s="19"/>
      <c r="O46" s="19"/>
      <c r="P46" s="19"/>
      <c r="Q46" s="19"/>
      <c r="R46" s="19"/>
      <c r="S46" s="19"/>
    </row>
    <row r="47" customFormat="false" ht="12" hidden="false" customHeight="true" outlineLevel="0" collapsed="false">
      <c r="A47" s="19"/>
      <c r="B47" s="801" t="n">
        <v>12</v>
      </c>
      <c r="C47" s="802" t="n">
        <v>3300</v>
      </c>
      <c r="D47" s="802" t="s">
        <v>314</v>
      </c>
      <c r="E47" s="803" t="n">
        <v>268</v>
      </c>
      <c r="F47" s="802" t="s">
        <v>1001</v>
      </c>
      <c r="G47" s="802"/>
      <c r="H47" s="804" t="n">
        <f aca="false">E47/100</f>
        <v>2.68</v>
      </c>
      <c r="I47" s="805" t="s">
        <v>455</v>
      </c>
      <c r="J47" s="489"/>
      <c r="K47" s="292"/>
      <c r="L47" s="292"/>
      <c r="M47" s="491"/>
      <c r="N47" s="19"/>
      <c r="O47" s="19"/>
      <c r="P47" s="19"/>
      <c r="Q47" s="19"/>
      <c r="R47" s="19"/>
      <c r="S47" s="19"/>
    </row>
    <row r="48" customFormat="false" ht="12.75" hidden="false" customHeight="true" outlineLevel="0" collapsed="false">
      <c r="A48" s="19"/>
      <c r="B48" s="809" t="n">
        <v>13</v>
      </c>
      <c r="C48" s="810" t="n">
        <v>5000</v>
      </c>
      <c r="D48" s="810" t="s">
        <v>314</v>
      </c>
      <c r="E48" s="811" t="s">
        <v>1002</v>
      </c>
      <c r="F48" s="810" t="s">
        <v>1001</v>
      </c>
      <c r="G48" s="810"/>
      <c r="H48" s="812" t="s">
        <v>1002</v>
      </c>
      <c r="I48" s="813" t="s">
        <v>455</v>
      </c>
      <c r="J48" s="494" t="s">
        <v>1005</v>
      </c>
      <c r="K48" s="495"/>
      <c r="L48" s="495"/>
      <c r="M48" s="497"/>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2" t="s">
        <v>1006</v>
      </c>
      <c r="C52" s="793"/>
      <c r="D52" s="793"/>
      <c r="E52" s="793"/>
      <c r="F52" s="793"/>
      <c r="G52" s="793"/>
      <c r="H52" s="793"/>
      <c r="I52" s="793"/>
      <c r="J52" s="793"/>
      <c r="K52" s="793"/>
      <c r="L52" s="793"/>
      <c r="M52" s="794"/>
      <c r="N52" s="19"/>
      <c r="O52" s="19"/>
      <c r="P52" s="19"/>
      <c r="Q52" s="19"/>
      <c r="R52" s="19"/>
      <c r="S52" s="19"/>
    </row>
    <row r="53" customFormat="false" ht="12" hidden="false" customHeight="true" outlineLevel="0" collapsed="false">
      <c r="A53" s="19"/>
      <c r="B53" s="795"/>
      <c r="C53" s="49" t="s">
        <v>1007</v>
      </c>
      <c r="D53" s="49"/>
      <c r="E53" s="49"/>
      <c r="F53" s="49"/>
      <c r="G53" s="49"/>
      <c r="H53" s="49"/>
      <c r="I53" s="49"/>
      <c r="J53" s="49"/>
      <c r="K53" s="49"/>
      <c r="L53" s="49"/>
      <c r="M53" s="388"/>
      <c r="N53" s="19"/>
      <c r="O53" s="19"/>
      <c r="P53" s="19"/>
      <c r="Q53" s="19"/>
      <c r="R53" s="19"/>
      <c r="S53" s="19"/>
    </row>
    <row r="54" customFormat="false" ht="12" hidden="false" customHeight="true" outlineLevel="0" collapsed="false">
      <c r="A54" s="19"/>
      <c r="B54" s="795"/>
      <c r="C54" s="49" t="s">
        <v>1008</v>
      </c>
      <c r="D54" s="49"/>
      <c r="E54" s="49"/>
      <c r="F54" s="49"/>
      <c r="G54" s="49"/>
      <c r="H54" s="49"/>
      <c r="I54" s="49"/>
      <c r="J54" s="49"/>
      <c r="K54" s="49"/>
      <c r="L54" s="49"/>
      <c r="M54" s="388"/>
      <c r="N54" s="19"/>
      <c r="O54" s="19"/>
      <c r="P54" s="19"/>
      <c r="Q54" s="19"/>
      <c r="R54" s="19"/>
      <c r="S54" s="19"/>
    </row>
    <row r="55" customFormat="false" ht="12.75" hidden="false" customHeight="true" outlineLevel="0" collapsed="false">
      <c r="A55" s="19"/>
      <c r="B55" s="796"/>
      <c r="C55" s="342" t="s">
        <v>1009</v>
      </c>
      <c r="D55" s="342"/>
      <c r="E55" s="342"/>
      <c r="F55" s="342"/>
      <c r="G55" s="342"/>
      <c r="H55" s="342"/>
      <c r="I55" s="342"/>
      <c r="J55" s="342"/>
      <c r="K55" s="342"/>
      <c r="L55" s="342"/>
      <c r="M55" s="380"/>
      <c r="N55" s="19"/>
      <c r="O55" s="19"/>
      <c r="P55" s="19"/>
      <c r="Q55" s="19"/>
      <c r="R55" s="19"/>
      <c r="S55" s="19"/>
    </row>
    <row r="56" customFormat="false" ht="12" hidden="false" customHeight="true" outlineLevel="0" collapsed="false">
      <c r="A56" s="19"/>
      <c r="B56" s="797" t="s">
        <v>997</v>
      </c>
      <c r="C56" s="798" t="s">
        <v>998</v>
      </c>
      <c r="D56" s="799"/>
      <c r="E56" s="799" t="s">
        <v>999</v>
      </c>
      <c r="F56" s="799"/>
      <c r="G56" s="799"/>
      <c r="H56" s="798" t="s">
        <v>1000</v>
      </c>
      <c r="I56" s="800"/>
      <c r="J56" s="489"/>
      <c r="K56" s="292"/>
      <c r="L56" s="292"/>
      <c r="M56" s="491"/>
      <c r="N56" s="19"/>
      <c r="O56" s="19"/>
      <c r="P56" s="19"/>
      <c r="Q56" s="19"/>
      <c r="R56" s="19"/>
      <c r="S56" s="19"/>
    </row>
    <row r="57" customFormat="false" ht="12" hidden="false" customHeight="true" outlineLevel="0" collapsed="false">
      <c r="A57" s="19"/>
      <c r="B57" s="801" t="n">
        <v>1</v>
      </c>
      <c r="C57" s="802" t="n">
        <v>10</v>
      </c>
      <c r="D57" s="802" t="s">
        <v>314</v>
      </c>
      <c r="E57" s="803" t="n">
        <v>7</v>
      </c>
      <c r="F57" s="802" t="s">
        <v>1001</v>
      </c>
      <c r="G57" s="802"/>
      <c r="H57" s="804" t="n">
        <f aca="false">E57/100</f>
        <v>0.07</v>
      </c>
      <c r="I57" s="805" t="s">
        <v>455</v>
      </c>
      <c r="J57" s="489"/>
      <c r="K57" s="292" t="s">
        <v>0</v>
      </c>
      <c r="L57" s="292"/>
      <c r="M57" s="491"/>
      <c r="N57" s="19"/>
      <c r="O57" s="19"/>
      <c r="P57" s="19"/>
      <c r="Q57" s="19"/>
      <c r="R57" s="19"/>
      <c r="S57" s="19"/>
    </row>
    <row r="58" customFormat="false" ht="12" hidden="false" customHeight="true" outlineLevel="0" collapsed="false">
      <c r="A58" s="19"/>
      <c r="B58" s="801" t="n">
        <v>2</v>
      </c>
      <c r="C58" s="112" t="n">
        <v>30</v>
      </c>
      <c r="D58" s="112" t="s">
        <v>314</v>
      </c>
      <c r="E58" s="803" t="n">
        <v>9</v>
      </c>
      <c r="F58" s="802" t="s">
        <v>1001</v>
      </c>
      <c r="G58" s="802" t="s">
        <v>0</v>
      </c>
      <c r="H58" s="804" t="n">
        <f aca="false">E58/100</f>
        <v>0.09</v>
      </c>
      <c r="I58" s="805" t="s">
        <v>455</v>
      </c>
      <c r="J58" s="489"/>
      <c r="K58" s="292" t="s">
        <v>997</v>
      </c>
      <c r="L58" s="50" t="n">
        <v>5</v>
      </c>
      <c r="M58" s="491"/>
      <c r="N58" s="19"/>
      <c r="O58" s="19"/>
      <c r="P58" s="19"/>
      <c r="Q58" s="19"/>
      <c r="R58" s="19"/>
      <c r="S58" s="19"/>
    </row>
    <row r="59" customFormat="false" ht="12" hidden="false" customHeight="true" outlineLevel="0" collapsed="false">
      <c r="A59" s="19"/>
      <c r="B59" s="801" t="n">
        <v>3</v>
      </c>
      <c r="C59" s="802" t="n">
        <v>50</v>
      </c>
      <c r="D59" s="802" t="s">
        <v>314</v>
      </c>
      <c r="E59" s="803" t="s">
        <v>1002</v>
      </c>
      <c r="F59" s="802" t="s">
        <v>1001</v>
      </c>
      <c r="G59" s="802"/>
      <c r="H59" s="804" t="s">
        <v>1002</v>
      </c>
      <c r="I59" s="805" t="s">
        <v>455</v>
      </c>
      <c r="J59" s="489"/>
      <c r="K59" s="292"/>
      <c r="L59" s="292"/>
      <c r="M59" s="491"/>
      <c r="N59" s="19"/>
      <c r="O59" s="19"/>
      <c r="P59" s="19"/>
      <c r="Q59" s="19"/>
      <c r="R59" s="19"/>
      <c r="S59" s="19"/>
    </row>
    <row r="60" customFormat="false" ht="12" hidden="false" customHeight="true" outlineLevel="0" collapsed="false">
      <c r="A60" s="19"/>
      <c r="B60" s="801" t="n">
        <v>4</v>
      </c>
      <c r="C60" s="802" t="n">
        <v>100</v>
      </c>
      <c r="D60" s="802" t="s">
        <v>314</v>
      </c>
      <c r="E60" s="803" t="n">
        <v>14</v>
      </c>
      <c r="F60" s="802" t="s">
        <v>1001</v>
      </c>
      <c r="G60" s="802"/>
      <c r="H60" s="804" t="n">
        <f aca="false">E60/100</f>
        <v>0.14</v>
      </c>
      <c r="I60" s="805" t="s">
        <v>455</v>
      </c>
      <c r="J60" s="489"/>
      <c r="K60" s="292" t="s">
        <v>309</v>
      </c>
      <c r="L60" s="806" t="n">
        <f aca="false" t="array" ref="L60:L60">INDEX(C57:C69,L58,1)</f>
        <v>145</v>
      </c>
      <c r="M60" s="491"/>
      <c r="N60" s="19"/>
      <c r="O60" s="19"/>
      <c r="P60" s="19"/>
      <c r="Q60" s="19"/>
      <c r="R60" s="19"/>
      <c r="S60" s="19"/>
    </row>
    <row r="61" customFormat="false" ht="12" hidden="false" customHeight="true" outlineLevel="0" collapsed="false">
      <c r="A61" s="19"/>
      <c r="B61" s="801" t="n">
        <v>5</v>
      </c>
      <c r="C61" s="112" t="n">
        <v>145</v>
      </c>
      <c r="D61" s="112" t="s">
        <v>314</v>
      </c>
      <c r="E61" s="803" t="n">
        <v>15</v>
      </c>
      <c r="F61" s="802" t="s">
        <v>1001</v>
      </c>
      <c r="G61" s="802"/>
      <c r="H61" s="804" t="n">
        <f aca="false">E61/100</f>
        <v>0.15</v>
      </c>
      <c r="I61" s="805" t="s">
        <v>455</v>
      </c>
      <c r="J61" s="489"/>
      <c r="K61" s="292"/>
      <c r="L61" s="292"/>
      <c r="M61" s="491"/>
      <c r="N61" s="19"/>
      <c r="O61" s="19"/>
      <c r="P61" s="19"/>
      <c r="Q61" s="19"/>
      <c r="R61" s="19"/>
      <c r="S61" s="19"/>
    </row>
    <row r="62" customFormat="false" ht="12" hidden="false" customHeight="true" outlineLevel="0" collapsed="false">
      <c r="A62" s="19"/>
      <c r="B62" s="801" t="n">
        <v>6</v>
      </c>
      <c r="C62" s="802" t="n">
        <v>200</v>
      </c>
      <c r="D62" s="802" t="s">
        <v>314</v>
      </c>
      <c r="E62" s="803" t="n">
        <v>20</v>
      </c>
      <c r="F62" s="802" t="s">
        <v>1001</v>
      </c>
      <c r="G62" s="802" t="s">
        <v>0</v>
      </c>
      <c r="H62" s="804" t="n">
        <f aca="false">E62/100</f>
        <v>0.2</v>
      </c>
      <c r="I62" s="805" t="s">
        <v>455</v>
      </c>
      <c r="J62" s="489"/>
      <c r="K62" s="292" t="s">
        <v>1003</v>
      </c>
      <c r="L62" s="807" t="n">
        <v>0.75</v>
      </c>
      <c r="M62" s="491"/>
      <c r="N62" s="19"/>
      <c r="O62" s="19"/>
      <c r="P62" s="19"/>
      <c r="Q62" s="19"/>
      <c r="R62" s="19"/>
      <c r="S62" s="19"/>
    </row>
    <row r="63" customFormat="false" ht="12" hidden="false" customHeight="true" outlineLevel="0" collapsed="false">
      <c r="A63" s="19"/>
      <c r="B63" s="801" t="n">
        <v>7</v>
      </c>
      <c r="C63" s="802" t="n">
        <v>400</v>
      </c>
      <c r="D63" s="802" t="s">
        <v>314</v>
      </c>
      <c r="E63" s="803" t="n">
        <v>28</v>
      </c>
      <c r="F63" s="802" t="s">
        <v>1001</v>
      </c>
      <c r="G63" s="802"/>
      <c r="H63" s="804" t="n">
        <f aca="false">E63/100</f>
        <v>0.28</v>
      </c>
      <c r="I63" s="805" t="s">
        <v>455</v>
      </c>
      <c r="J63" s="489"/>
      <c r="K63" s="292"/>
      <c r="L63" s="292"/>
      <c r="M63" s="491"/>
      <c r="N63" s="19"/>
      <c r="O63" s="19"/>
      <c r="P63" s="19"/>
      <c r="Q63" s="19"/>
      <c r="R63" s="19"/>
      <c r="S63" s="19"/>
    </row>
    <row r="64" customFormat="false" ht="12" hidden="false" customHeight="true" outlineLevel="0" collapsed="false">
      <c r="A64" s="19"/>
      <c r="B64" s="801" t="n">
        <v>8</v>
      </c>
      <c r="C64" s="112" t="n">
        <v>435</v>
      </c>
      <c r="D64" s="112" t="s">
        <v>314</v>
      </c>
      <c r="E64" s="803" t="n">
        <v>30</v>
      </c>
      <c r="F64" s="802" t="s">
        <v>1001</v>
      </c>
      <c r="G64" s="802"/>
      <c r="H64" s="804" t="n">
        <f aca="false">E64/100</f>
        <v>0.3</v>
      </c>
      <c r="I64" s="805" t="s">
        <v>455</v>
      </c>
      <c r="J64" s="489"/>
      <c r="K64" s="292" t="s">
        <v>1004</v>
      </c>
      <c r="L64" s="808" t="n">
        <f aca="false" t="array" ref="L64:L64">(INDEX(H57:H69,L58,1))*L62</f>
        <v>0.1125</v>
      </c>
      <c r="M64" s="491"/>
      <c r="N64" s="19"/>
      <c r="O64" s="19"/>
      <c r="P64" s="19"/>
      <c r="Q64" s="19"/>
      <c r="R64" s="19"/>
      <c r="S64" s="19"/>
    </row>
    <row r="65" customFormat="false" ht="12" hidden="false" customHeight="true" outlineLevel="0" collapsed="false">
      <c r="A65" s="19"/>
      <c r="B65" s="801" t="n">
        <v>9</v>
      </c>
      <c r="C65" s="802" t="n">
        <v>500</v>
      </c>
      <c r="D65" s="802" t="s">
        <v>314</v>
      </c>
      <c r="E65" s="803" t="n">
        <v>35</v>
      </c>
      <c r="F65" s="802" t="s">
        <v>1001</v>
      </c>
      <c r="G65" s="802"/>
      <c r="H65" s="804" t="n">
        <f aca="false">E65/100</f>
        <v>0.35</v>
      </c>
      <c r="I65" s="805" t="s">
        <v>455</v>
      </c>
      <c r="J65" s="489"/>
      <c r="K65" s="292"/>
      <c r="L65" s="292"/>
      <c r="M65" s="491"/>
      <c r="N65" s="19"/>
      <c r="O65" s="19"/>
      <c r="P65" s="19"/>
      <c r="Q65" s="19"/>
      <c r="R65" s="19"/>
      <c r="S65" s="19"/>
    </row>
    <row r="66" customFormat="false" ht="12" hidden="false" customHeight="true" outlineLevel="0" collapsed="false">
      <c r="A66" s="19"/>
      <c r="B66" s="801" t="n">
        <v>10</v>
      </c>
      <c r="C66" s="112" t="n">
        <v>1270</v>
      </c>
      <c r="D66" s="112" t="s">
        <v>314</v>
      </c>
      <c r="E66" s="803" t="n">
        <v>49</v>
      </c>
      <c r="F66" s="802" t="s">
        <v>1001</v>
      </c>
      <c r="G66" s="802"/>
      <c r="H66" s="804" t="n">
        <f aca="false">E66/100</f>
        <v>0.49</v>
      </c>
      <c r="I66" s="805" t="s">
        <v>455</v>
      </c>
      <c r="J66" s="489"/>
      <c r="K66" s="292"/>
      <c r="L66" s="292"/>
      <c r="M66" s="491"/>
      <c r="N66" s="19"/>
      <c r="O66" s="19"/>
      <c r="P66" s="19"/>
      <c r="Q66" s="19"/>
      <c r="R66" s="19"/>
      <c r="S66" s="19"/>
    </row>
    <row r="67" customFormat="false" ht="12" hidden="false" customHeight="true" outlineLevel="0" collapsed="false">
      <c r="A67" s="19"/>
      <c r="B67" s="801" t="n">
        <v>11</v>
      </c>
      <c r="C67" s="112" t="n">
        <v>2400</v>
      </c>
      <c r="D67" s="112" t="s">
        <v>314</v>
      </c>
      <c r="E67" s="803" t="n">
        <v>72</v>
      </c>
      <c r="F67" s="802" t="s">
        <v>1001</v>
      </c>
      <c r="G67" s="802"/>
      <c r="H67" s="804" t="n">
        <f aca="false">E67/100</f>
        <v>0.72</v>
      </c>
      <c r="I67" s="805" t="s">
        <v>455</v>
      </c>
      <c r="J67" s="489"/>
      <c r="K67" s="292"/>
      <c r="L67" s="23" t="s">
        <v>60</v>
      </c>
      <c r="M67" s="491"/>
      <c r="N67" s="19"/>
      <c r="O67" s="19"/>
      <c r="P67" s="19"/>
      <c r="Q67" s="19"/>
      <c r="R67" s="19"/>
      <c r="S67" s="19"/>
    </row>
    <row r="68" customFormat="false" ht="12" hidden="false" customHeight="true" outlineLevel="0" collapsed="false">
      <c r="A68" s="19"/>
      <c r="B68" s="801" t="n">
        <v>12</v>
      </c>
      <c r="C68" s="802" t="n">
        <v>3300</v>
      </c>
      <c r="D68" s="802" t="s">
        <v>314</v>
      </c>
      <c r="E68" s="803" t="n">
        <v>95</v>
      </c>
      <c r="F68" s="802" t="s">
        <v>1001</v>
      </c>
      <c r="G68" s="802"/>
      <c r="H68" s="804" t="n">
        <f aca="false">E68/100</f>
        <v>0.95</v>
      </c>
      <c r="I68" s="805" t="s">
        <v>455</v>
      </c>
      <c r="J68" s="489"/>
      <c r="K68" s="292"/>
      <c r="L68" s="292"/>
      <c r="M68" s="491"/>
      <c r="N68" s="19"/>
      <c r="O68" s="19"/>
      <c r="P68" s="19"/>
      <c r="Q68" s="19"/>
      <c r="R68" s="19"/>
      <c r="S68" s="19"/>
    </row>
    <row r="69" customFormat="false" ht="12.75" hidden="false" customHeight="true" outlineLevel="0" collapsed="false">
      <c r="A69" s="19"/>
      <c r="B69" s="809" t="n">
        <v>13</v>
      </c>
      <c r="C69" s="810" t="n">
        <v>5000</v>
      </c>
      <c r="D69" s="810" t="s">
        <v>314</v>
      </c>
      <c r="E69" s="811" t="n">
        <v>128</v>
      </c>
      <c r="F69" s="810" t="s">
        <v>1001</v>
      </c>
      <c r="G69" s="810"/>
      <c r="H69" s="812" t="n">
        <f aca="false">E69/100</f>
        <v>1.28</v>
      </c>
      <c r="I69" s="813" t="s">
        <v>455</v>
      </c>
      <c r="J69" s="494" t="s">
        <v>1010</v>
      </c>
      <c r="K69" s="495"/>
      <c r="L69" s="495"/>
      <c r="M69" s="497"/>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2" t="s">
        <v>1011</v>
      </c>
      <c r="C73" s="793"/>
      <c r="D73" s="793"/>
      <c r="E73" s="793"/>
      <c r="F73" s="793"/>
      <c r="G73" s="793"/>
      <c r="H73" s="793"/>
      <c r="I73" s="793"/>
      <c r="J73" s="793"/>
      <c r="K73" s="793"/>
      <c r="L73" s="793"/>
      <c r="M73" s="794"/>
      <c r="N73" s="19"/>
      <c r="O73" s="19"/>
      <c r="P73" s="19"/>
      <c r="Q73" s="19"/>
      <c r="R73" s="19"/>
      <c r="S73" s="19"/>
    </row>
    <row r="74" customFormat="false" ht="12" hidden="false" customHeight="true" outlineLevel="0" collapsed="false">
      <c r="A74" s="19"/>
      <c r="B74" s="795"/>
      <c r="C74" s="49" t="s">
        <v>1012</v>
      </c>
      <c r="D74" s="49"/>
      <c r="E74" s="49"/>
      <c r="F74" s="49"/>
      <c r="G74" s="49"/>
      <c r="H74" s="49"/>
      <c r="I74" s="49"/>
      <c r="J74" s="49"/>
      <c r="K74" s="49"/>
      <c r="L74" s="49"/>
      <c r="M74" s="388"/>
      <c r="N74" s="19"/>
      <c r="O74" s="19"/>
      <c r="P74" s="19"/>
      <c r="Q74" s="19"/>
      <c r="R74" s="19"/>
      <c r="S74" s="19"/>
    </row>
    <row r="75" customFormat="false" ht="12" hidden="false" customHeight="true" outlineLevel="0" collapsed="false">
      <c r="A75" s="19"/>
      <c r="B75" s="795"/>
      <c r="C75" s="49" t="s">
        <v>1013</v>
      </c>
      <c r="D75" s="49"/>
      <c r="E75" s="49"/>
      <c r="F75" s="49"/>
      <c r="G75" s="49"/>
      <c r="H75" s="49"/>
      <c r="I75" s="49"/>
      <c r="J75" s="49"/>
      <c r="K75" s="49"/>
      <c r="L75" s="49"/>
      <c r="M75" s="388"/>
      <c r="N75" s="19"/>
      <c r="O75" s="19"/>
      <c r="P75" s="19"/>
      <c r="Q75" s="19"/>
      <c r="R75" s="19"/>
      <c r="S75" s="19"/>
    </row>
    <row r="76" customFormat="false" ht="12.75" hidden="false" customHeight="true" outlineLevel="0" collapsed="false">
      <c r="A76" s="19"/>
      <c r="B76" s="796"/>
      <c r="C76" s="342" t="s">
        <v>1014</v>
      </c>
      <c r="D76" s="342"/>
      <c r="E76" s="342"/>
      <c r="F76" s="342"/>
      <c r="G76" s="342"/>
      <c r="H76" s="342"/>
      <c r="I76" s="342"/>
      <c r="J76" s="342"/>
      <c r="K76" s="342"/>
      <c r="L76" s="342"/>
      <c r="M76" s="380"/>
      <c r="N76" s="19"/>
      <c r="O76" s="19"/>
      <c r="P76" s="19"/>
      <c r="Q76" s="19"/>
      <c r="R76" s="19"/>
      <c r="S76" s="19"/>
    </row>
    <row r="77" customFormat="false" ht="12" hidden="false" customHeight="true" outlineLevel="0" collapsed="false">
      <c r="A77" s="19"/>
      <c r="B77" s="797" t="s">
        <v>997</v>
      </c>
      <c r="C77" s="798" t="s">
        <v>998</v>
      </c>
      <c r="D77" s="799"/>
      <c r="E77" s="799" t="s">
        <v>999</v>
      </c>
      <c r="F77" s="799"/>
      <c r="G77" s="799"/>
      <c r="H77" s="798" t="s">
        <v>1000</v>
      </c>
      <c r="I77" s="800"/>
      <c r="J77" s="489"/>
      <c r="K77" s="292"/>
      <c r="L77" s="292"/>
      <c r="M77" s="491"/>
      <c r="N77" s="19"/>
      <c r="O77" s="19"/>
      <c r="P77" s="19"/>
      <c r="Q77" s="19"/>
      <c r="R77" s="19"/>
      <c r="S77" s="19"/>
    </row>
    <row r="78" customFormat="false" ht="12" hidden="false" customHeight="true" outlineLevel="0" collapsed="false">
      <c r="A78" s="19"/>
      <c r="B78" s="801" t="n">
        <v>1</v>
      </c>
      <c r="C78" s="802" t="n">
        <v>10</v>
      </c>
      <c r="D78" s="802" t="s">
        <v>314</v>
      </c>
      <c r="E78" s="803" t="n">
        <v>9.31</v>
      </c>
      <c r="F78" s="802" t="s">
        <v>1001</v>
      </c>
      <c r="G78" s="802"/>
      <c r="H78" s="804" t="n">
        <f aca="false">E78/100</f>
        <v>0.0931</v>
      </c>
      <c r="I78" s="805" t="s">
        <v>455</v>
      </c>
      <c r="J78" s="489"/>
      <c r="K78" s="292" t="s">
        <v>0</v>
      </c>
      <c r="L78" s="292"/>
      <c r="M78" s="491"/>
      <c r="N78" s="19"/>
      <c r="O78" s="19"/>
      <c r="P78" s="19"/>
      <c r="Q78" s="19"/>
      <c r="R78" s="19"/>
      <c r="S78" s="19"/>
    </row>
    <row r="79" customFormat="false" ht="12" hidden="false" customHeight="true" outlineLevel="0" collapsed="false">
      <c r="A79" s="19"/>
      <c r="B79" s="801" t="n">
        <v>2</v>
      </c>
      <c r="C79" s="112" t="n">
        <v>30</v>
      </c>
      <c r="D79" s="112" t="s">
        <v>314</v>
      </c>
      <c r="E79" s="803" t="n">
        <v>12</v>
      </c>
      <c r="F79" s="802" t="s">
        <v>1001</v>
      </c>
      <c r="G79" s="802" t="s">
        <v>0</v>
      </c>
      <c r="H79" s="804" t="n">
        <f aca="false">E79/100</f>
        <v>0.12</v>
      </c>
      <c r="I79" s="805" t="s">
        <v>455</v>
      </c>
      <c r="J79" s="489"/>
      <c r="K79" s="292" t="s">
        <v>997</v>
      </c>
      <c r="L79" s="50" t="n">
        <v>11</v>
      </c>
      <c r="M79" s="491"/>
      <c r="N79" s="19"/>
      <c r="O79" s="19"/>
      <c r="P79" s="19"/>
      <c r="Q79" s="19"/>
      <c r="R79" s="19"/>
      <c r="S79" s="19"/>
    </row>
    <row r="80" customFormat="false" ht="12" hidden="false" customHeight="true" outlineLevel="0" collapsed="false">
      <c r="A80" s="19"/>
      <c r="B80" s="801" t="n">
        <v>3</v>
      </c>
      <c r="C80" s="802" t="n">
        <v>50</v>
      </c>
      <c r="D80" s="802" t="s">
        <v>314</v>
      </c>
      <c r="E80" s="803" t="s">
        <v>1002</v>
      </c>
      <c r="F80" s="802" t="s">
        <v>1001</v>
      </c>
      <c r="G80" s="802"/>
      <c r="H80" s="804" t="s">
        <v>1002</v>
      </c>
      <c r="I80" s="805" t="s">
        <v>455</v>
      </c>
      <c r="J80" s="489"/>
      <c r="K80" s="292"/>
      <c r="L80" s="292"/>
      <c r="M80" s="491"/>
      <c r="N80" s="19"/>
      <c r="O80" s="19"/>
      <c r="P80" s="19"/>
      <c r="Q80" s="19"/>
      <c r="R80" s="19"/>
      <c r="S80" s="19"/>
    </row>
    <row r="81" customFormat="false" ht="12" hidden="false" customHeight="true" outlineLevel="0" collapsed="false">
      <c r="A81" s="19"/>
      <c r="B81" s="801" t="n">
        <v>4</v>
      </c>
      <c r="C81" s="802" t="n">
        <v>100</v>
      </c>
      <c r="D81" s="802" t="s">
        <v>314</v>
      </c>
      <c r="E81" s="803" t="n">
        <v>18.6</v>
      </c>
      <c r="F81" s="802" t="s">
        <v>1001</v>
      </c>
      <c r="G81" s="802"/>
      <c r="H81" s="804" t="n">
        <f aca="false">E81/100</f>
        <v>0.186</v>
      </c>
      <c r="I81" s="805" t="s">
        <v>455</v>
      </c>
      <c r="J81" s="489"/>
      <c r="K81" s="292" t="s">
        <v>309</v>
      </c>
      <c r="L81" s="806" t="n">
        <f aca="false" t="array" ref="L81:L81">INDEX(C78:C90,L79,1)</f>
        <v>2400</v>
      </c>
      <c r="M81" s="491"/>
      <c r="N81" s="19"/>
      <c r="O81" s="19"/>
      <c r="P81" s="19"/>
      <c r="Q81" s="19"/>
      <c r="R81" s="19"/>
      <c r="S81" s="19"/>
    </row>
    <row r="82" customFormat="false" ht="12" hidden="false" customHeight="true" outlineLevel="0" collapsed="false">
      <c r="A82" s="19"/>
      <c r="B82" s="801" t="n">
        <v>5</v>
      </c>
      <c r="C82" s="112" t="n">
        <v>145</v>
      </c>
      <c r="D82" s="112" t="s">
        <v>314</v>
      </c>
      <c r="E82" s="803" t="n">
        <v>19.95</v>
      </c>
      <c r="F82" s="802" t="s">
        <v>1001</v>
      </c>
      <c r="G82" s="802"/>
      <c r="H82" s="804" t="n">
        <f aca="false">E82/100</f>
        <v>0.1995</v>
      </c>
      <c r="I82" s="805" t="s">
        <v>455</v>
      </c>
      <c r="J82" s="489"/>
      <c r="K82" s="292"/>
      <c r="L82" s="292"/>
      <c r="M82" s="491"/>
      <c r="N82" s="19"/>
      <c r="O82" s="19"/>
      <c r="P82" s="19"/>
      <c r="Q82" s="19"/>
      <c r="R82" s="19"/>
      <c r="S82" s="19"/>
    </row>
    <row r="83" customFormat="false" ht="12" hidden="false" customHeight="true" outlineLevel="0" collapsed="false">
      <c r="A83" s="19"/>
      <c r="B83" s="801" t="n">
        <v>6</v>
      </c>
      <c r="C83" s="802" t="n">
        <v>200</v>
      </c>
      <c r="D83" s="802" t="s">
        <v>314</v>
      </c>
      <c r="E83" s="803" t="n">
        <v>26.6</v>
      </c>
      <c r="F83" s="802" t="s">
        <v>1001</v>
      </c>
      <c r="G83" s="802" t="s">
        <v>0</v>
      </c>
      <c r="H83" s="804" t="n">
        <f aca="false">E83/100</f>
        <v>0.266</v>
      </c>
      <c r="I83" s="805" t="s">
        <v>455</v>
      </c>
      <c r="J83" s="489"/>
      <c r="K83" s="292" t="s">
        <v>1003</v>
      </c>
      <c r="L83" s="807" t="n">
        <v>0.5</v>
      </c>
      <c r="M83" s="491"/>
      <c r="N83" s="19"/>
      <c r="O83" s="19"/>
      <c r="P83" s="19"/>
      <c r="Q83" s="19"/>
      <c r="R83" s="19"/>
      <c r="S83" s="19"/>
    </row>
    <row r="84" customFormat="false" ht="12" hidden="false" customHeight="true" outlineLevel="0" collapsed="false">
      <c r="A84" s="19"/>
      <c r="B84" s="801" t="n">
        <v>7</v>
      </c>
      <c r="C84" s="802" t="n">
        <v>400</v>
      </c>
      <c r="D84" s="802" t="s">
        <v>314</v>
      </c>
      <c r="E84" s="803" t="n">
        <v>37.24</v>
      </c>
      <c r="F84" s="802" t="s">
        <v>1001</v>
      </c>
      <c r="G84" s="802"/>
      <c r="H84" s="804" t="n">
        <f aca="false">E84/100</f>
        <v>0.3724</v>
      </c>
      <c r="I84" s="805" t="s">
        <v>455</v>
      </c>
      <c r="J84" s="489"/>
      <c r="K84" s="292"/>
      <c r="L84" s="292"/>
      <c r="M84" s="491"/>
      <c r="N84" s="19"/>
      <c r="O84" s="19"/>
      <c r="P84" s="19"/>
      <c r="Q84" s="19"/>
      <c r="R84" s="19"/>
      <c r="S84" s="19"/>
    </row>
    <row r="85" customFormat="false" ht="12" hidden="false" customHeight="true" outlineLevel="0" collapsed="false">
      <c r="A85" s="19"/>
      <c r="B85" s="801" t="n">
        <v>8</v>
      </c>
      <c r="C85" s="112" t="n">
        <v>435</v>
      </c>
      <c r="D85" s="112" t="s">
        <v>314</v>
      </c>
      <c r="E85" s="803" t="n">
        <v>40</v>
      </c>
      <c r="F85" s="802" t="s">
        <v>1001</v>
      </c>
      <c r="G85" s="802"/>
      <c r="H85" s="804" t="n">
        <f aca="false">E85/100</f>
        <v>0.4</v>
      </c>
      <c r="I85" s="805" t="s">
        <v>455</v>
      </c>
      <c r="J85" s="489"/>
      <c r="K85" s="292" t="s">
        <v>1004</v>
      </c>
      <c r="L85" s="808" t="n">
        <f aca="false" t="array" ref="L85:L85">(INDEX(H78:H90,L79,1))*L83</f>
        <v>0.47875</v>
      </c>
      <c r="M85" s="491"/>
      <c r="N85" s="19"/>
      <c r="O85" s="19"/>
      <c r="P85" s="19"/>
      <c r="Q85" s="19"/>
      <c r="R85" s="19"/>
      <c r="S85" s="19"/>
    </row>
    <row r="86" customFormat="false" ht="12" hidden="false" customHeight="true" outlineLevel="0" collapsed="false">
      <c r="A86" s="19"/>
      <c r="B86" s="801" t="n">
        <v>9</v>
      </c>
      <c r="C86" s="802" t="n">
        <v>500</v>
      </c>
      <c r="D86" s="802" t="s">
        <v>314</v>
      </c>
      <c r="E86" s="803" t="n">
        <v>46.55</v>
      </c>
      <c r="F86" s="802" t="s">
        <v>1001</v>
      </c>
      <c r="G86" s="802"/>
      <c r="H86" s="804" t="n">
        <f aca="false">E86/100</f>
        <v>0.4655</v>
      </c>
      <c r="I86" s="805" t="s">
        <v>455</v>
      </c>
      <c r="J86" s="489"/>
      <c r="K86" s="292"/>
      <c r="L86" s="292"/>
      <c r="M86" s="491"/>
      <c r="N86" s="19"/>
      <c r="O86" s="19"/>
      <c r="P86" s="19"/>
      <c r="Q86" s="19"/>
      <c r="R86" s="19"/>
      <c r="S86" s="19"/>
    </row>
    <row r="87" customFormat="false" ht="12" hidden="false" customHeight="true" outlineLevel="0" collapsed="false">
      <c r="A87" s="19"/>
      <c r="B87" s="801" t="n">
        <v>10</v>
      </c>
      <c r="C87" s="112" t="n">
        <v>1270</v>
      </c>
      <c r="D87" s="112" t="s">
        <v>314</v>
      </c>
      <c r="E87" s="803" t="n">
        <v>65.2</v>
      </c>
      <c r="F87" s="802" t="s">
        <v>1001</v>
      </c>
      <c r="G87" s="802"/>
      <c r="H87" s="804" t="n">
        <f aca="false">E87/100</f>
        <v>0.652</v>
      </c>
      <c r="I87" s="805" t="s">
        <v>455</v>
      </c>
      <c r="J87" s="489"/>
      <c r="K87" s="292"/>
      <c r="L87" s="292"/>
      <c r="M87" s="491"/>
      <c r="N87" s="19"/>
      <c r="O87" s="19"/>
      <c r="P87" s="19"/>
      <c r="Q87" s="19"/>
      <c r="R87" s="19"/>
      <c r="S87" s="19"/>
    </row>
    <row r="88" customFormat="false" ht="12" hidden="false" customHeight="true" outlineLevel="0" collapsed="false">
      <c r="A88" s="19"/>
      <c r="B88" s="801" t="n">
        <v>11</v>
      </c>
      <c r="C88" s="112" t="n">
        <v>2400</v>
      </c>
      <c r="D88" s="112" t="s">
        <v>314</v>
      </c>
      <c r="E88" s="803" t="n">
        <v>95.75</v>
      </c>
      <c r="F88" s="802" t="s">
        <v>1001</v>
      </c>
      <c r="G88" s="802"/>
      <c r="H88" s="804" t="n">
        <f aca="false">E88/100</f>
        <v>0.9575</v>
      </c>
      <c r="I88" s="805" t="s">
        <v>455</v>
      </c>
      <c r="J88" s="489"/>
      <c r="K88" s="292"/>
      <c r="L88" s="23" t="s">
        <v>60</v>
      </c>
      <c r="M88" s="491"/>
      <c r="N88" s="19"/>
      <c r="O88" s="19"/>
      <c r="P88" s="19"/>
      <c r="Q88" s="19"/>
      <c r="R88" s="19"/>
      <c r="S88" s="19"/>
    </row>
    <row r="89" customFormat="false" ht="12" hidden="false" customHeight="true" outlineLevel="0" collapsed="false">
      <c r="A89" s="19"/>
      <c r="B89" s="801" t="n">
        <v>12</v>
      </c>
      <c r="C89" s="802" t="n">
        <v>3300</v>
      </c>
      <c r="D89" s="802" t="s">
        <v>314</v>
      </c>
      <c r="E89" s="803" t="n">
        <v>126.4</v>
      </c>
      <c r="F89" s="802" t="s">
        <v>1001</v>
      </c>
      <c r="G89" s="802"/>
      <c r="H89" s="804" t="n">
        <f aca="false">E89/100</f>
        <v>1.264</v>
      </c>
      <c r="I89" s="805" t="s">
        <v>455</v>
      </c>
      <c r="J89" s="489"/>
      <c r="K89" s="292"/>
      <c r="L89" s="292"/>
      <c r="M89" s="491"/>
      <c r="N89" s="19"/>
      <c r="O89" s="19"/>
      <c r="P89" s="19"/>
      <c r="Q89" s="19"/>
      <c r="R89" s="19"/>
      <c r="S89" s="19"/>
    </row>
    <row r="90" customFormat="false" ht="12.75" hidden="false" customHeight="true" outlineLevel="0" collapsed="false">
      <c r="A90" s="19"/>
      <c r="B90" s="809" t="n">
        <v>13</v>
      </c>
      <c r="C90" s="810" t="n">
        <v>5000</v>
      </c>
      <c r="D90" s="810" t="s">
        <v>314</v>
      </c>
      <c r="E90" s="811" t="n">
        <v>170.2</v>
      </c>
      <c r="F90" s="810" t="s">
        <v>1001</v>
      </c>
      <c r="G90" s="810"/>
      <c r="H90" s="812" t="n">
        <f aca="false">E90/100</f>
        <v>1.702</v>
      </c>
      <c r="I90" s="813" t="s">
        <v>455</v>
      </c>
      <c r="J90" s="494" t="s">
        <v>1015</v>
      </c>
      <c r="K90" s="495"/>
      <c r="L90" s="495"/>
      <c r="M90" s="497"/>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2" t="s">
        <v>1016</v>
      </c>
      <c r="C94" s="793"/>
      <c r="D94" s="793"/>
      <c r="E94" s="793"/>
      <c r="F94" s="793"/>
      <c r="G94" s="793"/>
      <c r="H94" s="793"/>
      <c r="I94" s="793"/>
      <c r="J94" s="793"/>
      <c r="K94" s="793"/>
      <c r="L94" s="793"/>
      <c r="M94" s="794"/>
      <c r="N94" s="19"/>
      <c r="O94" s="19"/>
      <c r="P94" s="19"/>
      <c r="Q94" s="19"/>
      <c r="R94" s="19"/>
      <c r="S94" s="19"/>
    </row>
    <row r="95" customFormat="false" ht="12" hidden="false" customHeight="true" outlineLevel="0" collapsed="false">
      <c r="A95" s="19"/>
      <c r="B95" s="795"/>
      <c r="C95" s="49" t="s">
        <v>1017</v>
      </c>
      <c r="D95" s="49"/>
      <c r="E95" s="49"/>
      <c r="F95" s="49"/>
      <c r="G95" s="49"/>
      <c r="H95" s="49"/>
      <c r="I95" s="49"/>
      <c r="J95" s="49"/>
      <c r="K95" s="49"/>
      <c r="L95" s="49"/>
      <c r="M95" s="388"/>
      <c r="N95" s="19"/>
      <c r="O95" s="19"/>
      <c r="P95" s="19"/>
      <c r="Q95" s="19"/>
      <c r="R95" s="19"/>
      <c r="S95" s="19"/>
    </row>
    <row r="96" customFormat="false" ht="12" hidden="false" customHeight="true" outlineLevel="0" collapsed="false">
      <c r="A96" s="19"/>
      <c r="B96" s="795"/>
      <c r="C96" s="49" t="s">
        <v>1018</v>
      </c>
      <c r="D96" s="49"/>
      <c r="E96" s="49"/>
      <c r="F96" s="49"/>
      <c r="G96" s="49"/>
      <c r="H96" s="49"/>
      <c r="I96" s="49"/>
      <c r="J96" s="49"/>
      <c r="K96" s="49"/>
      <c r="L96" s="49"/>
      <c r="M96" s="388"/>
      <c r="N96" s="19"/>
      <c r="O96" s="19"/>
      <c r="P96" s="19"/>
      <c r="Q96" s="19"/>
      <c r="R96" s="19"/>
      <c r="S96" s="19"/>
    </row>
    <row r="97" customFormat="false" ht="12.75" hidden="false" customHeight="true" outlineLevel="0" collapsed="false">
      <c r="A97" s="19"/>
      <c r="B97" s="796"/>
      <c r="C97" s="342" t="s">
        <v>1019</v>
      </c>
      <c r="D97" s="342"/>
      <c r="E97" s="342"/>
      <c r="F97" s="342"/>
      <c r="G97" s="342"/>
      <c r="H97" s="342"/>
      <c r="I97" s="342"/>
      <c r="J97" s="342"/>
      <c r="K97" s="342"/>
      <c r="L97" s="342"/>
      <c r="M97" s="380"/>
      <c r="N97" s="19"/>
      <c r="O97" s="19"/>
      <c r="P97" s="19"/>
      <c r="Q97" s="19"/>
      <c r="R97" s="19"/>
      <c r="S97" s="19"/>
    </row>
    <row r="98" customFormat="false" ht="12" hidden="false" customHeight="true" outlineLevel="0" collapsed="false">
      <c r="A98" s="19"/>
      <c r="B98" s="797" t="s">
        <v>997</v>
      </c>
      <c r="C98" s="798" t="s">
        <v>998</v>
      </c>
      <c r="D98" s="799"/>
      <c r="E98" s="799" t="s">
        <v>999</v>
      </c>
      <c r="F98" s="799"/>
      <c r="G98" s="799"/>
      <c r="H98" s="798" t="s">
        <v>1000</v>
      </c>
      <c r="I98" s="799"/>
      <c r="J98" s="814"/>
      <c r="K98" s="487"/>
      <c r="L98" s="487"/>
      <c r="M98" s="488"/>
      <c r="N98" s="19"/>
      <c r="O98" s="19"/>
      <c r="P98" s="19"/>
      <c r="Q98" s="19"/>
      <c r="R98" s="19"/>
      <c r="S98" s="19"/>
    </row>
    <row r="99" customFormat="false" ht="12" hidden="false" customHeight="true" outlineLevel="0" collapsed="false">
      <c r="A99" s="19"/>
      <c r="B99" s="801" t="n">
        <v>1</v>
      </c>
      <c r="C99" s="112" t="n">
        <v>30</v>
      </c>
      <c r="D99" s="112" t="s">
        <v>314</v>
      </c>
      <c r="E99" s="803" t="n">
        <v>13</v>
      </c>
      <c r="F99" s="802" t="s">
        <v>1001</v>
      </c>
      <c r="G99" s="802" t="s">
        <v>0</v>
      </c>
      <c r="H99" s="804" t="n">
        <v>0.13</v>
      </c>
      <c r="I99" s="802" t="s">
        <v>455</v>
      </c>
      <c r="J99" s="489"/>
      <c r="K99" s="292" t="s">
        <v>0</v>
      </c>
      <c r="L99" s="292"/>
      <c r="M99" s="491"/>
      <c r="N99" s="19"/>
      <c r="O99" s="19"/>
      <c r="P99" s="19"/>
      <c r="Q99" s="19"/>
      <c r="R99" s="19"/>
      <c r="S99" s="19"/>
    </row>
    <row r="100" customFormat="false" ht="12" hidden="false" customHeight="true" outlineLevel="0" collapsed="false">
      <c r="A100" s="19"/>
      <c r="B100" s="801" t="n">
        <v>2</v>
      </c>
      <c r="C100" s="112" t="n">
        <v>145</v>
      </c>
      <c r="D100" s="112" t="s">
        <v>314</v>
      </c>
      <c r="E100" s="803" t="n">
        <v>25</v>
      </c>
      <c r="F100" s="802" t="s">
        <v>1001</v>
      </c>
      <c r="G100" s="802"/>
      <c r="H100" s="804" t="n">
        <v>0.25</v>
      </c>
      <c r="I100" s="802" t="s">
        <v>455</v>
      </c>
      <c r="J100" s="489"/>
      <c r="K100" s="292" t="s">
        <v>997</v>
      </c>
      <c r="L100" s="50" t="n">
        <v>3</v>
      </c>
      <c r="M100" s="491"/>
      <c r="N100" s="19"/>
      <c r="O100" s="19"/>
      <c r="P100" s="19"/>
      <c r="Q100" s="19"/>
      <c r="R100" s="19"/>
      <c r="S100" s="19"/>
    </row>
    <row r="101" customFormat="false" ht="12" hidden="false" customHeight="true" outlineLevel="0" collapsed="false">
      <c r="A101" s="19"/>
      <c r="B101" s="801" t="n">
        <v>3</v>
      </c>
      <c r="C101" s="112" t="n">
        <v>435</v>
      </c>
      <c r="D101" s="112" t="s">
        <v>314</v>
      </c>
      <c r="E101" s="803" t="n">
        <v>33</v>
      </c>
      <c r="F101" s="802" t="s">
        <v>1001</v>
      </c>
      <c r="G101" s="802"/>
      <c r="H101" s="804" t="n">
        <v>0.33</v>
      </c>
      <c r="I101" s="802" t="s">
        <v>455</v>
      </c>
      <c r="J101" s="489"/>
      <c r="K101" s="292"/>
      <c r="L101" s="292"/>
      <c r="M101" s="491"/>
      <c r="N101" s="19"/>
      <c r="O101" s="19"/>
      <c r="P101" s="19"/>
      <c r="Q101" s="19"/>
      <c r="R101" s="19"/>
      <c r="S101" s="19"/>
    </row>
    <row r="102" customFormat="false" ht="12" hidden="false" customHeight="true" outlineLevel="0" collapsed="false">
      <c r="A102" s="19"/>
      <c r="B102" s="801" t="n">
        <v>4</v>
      </c>
      <c r="C102" s="112" t="n">
        <v>1270</v>
      </c>
      <c r="D102" s="112" t="s">
        <v>314</v>
      </c>
      <c r="E102" s="803" t="n">
        <v>53</v>
      </c>
      <c r="F102" s="802" t="s">
        <v>1001</v>
      </c>
      <c r="G102" s="802"/>
      <c r="H102" s="804" t="n">
        <v>0.53</v>
      </c>
      <c r="I102" s="802" t="s">
        <v>455</v>
      </c>
      <c r="J102" s="489"/>
      <c r="K102" s="292" t="s">
        <v>309</v>
      </c>
      <c r="L102" s="815" t="n">
        <f aca="false" t="array" ref="L102:L102">INDEX(C99:C112,L100,1)</f>
        <v>435</v>
      </c>
      <c r="M102" s="491"/>
      <c r="N102" s="19"/>
      <c r="O102" s="19"/>
      <c r="P102" s="19"/>
      <c r="Q102" s="19"/>
      <c r="R102" s="19"/>
      <c r="S102" s="19"/>
    </row>
    <row r="103" customFormat="false" ht="12" hidden="false" customHeight="true" outlineLevel="0" collapsed="false">
      <c r="A103" s="19"/>
      <c r="B103" s="801" t="n">
        <v>5</v>
      </c>
      <c r="C103" s="802" t="n">
        <v>2000</v>
      </c>
      <c r="D103" s="802" t="s">
        <v>314</v>
      </c>
      <c r="E103" s="816" t="n">
        <v>88.6</v>
      </c>
      <c r="F103" s="802" t="s">
        <v>1001</v>
      </c>
      <c r="G103" s="802"/>
      <c r="H103" s="817" t="n">
        <v>0.886</v>
      </c>
      <c r="I103" s="802" t="s">
        <v>455</v>
      </c>
      <c r="J103" s="489"/>
      <c r="K103" s="292"/>
      <c r="L103" s="292"/>
      <c r="M103" s="491"/>
      <c r="N103" s="19"/>
      <c r="O103" s="19"/>
      <c r="P103" s="19"/>
      <c r="Q103" s="19"/>
      <c r="R103" s="19"/>
      <c r="S103" s="19"/>
    </row>
    <row r="104" customFormat="false" ht="12" hidden="false" customHeight="true" outlineLevel="0" collapsed="false">
      <c r="A104" s="19"/>
      <c r="B104" s="801" t="n">
        <v>6</v>
      </c>
      <c r="C104" s="112" t="n">
        <v>2400</v>
      </c>
      <c r="D104" s="112" t="s">
        <v>314</v>
      </c>
      <c r="E104" s="803" t="n">
        <v>96</v>
      </c>
      <c r="F104" s="802" t="s">
        <v>1001</v>
      </c>
      <c r="G104" s="802"/>
      <c r="H104" s="804" t="n">
        <v>0.96</v>
      </c>
      <c r="I104" s="802" t="s">
        <v>455</v>
      </c>
      <c r="J104" s="489"/>
      <c r="K104" s="292" t="s">
        <v>1003</v>
      </c>
      <c r="L104" s="807" t="n">
        <v>0.5</v>
      </c>
      <c r="M104" s="491"/>
      <c r="N104" s="19"/>
      <c r="O104" s="19"/>
      <c r="P104" s="19"/>
      <c r="Q104" s="19"/>
      <c r="R104" s="19"/>
      <c r="S104" s="19"/>
    </row>
    <row r="105" customFormat="false" ht="12" hidden="false" customHeight="true" outlineLevel="0" collapsed="false">
      <c r="A105" s="19"/>
      <c r="B105" s="801" t="n">
        <v>7</v>
      </c>
      <c r="C105" s="818" t="n">
        <v>10000</v>
      </c>
      <c r="D105" s="802" t="s">
        <v>314</v>
      </c>
      <c r="E105" s="816" t="n">
        <v>200.1</v>
      </c>
      <c r="F105" s="802" t="s">
        <v>1001</v>
      </c>
      <c r="G105" s="802"/>
      <c r="H105" s="817" t="n">
        <v>2.001</v>
      </c>
      <c r="I105" s="802" t="s">
        <v>455</v>
      </c>
      <c r="J105" s="489"/>
      <c r="K105" s="292"/>
      <c r="L105" s="292"/>
      <c r="M105" s="491"/>
      <c r="N105" s="19"/>
      <c r="O105" s="19"/>
      <c r="P105" s="19"/>
      <c r="Q105" s="19"/>
      <c r="R105" s="19"/>
      <c r="S105" s="19"/>
    </row>
    <row r="106" customFormat="false" ht="12" hidden="false" customHeight="true" outlineLevel="0" collapsed="false">
      <c r="A106" s="19"/>
      <c r="B106" s="801" t="n">
        <v>8</v>
      </c>
      <c r="C106" s="818" t="n">
        <v>18000</v>
      </c>
      <c r="D106" s="802" t="s">
        <v>314</v>
      </c>
      <c r="E106" s="816" t="n">
        <v>275.5</v>
      </c>
      <c r="F106" s="802" t="s">
        <v>1001</v>
      </c>
      <c r="G106" s="802"/>
      <c r="H106" s="817" t="n">
        <v>2.755</v>
      </c>
      <c r="I106" s="802" t="s">
        <v>455</v>
      </c>
      <c r="J106" s="489"/>
      <c r="K106" s="292" t="s">
        <v>1004</v>
      </c>
      <c r="L106" s="808" t="n">
        <f aca="false" t="array" ref="L106:L106">(INDEX(H99:H112,L100,1))*L104</f>
        <v>0.165</v>
      </c>
      <c r="M106" s="491"/>
      <c r="N106" s="19"/>
      <c r="O106" s="19"/>
      <c r="P106" s="19"/>
      <c r="Q106" s="19"/>
      <c r="R106" s="19"/>
      <c r="S106" s="19"/>
    </row>
    <row r="107" customFormat="false" ht="12" hidden="false" customHeight="true" outlineLevel="0" collapsed="false">
      <c r="A107" s="19"/>
      <c r="B107" s="801"/>
      <c r="C107" s="819"/>
      <c r="D107" s="802"/>
      <c r="E107" s="803"/>
      <c r="F107" s="802"/>
      <c r="G107" s="802"/>
      <c r="H107" s="804"/>
      <c r="I107" s="802"/>
      <c r="J107" s="489"/>
      <c r="K107" s="292"/>
      <c r="L107" s="292"/>
      <c r="M107" s="491"/>
      <c r="N107" s="19"/>
      <c r="O107" s="19"/>
      <c r="P107" s="19"/>
      <c r="Q107" s="19"/>
      <c r="R107" s="19"/>
      <c r="S107" s="19"/>
    </row>
    <row r="108" customFormat="false" ht="12" hidden="false" customHeight="true" outlineLevel="0" collapsed="false">
      <c r="A108" s="19"/>
      <c r="B108" s="801"/>
      <c r="C108" s="819"/>
      <c r="D108" s="802"/>
      <c r="E108" s="803"/>
      <c r="F108" s="802" t="s">
        <v>0</v>
      </c>
      <c r="G108" s="802"/>
      <c r="H108" s="804"/>
      <c r="I108" s="802"/>
      <c r="J108" s="489"/>
      <c r="K108" s="292"/>
      <c r="L108" s="292"/>
      <c r="M108" s="491"/>
      <c r="N108" s="19" t="s">
        <v>0</v>
      </c>
      <c r="O108" s="19"/>
      <c r="P108" s="19"/>
      <c r="Q108" s="19"/>
      <c r="R108" s="19"/>
      <c r="S108" s="19"/>
    </row>
    <row r="109" customFormat="false" ht="12" hidden="false" customHeight="true" outlineLevel="0" collapsed="false">
      <c r="A109" s="19"/>
      <c r="B109" s="801"/>
      <c r="C109" s="819"/>
      <c r="D109" s="802"/>
      <c r="E109" s="803"/>
      <c r="F109" s="802"/>
      <c r="G109" s="802"/>
      <c r="H109" s="804"/>
      <c r="I109" s="802"/>
      <c r="J109" s="489"/>
      <c r="K109" s="292"/>
      <c r="L109" s="292"/>
      <c r="M109" s="491"/>
      <c r="N109" s="19"/>
      <c r="O109" s="19"/>
      <c r="P109" s="19"/>
      <c r="Q109" s="19"/>
      <c r="R109" s="19"/>
      <c r="S109" s="19"/>
    </row>
    <row r="110" customFormat="false" ht="12" hidden="false" customHeight="true" outlineLevel="0" collapsed="false">
      <c r="A110" s="19"/>
      <c r="B110" s="801"/>
      <c r="C110" s="819"/>
      <c r="D110" s="802"/>
      <c r="E110" s="803"/>
      <c r="F110" s="802"/>
      <c r="G110" s="802"/>
      <c r="H110" s="804"/>
      <c r="I110" s="802"/>
      <c r="J110" s="489"/>
      <c r="K110" s="292"/>
      <c r="L110" s="23" t="s">
        <v>60</v>
      </c>
      <c r="M110" s="491"/>
      <c r="N110" s="19"/>
      <c r="O110" s="19"/>
      <c r="P110" s="19"/>
      <c r="Q110" s="19"/>
      <c r="R110" s="19"/>
      <c r="S110" s="19"/>
    </row>
    <row r="111" customFormat="false" ht="12" hidden="false" customHeight="true" outlineLevel="0" collapsed="false">
      <c r="A111" s="19"/>
      <c r="B111" s="801"/>
      <c r="C111" s="819"/>
      <c r="D111" s="802"/>
      <c r="E111" s="803"/>
      <c r="F111" s="802"/>
      <c r="G111" s="802"/>
      <c r="H111" s="804"/>
      <c r="I111" s="802"/>
      <c r="J111" s="489" t="s">
        <v>1020</v>
      </c>
      <c r="K111" s="292"/>
      <c r="L111" s="292"/>
      <c r="M111" s="491"/>
      <c r="N111" s="19"/>
      <c r="O111" s="19"/>
      <c r="P111" s="19"/>
      <c r="Q111" s="19"/>
      <c r="R111" s="19"/>
      <c r="S111" s="19"/>
    </row>
    <row r="112" customFormat="false" ht="12.75" hidden="false" customHeight="true" outlineLevel="0" collapsed="false">
      <c r="A112" s="19"/>
      <c r="B112" s="809" t="s">
        <v>0</v>
      </c>
      <c r="C112" s="810" t="s">
        <v>0</v>
      </c>
      <c r="D112" s="810" t="s">
        <v>0</v>
      </c>
      <c r="E112" s="811"/>
      <c r="F112" s="810"/>
      <c r="G112" s="810"/>
      <c r="H112" s="812"/>
      <c r="I112" s="810"/>
      <c r="J112" s="494" t="s">
        <v>1021</v>
      </c>
      <c r="K112" s="495"/>
      <c r="L112" s="495"/>
      <c r="M112" s="497"/>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2" t="s">
        <v>1022</v>
      </c>
      <c r="C116" s="793"/>
      <c r="D116" s="793"/>
      <c r="E116" s="793"/>
      <c r="F116" s="793"/>
      <c r="G116" s="793"/>
      <c r="H116" s="793"/>
      <c r="I116" s="793"/>
      <c r="J116" s="793"/>
      <c r="K116" s="793"/>
      <c r="L116" s="793"/>
      <c r="M116" s="794"/>
      <c r="N116" s="19"/>
      <c r="O116" s="19"/>
      <c r="P116" s="19"/>
      <c r="Q116" s="19"/>
      <c r="R116" s="19"/>
      <c r="S116" s="19"/>
    </row>
    <row r="117" customFormat="false" ht="12" hidden="false" customHeight="true" outlineLevel="0" collapsed="false">
      <c r="A117" s="19"/>
      <c r="B117" s="795"/>
      <c r="C117" s="49" t="s">
        <v>1023</v>
      </c>
      <c r="D117" s="49"/>
      <c r="E117" s="49"/>
      <c r="F117" s="49"/>
      <c r="G117" s="49"/>
      <c r="H117" s="49"/>
      <c r="I117" s="49"/>
      <c r="J117" s="49"/>
      <c r="K117" s="49"/>
      <c r="L117" s="49"/>
      <c r="M117" s="388"/>
      <c r="N117" s="19"/>
      <c r="O117" s="19"/>
      <c r="P117" s="19"/>
      <c r="Q117" s="19"/>
      <c r="R117" s="19"/>
      <c r="S117" s="19"/>
    </row>
    <row r="118" customFormat="false" ht="12" hidden="false" customHeight="true" outlineLevel="0" collapsed="false">
      <c r="A118" s="19"/>
      <c r="B118" s="795"/>
      <c r="C118" s="49" t="s">
        <v>1024</v>
      </c>
      <c r="D118" s="49"/>
      <c r="E118" s="49"/>
      <c r="F118" s="49"/>
      <c r="G118" s="49"/>
      <c r="H118" s="49"/>
      <c r="I118" s="49"/>
      <c r="J118" s="49"/>
      <c r="K118" s="49"/>
      <c r="L118" s="49"/>
      <c r="M118" s="388"/>
      <c r="N118" s="19"/>
      <c r="O118" s="19"/>
      <c r="P118" s="19"/>
      <c r="Q118" s="19"/>
      <c r="R118" s="19"/>
      <c r="S118" s="19"/>
    </row>
    <row r="119" customFormat="false" ht="12.75" hidden="false" customHeight="true" outlineLevel="0" collapsed="false">
      <c r="A119" s="19"/>
      <c r="B119" s="796"/>
      <c r="C119" s="342" t="s">
        <v>1019</v>
      </c>
      <c r="D119" s="342"/>
      <c r="E119" s="342"/>
      <c r="F119" s="342"/>
      <c r="G119" s="342"/>
      <c r="H119" s="342"/>
      <c r="I119" s="342"/>
      <c r="J119" s="342"/>
      <c r="K119" s="342"/>
      <c r="L119" s="342"/>
      <c r="M119" s="380"/>
      <c r="N119" s="19"/>
      <c r="O119" s="19"/>
      <c r="P119" s="19"/>
      <c r="Q119" s="19"/>
      <c r="R119" s="19"/>
      <c r="S119" s="19"/>
    </row>
    <row r="120" customFormat="false" ht="12" hidden="false" customHeight="true" outlineLevel="0" collapsed="false">
      <c r="A120" s="19"/>
      <c r="B120" s="797" t="s">
        <v>997</v>
      </c>
      <c r="C120" s="798" t="s">
        <v>998</v>
      </c>
      <c r="D120" s="799"/>
      <c r="E120" s="799" t="s">
        <v>999</v>
      </c>
      <c r="F120" s="799"/>
      <c r="G120" s="799"/>
      <c r="H120" s="798" t="s">
        <v>1000</v>
      </c>
      <c r="I120" s="799"/>
      <c r="J120" s="814"/>
      <c r="K120" s="487"/>
      <c r="L120" s="487"/>
      <c r="M120" s="488"/>
      <c r="N120" s="19"/>
      <c r="O120" s="19"/>
      <c r="P120" s="19"/>
      <c r="Q120" s="19"/>
      <c r="R120" s="19"/>
      <c r="S120" s="19"/>
    </row>
    <row r="121" customFormat="false" ht="12" hidden="false" customHeight="true" outlineLevel="0" collapsed="false">
      <c r="A121" s="19"/>
      <c r="B121" s="801" t="n">
        <v>1</v>
      </c>
      <c r="C121" s="112" t="n">
        <v>30</v>
      </c>
      <c r="D121" s="112" t="s">
        <v>314</v>
      </c>
      <c r="E121" s="803" t="n">
        <v>8</v>
      </c>
      <c r="F121" s="802" t="s">
        <v>1001</v>
      </c>
      <c r="G121" s="802" t="s">
        <v>0</v>
      </c>
      <c r="H121" s="804" t="n">
        <v>0.08</v>
      </c>
      <c r="I121" s="802" t="s">
        <v>455</v>
      </c>
      <c r="J121" s="489"/>
      <c r="K121" s="292" t="s">
        <v>0</v>
      </c>
      <c r="L121" s="292"/>
      <c r="M121" s="491"/>
      <c r="N121" s="19"/>
      <c r="O121" s="19"/>
      <c r="P121" s="19"/>
      <c r="Q121" s="19"/>
      <c r="R121" s="19"/>
      <c r="S121" s="19"/>
    </row>
    <row r="122" customFormat="false" ht="12" hidden="false" customHeight="true" outlineLevel="0" collapsed="false">
      <c r="A122" s="19"/>
      <c r="B122" s="801" t="n">
        <v>2</v>
      </c>
      <c r="C122" s="112" t="n">
        <v>145</v>
      </c>
      <c r="D122" s="112" t="s">
        <v>314</v>
      </c>
      <c r="E122" s="803" t="n">
        <v>15</v>
      </c>
      <c r="F122" s="802" t="s">
        <v>1001</v>
      </c>
      <c r="G122" s="802"/>
      <c r="H122" s="804" t="n">
        <v>0.15</v>
      </c>
      <c r="I122" s="802" t="s">
        <v>455</v>
      </c>
      <c r="J122" s="489"/>
      <c r="K122" s="292" t="s">
        <v>997</v>
      </c>
      <c r="L122" s="50" t="n">
        <v>7</v>
      </c>
      <c r="M122" s="491"/>
      <c r="N122" s="19"/>
      <c r="O122" s="19"/>
      <c r="P122" s="19"/>
      <c r="Q122" s="19"/>
      <c r="R122" s="19"/>
      <c r="S122" s="19"/>
    </row>
    <row r="123" customFormat="false" ht="12" hidden="false" customHeight="true" outlineLevel="0" collapsed="false">
      <c r="A123" s="19"/>
      <c r="B123" s="801" t="n">
        <v>3</v>
      </c>
      <c r="C123" s="112" t="n">
        <v>435</v>
      </c>
      <c r="D123" s="112" t="s">
        <v>314</v>
      </c>
      <c r="E123" s="803" t="n">
        <v>24</v>
      </c>
      <c r="F123" s="802" t="s">
        <v>1001</v>
      </c>
      <c r="G123" s="802"/>
      <c r="H123" s="804" t="n">
        <v>0.24</v>
      </c>
      <c r="I123" s="802" t="s">
        <v>455</v>
      </c>
      <c r="J123" s="489"/>
      <c r="K123" s="292"/>
      <c r="L123" s="292"/>
      <c r="M123" s="491"/>
      <c r="N123" s="19"/>
      <c r="O123" s="19"/>
      <c r="P123" s="19"/>
      <c r="Q123" s="19"/>
      <c r="R123" s="19"/>
      <c r="S123" s="19"/>
    </row>
    <row r="124" customFormat="false" ht="12" hidden="false" customHeight="true" outlineLevel="0" collapsed="false">
      <c r="A124" s="19"/>
      <c r="B124" s="801" t="n">
        <v>4</v>
      </c>
      <c r="C124" s="112" t="n">
        <v>1270</v>
      </c>
      <c r="D124" s="112" t="s">
        <v>314</v>
      </c>
      <c r="E124" s="803" t="n">
        <v>57.5</v>
      </c>
      <c r="F124" s="802" t="s">
        <v>1001</v>
      </c>
      <c r="G124" s="802"/>
      <c r="H124" s="820" t="n">
        <v>0.575</v>
      </c>
      <c r="I124" s="802" t="s">
        <v>455</v>
      </c>
      <c r="J124" s="489"/>
      <c r="K124" s="292" t="s">
        <v>309</v>
      </c>
      <c r="L124" s="806" t="n">
        <f aca="false" t="array" ref="L124:L124">INDEX(C121:C134,L122,1)</f>
        <v>10000</v>
      </c>
      <c r="M124" s="491"/>
      <c r="N124" s="19"/>
      <c r="O124" s="19"/>
      <c r="P124" s="19"/>
      <c r="Q124" s="19"/>
      <c r="R124" s="19"/>
      <c r="S124" s="19"/>
    </row>
    <row r="125" customFormat="false" ht="12" hidden="false" customHeight="true" outlineLevel="0" collapsed="false">
      <c r="A125" s="19"/>
      <c r="B125" s="801" t="n">
        <v>5</v>
      </c>
      <c r="C125" s="802" t="n">
        <v>2000</v>
      </c>
      <c r="D125" s="802" t="s">
        <v>314</v>
      </c>
      <c r="E125" s="816" t="n">
        <v>65.6</v>
      </c>
      <c r="F125" s="802" t="s">
        <v>1001</v>
      </c>
      <c r="G125" s="802"/>
      <c r="H125" s="817" t="n">
        <v>0.656</v>
      </c>
      <c r="I125" s="802" t="s">
        <v>455</v>
      </c>
      <c r="J125" s="489"/>
      <c r="K125" s="292"/>
      <c r="L125" s="292"/>
      <c r="M125" s="491"/>
      <c r="N125" s="19"/>
      <c r="O125" s="19"/>
      <c r="P125" s="19"/>
      <c r="Q125" s="19"/>
      <c r="R125" s="19"/>
      <c r="S125" s="19"/>
    </row>
    <row r="126" customFormat="false" ht="12" hidden="false" customHeight="true" outlineLevel="0" collapsed="false">
      <c r="A126" s="19"/>
      <c r="B126" s="801" t="n">
        <v>6</v>
      </c>
      <c r="C126" s="112" t="n">
        <v>2400</v>
      </c>
      <c r="D126" s="112" t="s">
        <v>314</v>
      </c>
      <c r="E126" s="803" t="n">
        <v>68.5</v>
      </c>
      <c r="F126" s="802" t="s">
        <v>1001</v>
      </c>
      <c r="G126" s="802"/>
      <c r="H126" s="820" t="n">
        <v>0.685</v>
      </c>
      <c r="I126" s="802" t="s">
        <v>455</v>
      </c>
      <c r="J126" s="489"/>
      <c r="K126" s="292" t="s">
        <v>1003</v>
      </c>
      <c r="L126" s="807" t="n">
        <v>0.5</v>
      </c>
      <c r="M126" s="491"/>
      <c r="N126" s="19"/>
      <c r="O126" s="19"/>
      <c r="P126" s="19"/>
      <c r="Q126" s="19"/>
      <c r="R126" s="19"/>
      <c r="S126" s="19"/>
    </row>
    <row r="127" customFormat="false" ht="12" hidden="false" customHeight="true" outlineLevel="0" collapsed="false">
      <c r="A127" s="19"/>
      <c r="B127" s="801" t="n">
        <v>7</v>
      </c>
      <c r="C127" s="818" t="n">
        <v>10000</v>
      </c>
      <c r="D127" s="802" t="s">
        <v>314</v>
      </c>
      <c r="E127" s="816" t="n">
        <v>91.8</v>
      </c>
      <c r="F127" s="802" t="s">
        <v>1001</v>
      </c>
      <c r="G127" s="802"/>
      <c r="H127" s="817" t="n">
        <v>0.918</v>
      </c>
      <c r="I127" s="802" t="s">
        <v>455</v>
      </c>
      <c r="J127" s="489"/>
      <c r="K127" s="292"/>
      <c r="L127" s="292"/>
      <c r="M127" s="491"/>
      <c r="N127" s="19"/>
      <c r="O127" s="19"/>
      <c r="P127" s="19"/>
      <c r="Q127" s="19"/>
      <c r="R127" s="19"/>
      <c r="S127" s="19"/>
    </row>
    <row r="128" customFormat="false" ht="12" hidden="false" customHeight="true" outlineLevel="0" collapsed="false">
      <c r="A128" s="19"/>
      <c r="B128" s="801" t="n">
        <v>8</v>
      </c>
      <c r="C128" s="818" t="n">
        <v>18000</v>
      </c>
      <c r="D128" s="802" t="s">
        <v>314</v>
      </c>
      <c r="E128" s="816" t="n">
        <v>124.6</v>
      </c>
      <c r="F128" s="802" t="s">
        <v>1001</v>
      </c>
      <c r="G128" s="802"/>
      <c r="H128" s="817" t="n">
        <v>1.246</v>
      </c>
      <c r="I128" s="802" t="s">
        <v>455</v>
      </c>
      <c r="J128" s="489"/>
      <c r="K128" s="292" t="s">
        <v>1004</v>
      </c>
      <c r="L128" s="808" t="n">
        <f aca="false" t="array" ref="L128:L128">(INDEX(H121:H134,L122,1))*L126</f>
        <v>0.459</v>
      </c>
      <c r="M128" s="491"/>
      <c r="N128" s="19"/>
      <c r="O128" s="19"/>
      <c r="P128" s="19"/>
      <c r="Q128" s="19"/>
      <c r="R128" s="19"/>
      <c r="S128" s="19"/>
    </row>
    <row r="129" customFormat="false" ht="12" hidden="false" customHeight="true" outlineLevel="0" collapsed="false">
      <c r="A129" s="19"/>
      <c r="B129" s="801"/>
      <c r="C129" s="819"/>
      <c r="D129" s="802"/>
      <c r="E129" s="803"/>
      <c r="F129" s="802"/>
      <c r="G129" s="802"/>
      <c r="H129" s="804"/>
      <c r="I129" s="802"/>
      <c r="J129" s="489"/>
      <c r="K129" s="292"/>
      <c r="L129" s="292"/>
      <c r="M129" s="491"/>
      <c r="N129" s="19"/>
      <c r="O129" s="19"/>
      <c r="P129" s="19"/>
      <c r="Q129" s="19"/>
      <c r="R129" s="19"/>
      <c r="S129" s="19"/>
    </row>
    <row r="130" customFormat="false" ht="12" hidden="false" customHeight="true" outlineLevel="0" collapsed="false">
      <c r="A130" s="19"/>
      <c r="B130" s="801"/>
      <c r="C130" s="819"/>
      <c r="D130" s="802"/>
      <c r="E130" s="803"/>
      <c r="F130" s="802" t="s">
        <v>0</v>
      </c>
      <c r="G130" s="802"/>
      <c r="H130" s="804"/>
      <c r="I130" s="802"/>
      <c r="J130" s="489"/>
      <c r="K130" s="292"/>
      <c r="L130" s="292"/>
      <c r="M130" s="491"/>
      <c r="N130" s="19"/>
      <c r="O130" s="19"/>
      <c r="P130" s="19"/>
      <c r="Q130" s="19"/>
      <c r="R130" s="19"/>
      <c r="S130" s="19"/>
    </row>
    <row r="131" customFormat="false" ht="12" hidden="false" customHeight="true" outlineLevel="0" collapsed="false">
      <c r="A131" s="19"/>
      <c r="B131" s="801"/>
      <c r="C131" s="819"/>
      <c r="D131" s="802"/>
      <c r="E131" s="803"/>
      <c r="F131" s="802"/>
      <c r="G131" s="802"/>
      <c r="H131" s="804"/>
      <c r="I131" s="802"/>
      <c r="J131" s="489"/>
      <c r="K131" s="292"/>
      <c r="L131" s="292"/>
      <c r="M131" s="491"/>
      <c r="N131" s="19"/>
      <c r="O131" s="19"/>
      <c r="P131" s="19"/>
      <c r="Q131" s="19"/>
      <c r="R131" s="19"/>
      <c r="S131" s="19"/>
    </row>
    <row r="132" customFormat="false" ht="12" hidden="false" customHeight="true" outlineLevel="0" collapsed="false">
      <c r="A132" s="19"/>
      <c r="B132" s="801"/>
      <c r="C132" s="819"/>
      <c r="D132" s="802"/>
      <c r="E132" s="803"/>
      <c r="F132" s="802"/>
      <c r="G132" s="802"/>
      <c r="H132" s="804"/>
      <c r="I132" s="802"/>
      <c r="J132" s="489"/>
      <c r="K132" s="292"/>
      <c r="L132" s="23" t="s">
        <v>60</v>
      </c>
      <c r="M132" s="491"/>
      <c r="N132" s="19"/>
      <c r="O132" s="19"/>
      <c r="P132" s="19"/>
      <c r="Q132" s="19"/>
      <c r="R132" s="19"/>
      <c r="S132" s="19"/>
    </row>
    <row r="133" customFormat="false" ht="12" hidden="false" customHeight="true" outlineLevel="0" collapsed="false">
      <c r="A133" s="19"/>
      <c r="B133" s="801"/>
      <c r="C133" s="819"/>
      <c r="D133" s="802"/>
      <c r="E133" s="803"/>
      <c r="F133" s="802"/>
      <c r="G133" s="802"/>
      <c r="H133" s="804"/>
      <c r="I133" s="802"/>
      <c r="J133" s="489" t="s">
        <v>1025</v>
      </c>
      <c r="K133" s="292"/>
      <c r="L133" s="292"/>
      <c r="M133" s="491"/>
      <c r="N133" s="19"/>
      <c r="O133" s="19"/>
      <c r="P133" s="19"/>
      <c r="Q133" s="19"/>
      <c r="R133" s="19"/>
      <c r="S133" s="19"/>
    </row>
    <row r="134" customFormat="false" ht="12.75" hidden="false" customHeight="true" outlineLevel="0" collapsed="false">
      <c r="A134" s="19"/>
      <c r="B134" s="809" t="s">
        <v>0</v>
      </c>
      <c r="C134" s="810" t="s">
        <v>0</v>
      </c>
      <c r="D134" s="810" t="s">
        <v>0</v>
      </c>
      <c r="E134" s="811"/>
      <c r="F134" s="810"/>
      <c r="G134" s="810"/>
      <c r="H134" s="812"/>
      <c r="I134" s="810"/>
      <c r="J134" s="494" t="s">
        <v>1021</v>
      </c>
      <c r="K134" s="495"/>
      <c r="L134" s="495"/>
      <c r="M134" s="497"/>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1026</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60</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1027</v>
      </c>
      <c r="E6" s="19"/>
      <c r="F6" s="19"/>
      <c r="G6" s="19" t="s">
        <v>0</v>
      </c>
      <c r="H6" s="821" t="n">
        <v>3</v>
      </c>
      <c r="I6" s="253" t="s">
        <v>727</v>
      </c>
      <c r="J6" s="790"/>
      <c r="K6" s="790"/>
      <c r="L6" s="790"/>
      <c r="M6" s="790"/>
      <c r="N6" s="790"/>
      <c r="O6" s="790"/>
      <c r="P6" s="790"/>
      <c r="Q6" s="790"/>
      <c r="R6" s="790"/>
      <c r="S6" s="790"/>
      <c r="T6" s="19"/>
      <c r="U6" s="19"/>
      <c r="V6" s="19"/>
      <c r="W6" s="19"/>
      <c r="X6" s="19"/>
    </row>
    <row r="7" customFormat="false" ht="12" hidden="false" customHeight="true" outlineLevel="0" collapsed="false">
      <c r="A7" s="19"/>
      <c r="B7" s="19"/>
      <c r="C7" s="19"/>
      <c r="D7" s="19"/>
      <c r="E7" s="19"/>
      <c r="F7" s="19"/>
      <c r="G7" s="19"/>
      <c r="H7" s="19"/>
      <c r="I7" s="19"/>
      <c r="J7" s="19"/>
      <c r="K7" s="19" t="s">
        <v>1028</v>
      </c>
      <c r="L7" s="19"/>
      <c r="M7" s="19"/>
      <c r="N7" s="19"/>
      <c r="O7" s="19"/>
      <c r="P7" s="19"/>
      <c r="Q7" s="19"/>
      <c r="R7" s="19"/>
      <c r="S7" s="19"/>
      <c r="T7" s="19"/>
      <c r="U7" s="19"/>
      <c r="V7" s="19"/>
      <c r="W7" s="19"/>
      <c r="X7" s="19"/>
    </row>
    <row r="8" customFormat="false" ht="12" hidden="false" customHeight="true" outlineLevel="0" collapsed="false">
      <c r="A8" s="19"/>
      <c r="B8" s="19"/>
      <c r="C8" s="19"/>
      <c r="D8" s="19" t="s">
        <v>1029</v>
      </c>
      <c r="E8" s="19"/>
      <c r="F8" s="19"/>
      <c r="G8" s="822" t="s">
        <v>0</v>
      </c>
      <c r="H8" s="823" t="n">
        <v>1.3</v>
      </c>
      <c r="I8" s="824" t="s">
        <v>1030</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1031</v>
      </c>
      <c r="E10" s="19"/>
      <c r="F10" s="19"/>
      <c r="G10" s="19"/>
      <c r="H10" s="825" t="n">
        <f aca="false">(H6*((H8-1)^2))/((H8+1)^2)</f>
        <v>0.05103969754</v>
      </c>
      <c r="I10" s="339" t="s">
        <v>727</v>
      </c>
      <c r="J10" s="19"/>
      <c r="K10" s="826" t="n">
        <f aca="false">H10/H6</f>
        <v>0.01701323251</v>
      </c>
      <c r="L10" s="19" t="s">
        <v>1032</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1033</v>
      </c>
      <c r="E12" s="19"/>
      <c r="F12" s="19"/>
      <c r="G12" s="19"/>
      <c r="H12" s="825" t="n">
        <f aca="false">H6-H10</f>
        <v>2.948960302</v>
      </c>
      <c r="I12" s="339" t="s">
        <v>727</v>
      </c>
      <c r="J12" s="19"/>
      <c r="K12" s="826" t="n">
        <f aca="false">1-K10</f>
        <v>0.9829867675</v>
      </c>
      <c r="L12" s="19" t="s">
        <v>1032</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1034</v>
      </c>
      <c r="E14" s="19"/>
      <c r="F14" s="19"/>
      <c r="G14" s="19"/>
      <c r="H14" s="827" t="n">
        <f aca="false">-10*LOG10(H12/H6)</f>
        <v>0.074523284</v>
      </c>
      <c r="I14" s="339" t="s">
        <v>258</v>
      </c>
      <c r="J14" s="19"/>
      <c r="K14" s="19" t="s">
        <v>1035</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0"/>
      <c r="I15" s="790"/>
      <c r="J15" s="790"/>
      <c r="K15" s="19" t="s">
        <v>1036</v>
      </c>
      <c r="L15" s="790"/>
      <c r="M15" s="790"/>
      <c r="N15" s="790"/>
      <c r="O15" s="790"/>
      <c r="P15" s="790"/>
      <c r="Q15" s="790"/>
      <c r="R15" s="790"/>
      <c r="S15" s="790"/>
      <c r="T15" s="19"/>
      <c r="U15" s="19"/>
      <c r="V15" s="19"/>
      <c r="W15" s="19"/>
      <c r="X15" s="19"/>
    </row>
    <row r="16" customFormat="false" ht="12" hidden="false" customHeight="true" outlineLevel="0" collapsed="false">
      <c r="A16" s="19"/>
      <c r="B16" s="19"/>
      <c r="C16" s="19"/>
      <c r="D16" s="19"/>
      <c r="E16" s="19"/>
      <c r="F16" s="19"/>
      <c r="G16" s="19"/>
      <c r="H16" s="790"/>
      <c r="I16" s="790"/>
      <c r="J16" s="790"/>
      <c r="K16" s="790"/>
      <c r="L16" s="790"/>
      <c r="M16" s="790"/>
      <c r="N16" s="790"/>
      <c r="O16" s="790"/>
      <c r="P16" s="790"/>
      <c r="Q16" s="790"/>
      <c r="R16" s="790"/>
      <c r="S16" s="790"/>
      <c r="T16" s="19"/>
      <c r="U16" s="19"/>
      <c r="V16" s="19"/>
      <c r="W16" s="19"/>
      <c r="X16" s="19"/>
    </row>
    <row r="17" customFormat="false" ht="12" hidden="false" customHeight="true" outlineLevel="0" collapsed="false">
      <c r="A17" s="19"/>
      <c r="B17" s="19"/>
      <c r="C17" s="19"/>
      <c r="D17" s="19"/>
      <c r="E17" s="19"/>
      <c r="F17" s="19"/>
      <c r="G17" s="19"/>
      <c r="H17" s="790"/>
      <c r="I17" s="790"/>
      <c r="J17" s="790"/>
      <c r="K17" s="790"/>
      <c r="L17" s="790"/>
      <c r="M17" s="790"/>
      <c r="N17" s="790"/>
      <c r="O17" s="790"/>
      <c r="P17" s="790"/>
      <c r="Q17" s="790"/>
      <c r="R17" s="790"/>
      <c r="S17" s="790"/>
      <c r="T17" s="19"/>
      <c r="U17" s="498" t="s">
        <v>1037</v>
      </c>
      <c r="V17" s="498"/>
      <c r="W17" s="498"/>
      <c r="X17" s="19"/>
    </row>
    <row r="18" customFormat="false" ht="12" hidden="false" customHeight="true" outlineLevel="0" collapsed="false">
      <c r="A18" s="19"/>
      <c r="B18" s="19"/>
      <c r="C18" s="19"/>
      <c r="D18" s="19"/>
      <c r="E18" s="19"/>
      <c r="F18" s="19"/>
      <c r="G18" s="19"/>
      <c r="H18" s="790"/>
      <c r="I18" s="790"/>
      <c r="J18" s="790"/>
      <c r="K18" s="790"/>
      <c r="L18" s="790"/>
      <c r="M18" s="790"/>
      <c r="N18" s="790"/>
      <c r="O18" s="790"/>
      <c r="P18" s="790"/>
      <c r="Q18" s="790"/>
      <c r="R18" s="790"/>
      <c r="S18" s="790"/>
      <c r="T18" s="19"/>
      <c r="U18" s="19" t="s">
        <v>1038</v>
      </c>
      <c r="V18" s="213" t="n">
        <f aca="false">SQRT(O19^2+Q19^2)</f>
        <v>50</v>
      </c>
      <c r="W18" s="828" t="s">
        <v>1039</v>
      </c>
      <c r="X18" s="19"/>
    </row>
    <row r="19" customFormat="false" ht="12" hidden="false" customHeight="true" outlineLevel="0" collapsed="false">
      <c r="A19" s="19"/>
      <c r="B19" s="19"/>
      <c r="C19" s="19"/>
      <c r="D19" s="19"/>
      <c r="E19" s="19"/>
      <c r="F19" s="19"/>
      <c r="G19" s="19"/>
      <c r="H19" s="790"/>
      <c r="I19" s="790"/>
      <c r="J19" s="790"/>
      <c r="K19" s="790"/>
      <c r="L19" s="790"/>
      <c r="M19" s="19" t="s">
        <v>1040</v>
      </c>
      <c r="N19" s="790"/>
      <c r="O19" s="50" t="n">
        <v>50</v>
      </c>
      <c r="P19" s="98" t="s">
        <v>1041</v>
      </c>
      <c r="Q19" s="829" t="n">
        <v>0</v>
      </c>
      <c r="R19" s="790"/>
      <c r="S19" s="790"/>
      <c r="T19" s="19"/>
      <c r="U19" s="19"/>
      <c r="V19" s="213"/>
      <c r="W19" s="19"/>
      <c r="X19" s="19"/>
    </row>
    <row r="20" customFormat="false" ht="12" hidden="false" customHeight="true" outlineLevel="0" collapsed="false">
      <c r="A20" s="19"/>
      <c r="B20" s="19"/>
      <c r="C20" s="19"/>
      <c r="D20" s="19"/>
      <c r="E20" s="19"/>
      <c r="F20" s="19"/>
      <c r="G20" s="19"/>
      <c r="H20" s="790"/>
      <c r="I20" s="790"/>
      <c r="J20" s="790"/>
      <c r="K20" s="790"/>
      <c r="L20" s="790"/>
      <c r="M20" s="790"/>
      <c r="N20" s="790"/>
      <c r="O20" s="790"/>
      <c r="P20" s="790"/>
      <c r="Q20" s="19"/>
      <c r="R20" s="790"/>
      <c r="S20" s="790"/>
      <c r="T20" s="19"/>
      <c r="U20" s="19" t="s">
        <v>1042</v>
      </c>
      <c r="V20" s="213" t="n">
        <f aca="false">SQRT(O21^2+Q21^2)</f>
        <v>79.0569415</v>
      </c>
      <c r="W20" s="828" t="s">
        <v>1039</v>
      </c>
      <c r="X20" s="19"/>
    </row>
    <row r="21" customFormat="false" ht="12" hidden="false" customHeight="true" outlineLevel="0" collapsed="false">
      <c r="A21" s="19"/>
      <c r="B21" s="19"/>
      <c r="C21" s="19"/>
      <c r="D21" s="19"/>
      <c r="E21" s="19"/>
      <c r="F21" s="19"/>
      <c r="G21" s="19"/>
      <c r="H21" s="790"/>
      <c r="I21" s="790"/>
      <c r="J21" s="790"/>
      <c r="K21" s="790"/>
      <c r="L21" s="790"/>
      <c r="M21" s="19" t="s">
        <v>1043</v>
      </c>
      <c r="N21" s="790"/>
      <c r="O21" s="50" t="n">
        <v>75</v>
      </c>
      <c r="P21" s="98" t="s">
        <v>1041</v>
      </c>
      <c r="Q21" s="829" t="n">
        <v>-25</v>
      </c>
      <c r="R21" s="790"/>
      <c r="S21" s="790"/>
      <c r="T21" s="19"/>
      <c r="U21" s="19"/>
      <c r="V21" s="19"/>
      <c r="W21" s="19"/>
      <c r="X21" s="19"/>
    </row>
    <row r="22" customFormat="false" ht="12" hidden="false" customHeight="true" outlineLevel="0" collapsed="false">
      <c r="A22" s="19"/>
      <c r="B22" s="19"/>
      <c r="C22" s="19"/>
      <c r="D22" s="19"/>
      <c r="E22" s="19"/>
      <c r="F22" s="19"/>
      <c r="G22" s="19"/>
      <c r="H22" s="790"/>
      <c r="I22" s="790"/>
      <c r="J22" s="790"/>
      <c r="K22" s="790"/>
      <c r="L22" s="790"/>
      <c r="M22" s="790"/>
      <c r="N22" s="790"/>
      <c r="O22" s="790"/>
      <c r="P22" s="790"/>
      <c r="Q22" s="790"/>
      <c r="R22" s="790"/>
      <c r="S22" s="790"/>
      <c r="T22" s="19"/>
      <c r="U22" s="19"/>
      <c r="V22" s="23" t="s">
        <v>60</v>
      </c>
      <c r="W22" s="19"/>
      <c r="X22" s="19"/>
    </row>
    <row r="23" customFormat="false" ht="12" hidden="false" customHeight="true" outlineLevel="0" collapsed="false">
      <c r="A23" s="19"/>
      <c r="B23" s="19"/>
      <c r="C23" s="19"/>
      <c r="D23" s="19"/>
      <c r="E23" s="19"/>
      <c r="F23" s="19"/>
      <c r="G23" s="19"/>
      <c r="H23" s="790"/>
      <c r="I23" s="790"/>
      <c r="J23" s="790"/>
      <c r="K23" s="790"/>
      <c r="L23" s="790"/>
      <c r="M23" s="19" t="s">
        <v>1044</v>
      </c>
      <c r="N23" s="790"/>
      <c r="O23" s="830" t="n">
        <f aca="false">IF(V18&gt;V20,V18/V20,V20/V18)</f>
        <v>1.58113883</v>
      </c>
      <c r="P23" s="215"/>
      <c r="Q23" s="790"/>
      <c r="R23" s="790"/>
      <c r="S23" s="790"/>
      <c r="T23" s="19"/>
      <c r="U23" s="19"/>
      <c r="V23" s="19"/>
      <c r="W23" s="19"/>
      <c r="X23" s="19"/>
    </row>
    <row r="24" customFormat="false" ht="12" hidden="false" customHeight="true" outlineLevel="0" collapsed="false">
      <c r="A24" s="19"/>
      <c r="B24" s="19"/>
      <c r="C24" s="19"/>
      <c r="D24" s="19"/>
      <c r="E24" s="19"/>
      <c r="F24" s="19"/>
      <c r="G24" s="19"/>
      <c r="H24" s="790"/>
      <c r="I24" s="790"/>
      <c r="J24" s="790"/>
      <c r="K24" s="790"/>
      <c r="L24" s="790"/>
      <c r="M24" s="790"/>
      <c r="N24" s="790"/>
      <c r="O24" s="790"/>
      <c r="P24" s="790"/>
      <c r="Q24" s="19" t="s">
        <v>1045</v>
      </c>
      <c r="R24" s="790"/>
      <c r="S24" s="790"/>
      <c r="T24" s="19"/>
      <c r="U24" s="19"/>
      <c r="V24" s="19"/>
      <c r="W24" s="19"/>
      <c r="X24" s="19"/>
    </row>
    <row r="25" customFormat="false" ht="12" hidden="false" customHeight="true" outlineLevel="0" collapsed="false">
      <c r="A25" s="19"/>
      <c r="B25" s="19"/>
      <c r="C25" s="19"/>
      <c r="D25" s="19"/>
      <c r="E25" s="19"/>
      <c r="F25" s="19"/>
      <c r="G25" s="19"/>
      <c r="H25" s="790"/>
      <c r="I25" s="790"/>
      <c r="J25" s="790"/>
      <c r="K25" s="790"/>
      <c r="L25" s="790"/>
      <c r="M25" s="790"/>
      <c r="N25" s="790"/>
      <c r="O25" s="790"/>
      <c r="P25" s="790"/>
      <c r="Q25" s="790"/>
      <c r="R25" s="790"/>
      <c r="S25" s="790"/>
      <c r="T25" s="19"/>
      <c r="U25" s="19"/>
      <c r="V25" s="19"/>
      <c r="W25" s="19"/>
      <c r="X25" s="19"/>
    </row>
    <row r="26" customFormat="false" ht="12" hidden="false" customHeight="true" outlineLevel="0" collapsed="false">
      <c r="A26" s="19"/>
      <c r="B26" s="19"/>
      <c r="C26" s="19"/>
      <c r="D26" s="19"/>
      <c r="E26" s="19"/>
      <c r="F26" s="19"/>
      <c r="G26" s="19"/>
      <c r="H26" s="790"/>
      <c r="I26" s="790"/>
      <c r="J26" s="790"/>
      <c r="K26" s="790"/>
      <c r="L26" s="790"/>
      <c r="M26" s="790"/>
      <c r="N26" s="790"/>
      <c r="O26" s="790"/>
      <c r="P26" s="790"/>
      <c r="Q26" s="790"/>
      <c r="R26" s="790"/>
      <c r="S26" s="790"/>
      <c r="T26" s="19"/>
      <c r="U26" s="19"/>
      <c r="V26" s="19"/>
      <c r="W26" s="19"/>
      <c r="X26" s="19"/>
    </row>
    <row r="27" customFormat="false" ht="12" hidden="false" customHeight="true" outlineLevel="0" collapsed="false">
      <c r="A27" s="19"/>
      <c r="B27" s="19"/>
      <c r="C27" s="19"/>
      <c r="D27" s="19"/>
      <c r="E27" s="19"/>
      <c r="F27" s="19"/>
      <c r="G27" s="19"/>
      <c r="H27" s="790"/>
      <c r="I27" s="790"/>
      <c r="J27" s="790"/>
      <c r="K27" s="790"/>
      <c r="L27" s="790"/>
      <c r="M27" s="790"/>
      <c r="N27" s="790"/>
      <c r="O27" s="790"/>
      <c r="P27" s="790"/>
      <c r="Q27" s="790"/>
      <c r="R27" s="19" t="s">
        <v>419</v>
      </c>
      <c r="S27" s="790"/>
      <c r="T27" s="19"/>
      <c r="U27" s="19"/>
      <c r="V27" s="19"/>
      <c r="W27" s="19"/>
      <c r="X27" s="19"/>
    </row>
    <row r="28" customFormat="false" ht="12" hidden="false" customHeight="true" outlineLevel="0" collapsed="false">
      <c r="A28" s="19"/>
      <c r="B28" s="19"/>
      <c r="C28" s="19"/>
      <c r="D28" s="19"/>
      <c r="E28" s="19"/>
      <c r="F28" s="19"/>
      <c r="G28" s="19"/>
      <c r="H28" s="790"/>
      <c r="I28" s="790"/>
      <c r="J28" s="790"/>
      <c r="K28" s="790"/>
      <c r="L28" s="790"/>
      <c r="M28" s="790"/>
      <c r="N28" s="790"/>
      <c r="O28" s="790"/>
      <c r="P28" s="790"/>
      <c r="Q28" s="790"/>
      <c r="R28" s="19" t="s">
        <v>0</v>
      </c>
      <c r="S28" s="790"/>
      <c r="T28" s="19"/>
      <c r="U28" s="19"/>
      <c r="V28" s="19"/>
      <c r="W28" s="19"/>
      <c r="X28" s="19"/>
    </row>
    <row r="29" customFormat="false" ht="12" hidden="false" customHeight="true" outlineLevel="0" collapsed="false">
      <c r="A29" s="19"/>
      <c r="B29" s="19"/>
      <c r="C29" s="19"/>
      <c r="D29" s="19"/>
      <c r="E29" s="19"/>
      <c r="F29" s="19"/>
      <c r="G29" s="19"/>
      <c r="H29" s="790"/>
      <c r="I29" s="790"/>
      <c r="J29" s="790"/>
      <c r="K29" s="790"/>
      <c r="L29" s="790"/>
      <c r="M29" s="790"/>
      <c r="N29" s="790"/>
      <c r="O29" s="790"/>
      <c r="P29" s="790"/>
      <c r="Q29" s="790"/>
      <c r="R29" s="790"/>
      <c r="S29" s="790"/>
      <c r="T29" s="19"/>
      <c r="U29" s="19"/>
      <c r="V29" s="19"/>
      <c r="W29" s="19"/>
      <c r="X29" s="19"/>
    </row>
    <row r="30" customFormat="false" ht="12" hidden="false" customHeight="true" outlineLevel="0" collapsed="false">
      <c r="A30" s="19"/>
      <c r="B30" s="19"/>
      <c r="C30" s="19"/>
      <c r="D30" s="19"/>
      <c r="E30" s="19"/>
      <c r="F30" s="19"/>
      <c r="G30" s="19"/>
      <c r="H30" s="790"/>
      <c r="I30" s="790"/>
      <c r="J30" s="790"/>
      <c r="K30" s="790"/>
      <c r="L30" s="790"/>
      <c r="M30" s="790"/>
      <c r="N30" s="790"/>
      <c r="O30" s="790"/>
      <c r="P30" s="790"/>
      <c r="Q30" s="19" t="s">
        <v>1046</v>
      </c>
      <c r="R30" s="790"/>
      <c r="S30" s="790"/>
      <c r="T30" s="19"/>
      <c r="U30" s="19"/>
      <c r="V30" s="19"/>
      <c r="W30" s="19"/>
      <c r="X30" s="19"/>
    </row>
    <row r="31" customFormat="false" ht="12" hidden="false" customHeight="true" outlineLevel="0" collapsed="false">
      <c r="A31" s="19"/>
      <c r="B31" s="19"/>
      <c r="C31" s="19"/>
      <c r="D31" s="19"/>
      <c r="E31" s="19"/>
      <c r="F31" s="19"/>
      <c r="G31" s="19"/>
      <c r="H31" s="790"/>
      <c r="I31" s="790"/>
      <c r="J31" s="790"/>
      <c r="K31" s="790"/>
      <c r="L31" s="790"/>
      <c r="M31" s="790"/>
      <c r="N31" s="790"/>
      <c r="O31" s="790"/>
      <c r="P31" s="790"/>
      <c r="Q31" s="790"/>
      <c r="R31" s="790"/>
      <c r="S31" s="790"/>
      <c r="T31" s="19"/>
      <c r="U31" s="19"/>
      <c r="V31" s="19"/>
      <c r="W31" s="19"/>
      <c r="X31" s="19"/>
    </row>
    <row r="32" customFormat="false" ht="12" hidden="false" customHeight="true" outlineLevel="0" collapsed="false">
      <c r="A32" s="19"/>
      <c r="B32" s="19"/>
      <c r="C32" s="19"/>
      <c r="D32" s="19"/>
      <c r="E32" s="19"/>
      <c r="F32" s="19"/>
      <c r="G32" s="19"/>
      <c r="H32" s="790"/>
      <c r="I32" s="790"/>
      <c r="J32" s="790"/>
      <c r="K32" s="790"/>
      <c r="L32" s="790"/>
      <c r="M32" s="19" t="s">
        <v>1047</v>
      </c>
      <c r="N32" s="19"/>
      <c r="O32" s="19"/>
      <c r="P32" s="19"/>
      <c r="Q32" s="831" t="n">
        <v>5</v>
      </c>
      <c r="R32" s="19"/>
      <c r="S32" s="790"/>
      <c r="T32" s="19"/>
      <c r="U32" s="19"/>
      <c r="V32" s="19"/>
      <c r="W32" s="19"/>
      <c r="X32" s="19"/>
    </row>
    <row r="33" customFormat="false" ht="12" hidden="false" customHeight="true" outlineLevel="0" collapsed="false">
      <c r="A33" s="19"/>
      <c r="B33" s="19"/>
      <c r="C33" s="19"/>
      <c r="D33" s="19"/>
      <c r="E33" s="19"/>
      <c r="F33" s="19"/>
      <c r="G33" s="19"/>
      <c r="H33" s="790"/>
      <c r="I33" s="790"/>
      <c r="J33" s="790"/>
      <c r="K33" s="790"/>
      <c r="L33" s="790"/>
      <c r="M33" s="19"/>
      <c r="N33" s="19"/>
      <c r="O33" s="19"/>
      <c r="P33" s="19"/>
      <c r="Q33" s="19"/>
      <c r="R33" s="19"/>
      <c r="S33" s="790"/>
      <c r="T33" s="19"/>
      <c r="U33" s="19"/>
      <c r="V33" s="19"/>
      <c r="W33" s="19"/>
      <c r="X33" s="19"/>
    </row>
    <row r="34" customFormat="false" ht="12" hidden="false" customHeight="true" outlineLevel="0" collapsed="false">
      <c r="A34" s="19"/>
      <c r="B34" s="19"/>
      <c r="C34" s="19"/>
      <c r="D34" s="19"/>
      <c r="E34" s="19"/>
      <c r="F34" s="19"/>
      <c r="G34" s="19"/>
      <c r="H34" s="790"/>
      <c r="I34" s="790"/>
      <c r="J34" s="790"/>
      <c r="K34" s="790"/>
      <c r="L34" s="790"/>
      <c r="M34" s="19" t="s">
        <v>1048</v>
      </c>
      <c r="N34" s="19"/>
      <c r="O34" s="19"/>
      <c r="P34" s="19"/>
      <c r="Q34" s="832" t="n">
        <v>0.25</v>
      </c>
      <c r="R34" s="19"/>
      <c r="S34" s="790"/>
      <c r="T34" s="19"/>
      <c r="U34" s="19"/>
      <c r="V34" s="19"/>
      <c r="W34" s="19"/>
      <c r="X34" s="19"/>
    </row>
    <row r="35" customFormat="false" ht="12" hidden="false" customHeight="true" outlineLevel="0" collapsed="false">
      <c r="A35" s="19"/>
      <c r="B35" s="19"/>
      <c r="C35" s="19"/>
      <c r="D35" s="19"/>
      <c r="E35" s="19"/>
      <c r="F35" s="19"/>
      <c r="G35" s="19"/>
      <c r="H35" s="790"/>
      <c r="I35" s="790"/>
      <c r="J35" s="790"/>
      <c r="K35" s="790"/>
      <c r="L35" s="790"/>
      <c r="M35" s="19"/>
      <c r="N35" s="19"/>
      <c r="O35" s="19"/>
      <c r="P35" s="19"/>
      <c r="Q35" s="19"/>
      <c r="R35" s="19"/>
      <c r="S35" s="790"/>
      <c r="T35" s="19"/>
      <c r="U35" s="19"/>
      <c r="V35" s="19"/>
      <c r="W35" s="19"/>
      <c r="X35" s="19"/>
    </row>
    <row r="36" customFormat="false" ht="12" hidden="false" customHeight="true" outlineLevel="0" collapsed="false">
      <c r="A36" s="19"/>
      <c r="B36" s="19"/>
      <c r="C36" s="19"/>
      <c r="D36" s="19"/>
      <c r="E36" s="19"/>
      <c r="F36" s="19"/>
      <c r="G36" s="19"/>
      <c r="H36" s="790"/>
      <c r="I36" s="790"/>
      <c r="J36" s="790"/>
      <c r="K36" s="790"/>
      <c r="L36" s="790"/>
      <c r="M36" s="19" t="s">
        <v>1044</v>
      </c>
      <c r="N36" s="19"/>
      <c r="O36" s="19"/>
      <c r="P36" s="19"/>
      <c r="Q36" s="830" t="n">
        <f aca="false">(SQRT(Q32)+SQRT(Q34))/(SQRT(Q32)-SQRT(Q34))</f>
        <v>1.576014311</v>
      </c>
      <c r="R36" s="19"/>
      <c r="S36" s="790"/>
      <c r="T36" s="19"/>
      <c r="U36" s="19"/>
      <c r="V36" s="19"/>
      <c r="W36" s="19"/>
      <c r="X36" s="19"/>
    </row>
    <row r="37" customFormat="false" ht="12" hidden="false" customHeight="true" outlineLevel="0" collapsed="false">
      <c r="A37" s="19"/>
      <c r="B37" s="19"/>
      <c r="C37" s="19"/>
      <c r="D37" s="19"/>
      <c r="E37" s="19"/>
      <c r="F37" s="19"/>
      <c r="G37" s="19"/>
      <c r="H37" s="790"/>
      <c r="I37" s="790"/>
      <c r="J37" s="790"/>
      <c r="K37" s="790"/>
      <c r="L37" s="790"/>
      <c r="M37" s="19"/>
      <c r="N37" s="19"/>
      <c r="O37" s="19"/>
      <c r="P37" s="19"/>
      <c r="Q37" s="19"/>
      <c r="R37" s="19"/>
      <c r="S37" s="790"/>
      <c r="T37" s="19"/>
      <c r="U37" s="19"/>
      <c r="V37" s="19"/>
      <c r="W37" s="19"/>
      <c r="X37" s="19"/>
    </row>
    <row r="38" customFormat="false" ht="12" hidden="false" customHeight="true" outlineLevel="0" collapsed="false">
      <c r="A38" s="19"/>
      <c r="B38" s="19"/>
      <c r="C38" s="19"/>
      <c r="D38" s="19"/>
      <c r="E38" s="19"/>
      <c r="F38" s="19"/>
      <c r="G38" s="19"/>
      <c r="H38" s="790"/>
      <c r="I38" s="790"/>
      <c r="J38" s="790"/>
      <c r="K38" s="790"/>
      <c r="L38" s="790"/>
      <c r="M38" s="19"/>
      <c r="N38" s="19"/>
      <c r="O38" s="19"/>
      <c r="P38" s="19"/>
      <c r="Q38" s="19"/>
      <c r="R38" s="19"/>
      <c r="S38" s="790"/>
      <c r="T38" s="19"/>
      <c r="U38" s="19"/>
      <c r="V38" s="19"/>
      <c r="W38" s="19"/>
      <c r="X38" s="19"/>
    </row>
    <row r="39" customFormat="false" ht="12" hidden="false" customHeight="true" outlineLevel="0" collapsed="false">
      <c r="A39" s="19"/>
      <c r="B39" s="19"/>
      <c r="C39" s="19"/>
      <c r="D39" s="19"/>
      <c r="E39" s="19"/>
      <c r="F39" s="19"/>
      <c r="G39" s="19"/>
      <c r="H39" s="790"/>
      <c r="I39" s="790"/>
      <c r="J39" s="790"/>
      <c r="K39" s="790"/>
      <c r="L39" s="790"/>
      <c r="M39" s="19"/>
      <c r="N39" s="19"/>
      <c r="O39" s="19"/>
      <c r="P39" s="19"/>
      <c r="Q39" s="790"/>
      <c r="R39" s="790"/>
      <c r="S39" s="790"/>
      <c r="T39" s="19"/>
      <c r="U39" s="19"/>
      <c r="V39" s="19"/>
      <c r="W39" s="19"/>
      <c r="X39" s="19"/>
    </row>
    <row r="40" customFormat="false" ht="12" hidden="false" customHeight="true" outlineLevel="0" collapsed="false">
      <c r="A40" s="19"/>
      <c r="B40" s="19"/>
      <c r="C40" s="19"/>
      <c r="D40" s="19"/>
      <c r="E40" s="19"/>
      <c r="F40" s="19"/>
      <c r="G40" s="19"/>
      <c r="H40" s="790"/>
      <c r="I40" s="790"/>
      <c r="J40" s="790"/>
      <c r="K40" s="790"/>
      <c r="L40" s="790"/>
      <c r="M40" s="19"/>
      <c r="N40" s="19"/>
      <c r="O40" s="19"/>
      <c r="P40" s="19"/>
      <c r="Q40" s="790"/>
      <c r="R40" s="790"/>
      <c r="S40" s="790"/>
      <c r="T40" s="19"/>
      <c r="U40" s="19"/>
      <c r="V40" s="19"/>
      <c r="W40" s="19"/>
      <c r="X40" s="19"/>
    </row>
    <row r="41" customFormat="false" ht="12" hidden="false" customHeight="true" outlineLevel="0" collapsed="false">
      <c r="A41" s="19"/>
      <c r="B41" s="19"/>
      <c r="C41" s="19"/>
      <c r="D41" s="19"/>
      <c r="E41" s="19"/>
      <c r="F41" s="19"/>
      <c r="G41" s="19"/>
      <c r="H41" s="790"/>
      <c r="I41" s="790"/>
      <c r="J41" s="790"/>
      <c r="K41" s="790"/>
      <c r="L41" s="790"/>
      <c r="M41" s="790"/>
      <c r="N41" s="790"/>
      <c r="O41" s="790"/>
      <c r="P41" s="790"/>
      <c r="Q41" s="790"/>
      <c r="R41" s="790"/>
      <c r="S41" s="790"/>
      <c r="T41" s="19"/>
      <c r="U41" s="19"/>
      <c r="V41" s="19"/>
      <c r="W41" s="19"/>
      <c r="X41" s="19"/>
    </row>
    <row r="42" customFormat="false" ht="12" hidden="false" customHeight="true" outlineLevel="0" collapsed="false">
      <c r="A42" s="19"/>
      <c r="B42" s="19"/>
      <c r="C42" s="19"/>
      <c r="D42" s="19"/>
      <c r="E42" s="19"/>
      <c r="F42" s="19"/>
      <c r="G42" s="23" t="s">
        <v>60</v>
      </c>
      <c r="H42" s="790"/>
      <c r="I42" s="790"/>
      <c r="J42" s="790"/>
      <c r="K42" s="790"/>
      <c r="L42" s="790"/>
      <c r="M42" s="790"/>
      <c r="N42" s="790"/>
      <c r="O42" s="790"/>
      <c r="P42" s="790"/>
      <c r="Q42" s="790"/>
      <c r="R42" s="790"/>
      <c r="S42" s="790"/>
      <c r="T42" s="19"/>
      <c r="U42" s="19"/>
      <c r="V42" s="19"/>
      <c r="W42" s="19"/>
      <c r="X42" s="19"/>
    </row>
    <row r="43" customFormat="false" ht="12" hidden="false" customHeight="true" outlineLevel="0" collapsed="false">
      <c r="A43" s="19"/>
      <c r="B43" s="19"/>
      <c r="C43" s="19"/>
      <c r="D43" s="19"/>
      <c r="E43" s="19"/>
      <c r="F43" s="19"/>
      <c r="G43" s="19"/>
      <c r="H43" s="790"/>
      <c r="I43" s="790"/>
      <c r="J43" s="790"/>
      <c r="K43" s="790"/>
      <c r="L43" s="790"/>
      <c r="M43" s="790"/>
      <c r="N43" s="790"/>
      <c r="O43" s="790"/>
      <c r="P43" s="790"/>
      <c r="Q43" s="790"/>
      <c r="R43" s="790"/>
      <c r="S43" s="790"/>
      <c r="T43" s="19"/>
      <c r="U43" s="19"/>
      <c r="V43" s="19"/>
      <c r="W43" s="19"/>
      <c r="X43" s="19"/>
    </row>
    <row r="44" customFormat="false" ht="12" hidden="false" customHeight="true" outlineLevel="0" collapsed="false">
      <c r="A44" s="19"/>
      <c r="B44" s="19"/>
      <c r="C44" s="19"/>
      <c r="D44" s="19"/>
      <c r="E44" s="19"/>
      <c r="F44" s="19"/>
      <c r="G44" s="19"/>
      <c r="H44" s="790"/>
      <c r="I44" s="790"/>
      <c r="J44" s="790"/>
      <c r="K44" s="790"/>
      <c r="L44" s="790"/>
      <c r="M44" s="790"/>
      <c r="N44" s="790"/>
      <c r="O44" s="790"/>
      <c r="P44" s="790"/>
      <c r="Q44" s="790"/>
      <c r="R44" s="790"/>
      <c r="S44" s="790"/>
      <c r="T44" s="19"/>
      <c r="U44" s="19"/>
      <c r="V44" s="19"/>
      <c r="W44" s="19"/>
      <c r="X44" s="19"/>
    </row>
    <row r="45" customFormat="false" ht="12" hidden="false" customHeight="true" outlineLevel="0" collapsed="false">
      <c r="A45" s="19"/>
      <c r="B45" s="19"/>
      <c r="C45" s="19"/>
      <c r="D45" s="19"/>
      <c r="E45" s="19"/>
      <c r="F45" s="19"/>
      <c r="G45" s="19"/>
      <c r="H45" s="790"/>
      <c r="I45" s="790"/>
      <c r="J45" s="790"/>
      <c r="K45" s="790"/>
      <c r="L45" s="790"/>
      <c r="M45" s="790"/>
      <c r="N45" s="790"/>
      <c r="O45" s="790"/>
      <c r="P45" s="790"/>
      <c r="Q45" s="790"/>
      <c r="R45" s="790"/>
      <c r="S45" s="790"/>
      <c r="T45" s="19"/>
      <c r="U45" s="19"/>
      <c r="V45" s="19"/>
      <c r="W45" s="19"/>
      <c r="X45" s="19"/>
    </row>
    <row r="46" customFormat="false" ht="12" hidden="false" customHeight="true" outlineLevel="0" collapsed="false">
      <c r="A46" s="19"/>
      <c r="B46" s="19"/>
      <c r="C46" s="19"/>
      <c r="D46" s="19"/>
      <c r="E46" s="19"/>
      <c r="F46" s="19"/>
      <c r="G46" s="19"/>
      <c r="H46" s="790"/>
      <c r="I46" s="790"/>
      <c r="J46" s="790"/>
      <c r="K46" s="790"/>
      <c r="L46" s="790"/>
      <c r="M46" s="790"/>
      <c r="N46" s="790"/>
      <c r="O46" s="790"/>
      <c r="P46" s="790"/>
      <c r="Q46" s="790"/>
      <c r="R46" s="790"/>
      <c r="S46" s="790"/>
      <c r="T46" s="19"/>
      <c r="U46" s="19"/>
      <c r="V46" s="19"/>
      <c r="W46" s="19"/>
      <c r="X46" s="19"/>
    </row>
    <row r="47" customFormat="false" ht="12" hidden="false" customHeight="true" outlineLevel="0" collapsed="false">
      <c r="A47" s="19"/>
      <c r="B47" s="19"/>
      <c r="C47" s="19"/>
      <c r="D47" s="19"/>
      <c r="E47" s="19"/>
      <c r="F47" s="19"/>
      <c r="G47" s="19"/>
      <c r="H47" s="790"/>
      <c r="I47" s="790"/>
      <c r="J47" s="790"/>
      <c r="K47" s="790"/>
      <c r="L47" s="790"/>
      <c r="M47" s="790"/>
      <c r="N47" s="790"/>
      <c r="O47" s="790"/>
      <c r="P47" s="790"/>
      <c r="Q47" s="790"/>
      <c r="R47" s="790"/>
      <c r="S47" s="790"/>
      <c r="T47" s="19"/>
      <c r="U47" s="19"/>
      <c r="V47" s="19"/>
      <c r="W47" s="19"/>
      <c r="X47" s="19"/>
    </row>
    <row r="48" customFormat="false" ht="12" hidden="false" customHeight="true" outlineLevel="0" collapsed="false">
      <c r="A48" s="19"/>
      <c r="B48" s="19"/>
      <c r="C48" s="19"/>
      <c r="D48" s="19"/>
      <c r="E48" s="19"/>
      <c r="F48" s="19"/>
      <c r="G48" s="19"/>
      <c r="H48" s="790"/>
      <c r="I48" s="790"/>
      <c r="J48" s="790"/>
      <c r="K48" s="790"/>
      <c r="L48" s="790"/>
      <c r="M48" s="790"/>
      <c r="N48" s="790"/>
      <c r="O48" s="790"/>
      <c r="P48" s="790"/>
      <c r="Q48" s="790"/>
      <c r="R48" s="790"/>
      <c r="S48" s="790"/>
      <c r="T48" s="19"/>
      <c r="U48" s="19"/>
      <c r="V48" s="19"/>
      <c r="W48" s="19"/>
      <c r="X48" s="19"/>
    </row>
    <row r="49" customFormat="false" ht="12" hidden="false" customHeight="true" outlineLevel="0" collapsed="false">
      <c r="A49" s="19"/>
      <c r="B49" s="19"/>
      <c r="C49" s="19"/>
      <c r="D49" s="19"/>
      <c r="E49" s="19"/>
      <c r="F49" s="19"/>
      <c r="G49" s="19"/>
      <c r="H49" s="790"/>
      <c r="I49" s="790"/>
      <c r="J49" s="790"/>
      <c r="K49" s="790"/>
      <c r="L49" s="790"/>
      <c r="M49" s="790"/>
      <c r="N49" s="790"/>
      <c r="O49" s="790"/>
      <c r="P49" s="790"/>
      <c r="Q49" s="790"/>
      <c r="R49" s="790"/>
      <c r="S49" s="790"/>
      <c r="T49" s="19"/>
      <c r="U49" s="19"/>
      <c r="V49" s="19"/>
      <c r="W49" s="19"/>
      <c r="X49" s="19"/>
    </row>
    <row r="50" customFormat="false" ht="12" hidden="false" customHeight="true" outlineLevel="0" collapsed="false">
      <c r="A50" s="19"/>
      <c r="B50" s="19"/>
      <c r="C50" s="19"/>
      <c r="D50" s="19"/>
      <c r="E50" s="19"/>
      <c r="F50" s="19"/>
      <c r="G50" s="19"/>
      <c r="H50" s="790"/>
      <c r="I50" s="790"/>
      <c r="J50" s="790"/>
      <c r="K50" s="790"/>
      <c r="L50" s="790"/>
      <c r="M50" s="790"/>
      <c r="N50" s="790"/>
      <c r="O50" s="790"/>
      <c r="P50" s="790"/>
      <c r="Q50" s="790"/>
      <c r="R50" s="790"/>
      <c r="S50" s="790"/>
      <c r="T50" s="19"/>
      <c r="U50" s="19"/>
      <c r="V50" s="19"/>
      <c r="W50" s="19"/>
      <c r="X50" s="19"/>
    </row>
    <row r="51" customFormat="false" ht="12" hidden="false" customHeight="true" outlineLevel="0" collapsed="false">
      <c r="A51" s="19"/>
      <c r="B51" s="19"/>
      <c r="C51" s="19"/>
      <c r="D51" s="19"/>
      <c r="E51" s="19"/>
      <c r="F51" s="19"/>
      <c r="G51" s="19"/>
      <c r="H51" s="790"/>
      <c r="I51" s="790"/>
      <c r="J51" s="790"/>
      <c r="K51" s="790"/>
      <c r="L51" s="790"/>
      <c r="M51" s="790"/>
      <c r="N51" s="790"/>
      <c r="O51" s="790"/>
      <c r="P51" s="790"/>
      <c r="Q51" s="790"/>
      <c r="R51" s="790"/>
      <c r="S51" s="790"/>
      <c r="T51" s="19"/>
      <c r="U51" s="19"/>
      <c r="V51" s="19"/>
      <c r="W51" s="19"/>
      <c r="X51" s="19"/>
    </row>
    <row r="52" customFormat="false" ht="12" hidden="false" customHeight="true" outlineLevel="0" collapsed="false">
      <c r="A52" s="19"/>
      <c r="B52" s="19"/>
      <c r="C52" s="19"/>
      <c r="D52" s="19"/>
      <c r="E52" s="19"/>
      <c r="F52" s="19"/>
      <c r="G52" s="19"/>
      <c r="H52" s="790"/>
      <c r="I52" s="790"/>
      <c r="J52" s="790"/>
      <c r="K52" s="790"/>
      <c r="L52" s="790"/>
      <c r="M52" s="790"/>
      <c r="N52" s="790"/>
      <c r="O52" s="790"/>
      <c r="P52" s="790"/>
      <c r="Q52" s="790"/>
      <c r="R52" s="790"/>
      <c r="S52" s="790"/>
      <c r="T52" s="19"/>
      <c r="U52" s="19"/>
      <c r="V52" s="19"/>
      <c r="W52" s="19"/>
      <c r="X52" s="19"/>
    </row>
    <row r="53" customFormat="false" ht="12" hidden="false" customHeight="true" outlineLevel="0" collapsed="false">
      <c r="A53" s="19"/>
      <c r="B53" s="19"/>
      <c r="C53" s="19"/>
      <c r="D53" s="19"/>
      <c r="E53" s="19"/>
      <c r="F53" s="19"/>
      <c r="G53" s="19"/>
      <c r="H53" s="790"/>
      <c r="I53" s="790"/>
      <c r="J53" s="790"/>
      <c r="K53" s="790"/>
      <c r="L53" s="790"/>
      <c r="M53" s="790"/>
      <c r="N53" s="790"/>
      <c r="O53" s="790"/>
      <c r="P53" s="790"/>
      <c r="Q53" s="790"/>
      <c r="R53" s="790"/>
      <c r="S53" s="790"/>
      <c r="T53" s="19"/>
      <c r="U53" s="19"/>
      <c r="V53" s="19"/>
      <c r="W53" s="19"/>
      <c r="X53" s="19"/>
    </row>
    <row r="54" customFormat="false" ht="12" hidden="false" customHeight="true" outlineLevel="0" collapsed="false">
      <c r="A54" s="19"/>
      <c r="B54" s="19"/>
      <c r="C54" s="19"/>
      <c r="D54" s="19"/>
      <c r="E54" s="19"/>
      <c r="F54" s="19"/>
      <c r="G54" s="19"/>
      <c r="H54" s="790"/>
      <c r="I54" s="790"/>
      <c r="J54" s="790"/>
      <c r="K54" s="790"/>
      <c r="L54" s="790"/>
      <c r="M54" s="790"/>
      <c r="N54" s="790"/>
      <c r="O54" s="790"/>
      <c r="P54" s="790"/>
      <c r="Q54" s="790"/>
      <c r="R54" s="790"/>
      <c r="S54" s="790"/>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3" t="s">
        <v>1049</v>
      </c>
      <c r="B1" s="498"/>
      <c r="C1" s="498"/>
      <c r="D1" s="498"/>
      <c r="E1" s="498"/>
      <c r="F1" s="498"/>
      <c r="G1" s="498"/>
      <c r="H1" s="498"/>
      <c r="I1" s="498"/>
      <c r="J1" s="498"/>
      <c r="K1" s="498"/>
      <c r="L1" s="498"/>
      <c r="M1" s="498"/>
      <c r="N1" s="498"/>
      <c r="O1" s="498"/>
      <c r="P1" s="498"/>
      <c r="Q1" s="498"/>
      <c r="R1" s="498"/>
      <c r="S1" s="498"/>
      <c r="T1" s="498"/>
      <c r="U1" s="498"/>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4" t="s">
        <v>281</v>
      </c>
      <c r="C3" s="19"/>
      <c r="D3" s="19"/>
      <c r="E3" s="19"/>
      <c r="F3" s="19"/>
      <c r="G3" s="19"/>
      <c r="H3" s="19"/>
      <c r="I3" s="19"/>
      <c r="J3" s="516"/>
      <c r="K3" s="112"/>
      <c r="L3" s="112"/>
      <c r="M3" s="112"/>
      <c r="N3" s="112"/>
      <c r="O3" s="112"/>
      <c r="P3" s="112"/>
      <c r="Q3" s="112"/>
      <c r="R3" s="112"/>
      <c r="S3" s="112"/>
      <c r="T3" s="112"/>
      <c r="U3" s="112"/>
    </row>
    <row r="4" customFormat="false" ht="12" hidden="false" customHeight="true" outlineLevel="0" collapsed="false">
      <c r="A4" s="112"/>
      <c r="B4" s="512" t="s">
        <v>1050</v>
      </c>
      <c r="C4" s="19"/>
      <c r="D4" s="19"/>
      <c r="E4" s="19"/>
      <c r="F4" s="19"/>
      <c r="G4" s="19"/>
      <c r="H4" s="19"/>
      <c r="I4" s="19"/>
      <c r="J4" s="516"/>
      <c r="K4" s="112"/>
      <c r="L4" s="112"/>
      <c r="M4" s="112"/>
      <c r="N4" s="112"/>
      <c r="O4" s="112"/>
      <c r="P4" s="112"/>
      <c r="Q4" s="112"/>
      <c r="R4" s="112"/>
      <c r="S4" s="112"/>
      <c r="T4" s="112"/>
      <c r="U4" s="112"/>
    </row>
    <row r="5" customFormat="false" ht="12" hidden="false" customHeight="true" outlineLevel="0" collapsed="false">
      <c r="A5" s="112"/>
      <c r="B5" s="835" t="s">
        <v>1051</v>
      </c>
      <c r="C5" s="836" t="n">
        <f aca="false">Orbit!B98</f>
        <v>19.0622</v>
      </c>
      <c r="D5" s="19" t="s">
        <v>215</v>
      </c>
      <c r="E5" s="19"/>
      <c r="F5" s="19"/>
      <c r="G5" s="19"/>
      <c r="H5" s="19"/>
      <c r="I5" s="19"/>
      <c r="J5" s="516"/>
      <c r="K5" s="112"/>
      <c r="L5" s="112"/>
      <c r="M5" s="112"/>
      <c r="N5" s="112"/>
      <c r="O5" s="112"/>
      <c r="P5" s="112"/>
      <c r="Q5" s="112"/>
      <c r="R5" s="112"/>
      <c r="S5" s="112"/>
      <c r="T5" s="112"/>
      <c r="U5" s="112"/>
    </row>
    <row r="6" customFormat="false" ht="12" hidden="false" customHeight="true" outlineLevel="0" collapsed="false">
      <c r="A6" s="112"/>
      <c r="B6" s="512" t="s">
        <v>1052</v>
      </c>
      <c r="C6" s="98" t="n">
        <f aca="false">IF(C5&gt;0,1,0)</f>
        <v>1</v>
      </c>
      <c r="D6" s="19"/>
      <c r="E6" s="19" t="s">
        <v>0</v>
      </c>
      <c r="F6" s="19"/>
      <c r="G6" s="19" t="s">
        <v>1053</v>
      </c>
      <c r="H6" s="19"/>
      <c r="I6" s="19"/>
      <c r="J6" s="516"/>
      <c r="K6" s="112"/>
      <c r="L6" s="112"/>
      <c r="M6" s="112"/>
      <c r="N6" s="112"/>
      <c r="O6" s="112"/>
      <c r="P6" s="112"/>
      <c r="Q6" s="112"/>
      <c r="R6" s="112"/>
      <c r="S6" s="112"/>
      <c r="T6" s="112"/>
      <c r="U6" s="112"/>
    </row>
    <row r="7" customFormat="false" ht="12" hidden="false" customHeight="true" outlineLevel="0" collapsed="false">
      <c r="A7" s="112"/>
      <c r="B7" s="512"/>
      <c r="C7" s="98" t="n">
        <f aca="false">N(NOT(C6))</f>
        <v>0</v>
      </c>
      <c r="D7" s="19"/>
      <c r="E7" s="19"/>
      <c r="F7" s="19"/>
      <c r="G7" s="19" t="s">
        <v>1054</v>
      </c>
      <c r="H7" s="19"/>
      <c r="I7" s="19"/>
      <c r="J7" s="516"/>
      <c r="K7" s="112"/>
      <c r="L7" s="112"/>
      <c r="M7" s="112"/>
      <c r="N7" s="112"/>
      <c r="O7" s="112"/>
      <c r="P7" s="112"/>
      <c r="Q7" s="112"/>
      <c r="R7" s="112"/>
      <c r="S7" s="112"/>
      <c r="T7" s="112"/>
      <c r="U7" s="112"/>
    </row>
    <row r="8" customFormat="false" ht="12" hidden="false" customHeight="true" outlineLevel="0" collapsed="false">
      <c r="A8" s="112"/>
      <c r="B8" s="835" t="s">
        <v>1055</v>
      </c>
      <c r="C8" s="836" t="n">
        <f aca="false">Orbit!B101</f>
        <v>-16.6258</v>
      </c>
      <c r="D8" s="19" t="s">
        <v>215</v>
      </c>
      <c r="E8" s="19" t="s">
        <v>0</v>
      </c>
      <c r="F8" s="19"/>
      <c r="G8" s="19" t="s">
        <v>0</v>
      </c>
      <c r="H8" s="19"/>
      <c r="I8" s="19"/>
      <c r="J8" s="516"/>
      <c r="K8" s="112"/>
      <c r="L8" s="112"/>
      <c r="M8" s="112"/>
      <c r="N8" s="112"/>
      <c r="O8" s="112"/>
      <c r="P8" s="112"/>
      <c r="Q8" s="112"/>
      <c r="R8" s="112"/>
      <c r="S8" s="112"/>
      <c r="T8" s="112"/>
      <c r="U8" s="112"/>
    </row>
    <row r="9" customFormat="false" ht="12" hidden="false" customHeight="true" outlineLevel="0" collapsed="false">
      <c r="A9" s="112"/>
      <c r="B9" s="512" t="s">
        <v>1056</v>
      </c>
      <c r="C9" s="98" t="n">
        <f aca="false">IF(C8&gt;0,1,0)</f>
        <v>0</v>
      </c>
      <c r="D9" s="19"/>
      <c r="E9" s="19"/>
      <c r="F9" s="19"/>
      <c r="G9" s="19" t="s">
        <v>1057</v>
      </c>
      <c r="H9" s="19"/>
      <c r="I9" s="19"/>
      <c r="J9" s="516"/>
      <c r="K9" s="112"/>
      <c r="L9" s="112"/>
      <c r="M9" s="112"/>
      <c r="N9" s="112"/>
      <c r="O9" s="112"/>
      <c r="P9" s="112"/>
      <c r="Q9" s="112"/>
      <c r="R9" s="112"/>
      <c r="S9" s="112"/>
      <c r="T9" s="112"/>
      <c r="U9" s="112"/>
    </row>
    <row r="10" customFormat="false" ht="12" hidden="false" customHeight="true" outlineLevel="0" collapsed="false">
      <c r="A10" s="112"/>
      <c r="B10" s="512"/>
      <c r="C10" s="98" t="n">
        <f aca="false">N(NOT(C9))</f>
        <v>1</v>
      </c>
      <c r="D10" s="19"/>
      <c r="E10" s="19"/>
      <c r="F10" s="19"/>
      <c r="G10" s="19" t="s">
        <v>1058</v>
      </c>
      <c r="H10" s="19"/>
      <c r="I10" s="19"/>
      <c r="J10" s="516"/>
      <c r="K10" s="112"/>
      <c r="L10" s="112"/>
      <c r="M10" s="112"/>
      <c r="N10" s="112"/>
      <c r="O10" s="112"/>
      <c r="P10" s="112"/>
      <c r="Q10" s="112"/>
      <c r="R10" s="112"/>
      <c r="S10" s="112"/>
      <c r="T10" s="112"/>
      <c r="U10" s="112"/>
    </row>
    <row r="11" customFormat="false" ht="12" hidden="false" customHeight="true" outlineLevel="0" collapsed="false">
      <c r="A11" s="112"/>
      <c r="B11" s="512"/>
      <c r="C11" s="212" t="s">
        <v>1059</v>
      </c>
      <c r="D11" s="19"/>
      <c r="E11" s="212" t="s">
        <v>1060</v>
      </c>
      <c r="F11" s="19"/>
      <c r="G11" s="212" t="s">
        <v>1061</v>
      </c>
      <c r="H11" s="19"/>
      <c r="I11" s="19"/>
      <c r="J11" s="516"/>
      <c r="K11" s="112"/>
      <c r="L11" s="112"/>
      <c r="M11" s="112"/>
      <c r="N11" s="112"/>
      <c r="O11" s="112"/>
      <c r="P11" s="112"/>
      <c r="Q11" s="112"/>
      <c r="R11" s="112"/>
      <c r="S11" s="112"/>
      <c r="T11" s="112"/>
      <c r="U11" s="112"/>
    </row>
    <row r="12" customFormat="false" ht="12" hidden="false" customHeight="true" outlineLevel="0" collapsed="false">
      <c r="A12" s="112"/>
      <c r="B12" s="512" t="s">
        <v>1062</v>
      </c>
      <c r="C12" s="98" t="n">
        <f aca="false">N(AND(C7,C10))</f>
        <v>0</v>
      </c>
      <c r="D12" s="19"/>
      <c r="E12" s="199" t="n">
        <f aca="false">C12*(-C17)</f>
        <v>0</v>
      </c>
      <c r="F12" s="19" t="s">
        <v>215</v>
      </c>
      <c r="G12" s="19" t="s">
        <v>1063</v>
      </c>
      <c r="H12" s="19"/>
      <c r="I12" s="19"/>
      <c r="J12" s="516"/>
      <c r="K12" s="112"/>
      <c r="L12" s="112"/>
      <c r="M12" s="112"/>
      <c r="N12" s="112"/>
      <c r="O12" s="112"/>
      <c r="P12" s="112"/>
      <c r="Q12" s="112"/>
      <c r="R12" s="112"/>
      <c r="S12" s="112"/>
      <c r="T12" s="112"/>
      <c r="U12" s="112"/>
    </row>
    <row r="13" customFormat="false" ht="12" hidden="false" customHeight="true" outlineLevel="0" collapsed="false">
      <c r="A13" s="112"/>
      <c r="B13" s="512" t="s">
        <v>1064</v>
      </c>
      <c r="C13" s="98" t="n">
        <f aca="false">N(AND(C6,C10))</f>
        <v>1</v>
      </c>
      <c r="D13" s="19"/>
      <c r="E13" s="199" t="n">
        <f aca="false">C13*(180-C17)</f>
        <v>137.5635099</v>
      </c>
      <c r="F13" s="19" t="s">
        <v>215</v>
      </c>
      <c r="G13" s="19" t="s">
        <v>1065</v>
      </c>
      <c r="H13" s="19"/>
      <c r="I13" s="19"/>
      <c r="J13" s="516"/>
      <c r="K13" s="112"/>
      <c r="L13" s="112"/>
      <c r="M13" s="112"/>
      <c r="N13" s="112"/>
      <c r="O13" s="112"/>
      <c r="P13" s="112"/>
      <c r="Q13" s="112"/>
      <c r="R13" s="112"/>
      <c r="S13" s="112"/>
      <c r="T13" s="112"/>
      <c r="U13" s="112"/>
    </row>
    <row r="14" customFormat="false" ht="12" hidden="false" customHeight="true" outlineLevel="0" collapsed="false">
      <c r="A14" s="112"/>
      <c r="B14" s="512" t="s">
        <v>1066</v>
      </c>
      <c r="C14" s="98" t="n">
        <f aca="false">N(AND(C6,C9))</f>
        <v>0</v>
      </c>
      <c r="D14" s="19"/>
      <c r="E14" s="199" t="n">
        <f aca="false">C14*(180-C17)</f>
        <v>0</v>
      </c>
      <c r="F14" s="19" t="s">
        <v>215</v>
      </c>
      <c r="G14" s="19" t="s">
        <v>1067</v>
      </c>
      <c r="H14" s="19"/>
      <c r="I14" s="19"/>
      <c r="J14" s="516"/>
      <c r="K14" s="112"/>
      <c r="L14" s="112"/>
      <c r="M14" s="112"/>
      <c r="N14" s="112"/>
      <c r="O14" s="112"/>
      <c r="P14" s="112"/>
      <c r="Q14" s="112"/>
      <c r="R14" s="112"/>
      <c r="S14" s="112"/>
      <c r="T14" s="112"/>
      <c r="U14" s="112"/>
    </row>
    <row r="15" customFormat="false" ht="12" hidden="false" customHeight="true" outlineLevel="0" collapsed="false">
      <c r="A15" s="112"/>
      <c r="B15" s="512" t="s">
        <v>1068</v>
      </c>
      <c r="C15" s="98" t="n">
        <f aca="false">N(AND(C7,C9))</f>
        <v>0</v>
      </c>
      <c r="D15" s="19"/>
      <c r="E15" s="199" t="n">
        <f aca="false">C15*(360-C17)</f>
        <v>0</v>
      </c>
      <c r="F15" s="19" t="s">
        <v>215</v>
      </c>
      <c r="G15" s="19" t="s">
        <v>1069</v>
      </c>
      <c r="H15" s="19"/>
      <c r="I15" s="19"/>
      <c r="J15" s="516"/>
      <c r="K15" s="112"/>
      <c r="L15" s="112"/>
      <c r="M15" s="112"/>
      <c r="N15" s="112"/>
      <c r="O15" s="112"/>
      <c r="P15" s="112"/>
      <c r="Q15" s="112"/>
      <c r="R15" s="112"/>
      <c r="S15" s="112"/>
      <c r="T15" s="112"/>
      <c r="U15" s="112"/>
    </row>
    <row r="16" customFormat="false" ht="12" hidden="false" customHeight="true" outlineLevel="0" collapsed="false">
      <c r="A16" s="112"/>
      <c r="B16" s="512"/>
      <c r="C16" s="19"/>
      <c r="D16" s="19"/>
      <c r="E16" s="19"/>
      <c r="F16" s="19"/>
      <c r="G16" s="19"/>
      <c r="H16" s="19"/>
      <c r="I16" s="19"/>
      <c r="J16" s="516"/>
      <c r="K16" s="112"/>
      <c r="L16" s="112"/>
      <c r="M16" s="112"/>
      <c r="N16" s="112"/>
      <c r="O16" s="112"/>
      <c r="P16" s="112"/>
      <c r="Q16" s="112"/>
      <c r="R16" s="112"/>
      <c r="S16" s="112"/>
      <c r="T16" s="112"/>
      <c r="U16" s="112"/>
    </row>
    <row r="17" customFormat="false" ht="12" hidden="false" customHeight="true" outlineLevel="0" collapsed="false">
      <c r="A17" s="112"/>
      <c r="B17" s="835" t="s">
        <v>1070</v>
      </c>
      <c r="C17" s="837" t="n">
        <f aca="false">Orbit!B107</f>
        <v>42.43649014</v>
      </c>
      <c r="D17" s="19" t="s">
        <v>215</v>
      </c>
      <c r="E17" s="19"/>
      <c r="F17" s="19"/>
      <c r="G17" s="19"/>
      <c r="H17" s="19"/>
      <c r="I17" s="19"/>
      <c r="J17" s="516"/>
      <c r="K17" s="112"/>
      <c r="L17" s="112"/>
      <c r="M17" s="112"/>
      <c r="N17" s="112"/>
      <c r="O17" s="112"/>
      <c r="P17" s="112"/>
      <c r="Q17" s="112"/>
      <c r="R17" s="112"/>
      <c r="S17" s="112"/>
      <c r="T17" s="112"/>
      <c r="U17" s="112"/>
    </row>
    <row r="18" customFormat="false" ht="12" hidden="false" customHeight="true" outlineLevel="0" collapsed="false">
      <c r="A18" s="112"/>
      <c r="B18" s="512"/>
      <c r="C18" s="19"/>
      <c r="D18" s="19"/>
      <c r="E18" s="19"/>
      <c r="F18" s="19"/>
      <c r="G18" s="19"/>
      <c r="H18" s="19"/>
      <c r="I18" s="19"/>
      <c r="J18" s="516"/>
      <c r="K18" s="112"/>
      <c r="L18" s="112"/>
      <c r="M18" s="112"/>
      <c r="N18" s="112"/>
      <c r="O18" s="112"/>
      <c r="P18" s="112"/>
      <c r="Q18" s="112"/>
      <c r="R18" s="112"/>
      <c r="S18" s="112"/>
      <c r="T18" s="112"/>
      <c r="U18" s="112"/>
    </row>
    <row r="19" customFormat="false" ht="12" hidden="false" customHeight="true" outlineLevel="0" collapsed="false">
      <c r="A19" s="112"/>
      <c r="B19" s="835" t="s">
        <v>1071</v>
      </c>
      <c r="C19" s="19"/>
      <c r="D19" s="19"/>
      <c r="E19" s="838" t="n">
        <f aca="false">SUM(E12:E15)</f>
        <v>137.5635099</v>
      </c>
      <c r="F19" s="545" t="s">
        <v>215</v>
      </c>
      <c r="G19" s="19"/>
      <c r="H19" s="19"/>
      <c r="I19" s="19"/>
      <c r="J19" s="516"/>
      <c r="K19" s="112"/>
      <c r="L19" s="112"/>
      <c r="M19" s="112"/>
      <c r="N19" s="112"/>
      <c r="O19" s="112"/>
      <c r="P19" s="112"/>
      <c r="Q19" s="112"/>
      <c r="R19" s="112"/>
      <c r="S19" s="112"/>
      <c r="T19" s="112"/>
      <c r="U19" s="112"/>
    </row>
    <row r="20" customFormat="false" ht="12" hidden="false" customHeight="true" outlineLevel="0" collapsed="false">
      <c r="A20" s="112"/>
      <c r="B20" s="512"/>
      <c r="C20" s="19"/>
      <c r="D20" s="19"/>
      <c r="E20" s="19"/>
      <c r="F20" s="19"/>
      <c r="G20" s="19"/>
      <c r="H20" s="19"/>
      <c r="I20" s="19"/>
      <c r="J20" s="516"/>
      <c r="K20" s="112"/>
      <c r="L20" s="112"/>
      <c r="M20" s="112"/>
      <c r="N20" s="112"/>
      <c r="O20" s="112"/>
      <c r="P20" s="112"/>
      <c r="Q20" s="112"/>
      <c r="R20" s="112"/>
      <c r="S20" s="112"/>
      <c r="T20" s="112"/>
      <c r="U20" s="112"/>
    </row>
    <row r="21" customFormat="false" ht="12.75" hidden="false" customHeight="true" outlineLevel="0" collapsed="false">
      <c r="A21" s="112"/>
      <c r="B21" s="526"/>
      <c r="C21" s="107"/>
      <c r="D21" s="107"/>
      <c r="E21" s="107"/>
      <c r="F21" s="107"/>
      <c r="G21" s="107"/>
      <c r="H21" s="107"/>
      <c r="I21" s="107"/>
      <c r="J21" s="527"/>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2"/>
      <c r="C23" s="752"/>
      <c r="D23" s="752"/>
      <c r="E23" s="752"/>
      <c r="F23" s="752"/>
      <c r="G23" s="752"/>
      <c r="H23" s="752"/>
      <c r="I23" s="752"/>
      <c r="J23" s="752"/>
      <c r="K23" s="112"/>
      <c r="L23" s="112"/>
      <c r="M23" s="112"/>
      <c r="N23" s="112"/>
      <c r="O23" s="112"/>
      <c r="P23" s="112"/>
      <c r="Q23" s="112"/>
      <c r="R23" s="112"/>
      <c r="S23" s="112"/>
      <c r="T23" s="112"/>
      <c r="U23" s="112"/>
    </row>
    <row r="24" customFormat="false" ht="12" hidden="false" customHeight="true" outlineLevel="0" collapsed="false">
      <c r="A24" s="112"/>
      <c r="B24" s="834" t="s">
        <v>277</v>
      </c>
      <c r="C24" s="19"/>
      <c r="D24" s="19"/>
      <c r="E24" s="19"/>
      <c r="F24" s="19"/>
      <c r="G24" s="19"/>
      <c r="H24" s="19"/>
      <c r="I24" s="19"/>
      <c r="J24" s="516"/>
      <c r="K24" s="112"/>
      <c r="L24" s="112"/>
      <c r="M24" s="112"/>
      <c r="N24" s="112"/>
      <c r="O24" s="112"/>
      <c r="P24" s="112"/>
      <c r="Q24" s="112"/>
      <c r="R24" s="112"/>
      <c r="S24" s="112"/>
      <c r="T24" s="112"/>
      <c r="U24" s="112"/>
    </row>
    <row r="25" customFormat="false" ht="12" hidden="false" customHeight="true" outlineLevel="0" collapsed="false">
      <c r="A25" s="112"/>
      <c r="B25" s="512" t="s">
        <v>1050</v>
      </c>
      <c r="C25" s="19"/>
      <c r="D25" s="19"/>
      <c r="E25" s="19"/>
      <c r="F25" s="19"/>
      <c r="G25" s="19"/>
      <c r="H25" s="19"/>
      <c r="I25" s="19"/>
      <c r="J25" s="516"/>
      <c r="K25" s="112"/>
      <c r="L25" s="112"/>
      <c r="M25" s="112"/>
      <c r="N25" s="112"/>
      <c r="O25" s="112"/>
      <c r="P25" s="112"/>
      <c r="Q25" s="112"/>
      <c r="R25" s="112"/>
      <c r="S25" s="112"/>
      <c r="T25" s="112"/>
      <c r="U25" s="112"/>
    </row>
    <row r="26" customFormat="false" ht="12" hidden="false" customHeight="true" outlineLevel="0" collapsed="false">
      <c r="A26" s="112"/>
      <c r="B26" s="835" t="s">
        <v>1051</v>
      </c>
      <c r="C26" s="836" t="n">
        <f aca="false">Orbit!O98</f>
        <v>17.4292</v>
      </c>
      <c r="D26" s="19" t="s">
        <v>215</v>
      </c>
      <c r="E26" s="19"/>
      <c r="F26" s="19"/>
      <c r="G26" s="19"/>
      <c r="H26" s="19"/>
      <c r="I26" s="19"/>
      <c r="J26" s="516"/>
      <c r="K26" s="112"/>
      <c r="L26" s="112"/>
      <c r="M26" s="112"/>
      <c r="N26" s="112"/>
      <c r="O26" s="112"/>
      <c r="P26" s="112"/>
      <c r="Q26" s="112"/>
      <c r="R26" s="112"/>
      <c r="S26" s="112"/>
      <c r="T26" s="112"/>
      <c r="U26" s="112"/>
    </row>
    <row r="27" customFormat="false" ht="12" hidden="false" customHeight="true" outlineLevel="0" collapsed="false">
      <c r="A27" s="112"/>
      <c r="B27" s="512" t="s">
        <v>1052</v>
      </c>
      <c r="C27" s="98" t="n">
        <f aca="false">IF(C26&gt;0,1,0)</f>
        <v>1</v>
      </c>
      <c r="D27" s="19"/>
      <c r="E27" s="19" t="s">
        <v>0</v>
      </c>
      <c r="F27" s="19"/>
      <c r="G27" s="19" t="s">
        <v>1053</v>
      </c>
      <c r="H27" s="19"/>
      <c r="I27" s="19"/>
      <c r="J27" s="516"/>
      <c r="K27" s="112"/>
      <c r="L27" s="112"/>
      <c r="M27" s="112"/>
      <c r="N27" s="112"/>
      <c r="O27" s="112"/>
      <c r="P27" s="112"/>
      <c r="Q27" s="112"/>
      <c r="R27" s="112"/>
      <c r="S27" s="112"/>
      <c r="T27" s="112"/>
      <c r="U27" s="112"/>
    </row>
    <row r="28" customFormat="false" ht="12" hidden="false" customHeight="true" outlineLevel="0" collapsed="false">
      <c r="A28" s="112"/>
      <c r="B28" s="512"/>
      <c r="C28" s="98" t="n">
        <f aca="false">N(NOT(C27))</f>
        <v>0</v>
      </c>
      <c r="D28" s="19"/>
      <c r="E28" s="19"/>
      <c r="F28" s="19"/>
      <c r="G28" s="19" t="s">
        <v>1054</v>
      </c>
      <c r="H28" s="19"/>
      <c r="I28" s="19"/>
      <c r="J28" s="516"/>
      <c r="K28" s="112"/>
      <c r="L28" s="112"/>
      <c r="M28" s="112"/>
      <c r="N28" s="112"/>
      <c r="O28" s="112"/>
      <c r="P28" s="112"/>
      <c r="Q28" s="112"/>
      <c r="R28" s="112"/>
      <c r="S28" s="112"/>
      <c r="T28" s="112"/>
      <c r="U28" s="112"/>
    </row>
    <row r="29" customFormat="false" ht="12" hidden="false" customHeight="true" outlineLevel="0" collapsed="false">
      <c r="A29" s="112"/>
      <c r="B29" s="835" t="s">
        <v>1055</v>
      </c>
      <c r="C29" s="836" t="n">
        <f aca="false">Orbit!O101</f>
        <v>-11.0342</v>
      </c>
      <c r="D29" s="19" t="s">
        <v>215</v>
      </c>
      <c r="E29" s="19" t="s">
        <v>0</v>
      </c>
      <c r="F29" s="19"/>
      <c r="G29" s="19" t="s">
        <v>0</v>
      </c>
      <c r="H29" s="19"/>
      <c r="I29" s="19"/>
      <c r="J29" s="516"/>
      <c r="K29" s="112"/>
      <c r="L29" s="112"/>
      <c r="M29" s="112"/>
      <c r="N29" s="112" t="s">
        <v>0</v>
      </c>
      <c r="O29" s="112"/>
      <c r="P29" s="112"/>
      <c r="Q29" s="112"/>
      <c r="R29" s="112"/>
      <c r="S29" s="112"/>
      <c r="T29" s="112"/>
      <c r="U29" s="112"/>
    </row>
    <row r="30" customFormat="false" ht="12" hidden="false" customHeight="true" outlineLevel="0" collapsed="false">
      <c r="A30" s="112"/>
      <c r="B30" s="512" t="s">
        <v>1056</v>
      </c>
      <c r="C30" s="98" t="n">
        <f aca="false">IF(C29&gt;0,1,0)</f>
        <v>0</v>
      </c>
      <c r="D30" s="19"/>
      <c r="E30" s="19"/>
      <c r="F30" s="19"/>
      <c r="G30" s="19" t="s">
        <v>1057</v>
      </c>
      <c r="H30" s="19"/>
      <c r="I30" s="19"/>
      <c r="J30" s="516"/>
      <c r="K30" s="112"/>
      <c r="L30" s="112"/>
      <c r="M30" s="112"/>
      <c r="N30" s="112"/>
      <c r="O30" s="112"/>
      <c r="P30" s="112"/>
      <c r="Q30" s="112"/>
      <c r="R30" s="112"/>
      <c r="S30" s="112"/>
      <c r="T30" s="112"/>
      <c r="U30" s="112"/>
    </row>
    <row r="31" customFormat="false" ht="12" hidden="false" customHeight="true" outlineLevel="0" collapsed="false">
      <c r="A31" s="112"/>
      <c r="B31" s="512"/>
      <c r="C31" s="98" t="n">
        <f aca="false">N(NOT(C30))</f>
        <v>1</v>
      </c>
      <c r="D31" s="19"/>
      <c r="E31" s="19"/>
      <c r="F31" s="19"/>
      <c r="G31" s="19" t="s">
        <v>1058</v>
      </c>
      <c r="H31" s="19"/>
      <c r="I31" s="19"/>
      <c r="J31" s="516"/>
      <c r="K31" s="112"/>
      <c r="L31" s="112"/>
      <c r="M31" s="112"/>
      <c r="N31" s="112"/>
      <c r="O31" s="112"/>
      <c r="P31" s="112"/>
      <c r="Q31" s="112"/>
      <c r="R31" s="112"/>
      <c r="S31" s="112"/>
      <c r="T31" s="112"/>
      <c r="U31" s="112"/>
    </row>
    <row r="32" customFormat="false" ht="12" hidden="false" customHeight="true" outlineLevel="0" collapsed="false">
      <c r="A32" s="112"/>
      <c r="B32" s="512"/>
      <c r="C32" s="212" t="s">
        <v>1059</v>
      </c>
      <c r="D32" s="19"/>
      <c r="E32" s="212" t="s">
        <v>1060</v>
      </c>
      <c r="F32" s="19"/>
      <c r="G32" s="212" t="s">
        <v>1072</v>
      </c>
      <c r="H32" s="19"/>
      <c r="I32" s="19"/>
      <c r="J32" s="516"/>
      <c r="K32" s="112"/>
      <c r="L32" s="112"/>
      <c r="M32" s="112"/>
      <c r="N32" s="112"/>
      <c r="O32" s="112"/>
      <c r="P32" s="112"/>
      <c r="Q32" s="112"/>
      <c r="R32" s="112"/>
      <c r="S32" s="112"/>
      <c r="T32" s="112"/>
      <c r="U32" s="112"/>
    </row>
    <row r="33" customFormat="false" ht="12" hidden="false" customHeight="true" outlineLevel="0" collapsed="false">
      <c r="A33" s="112"/>
      <c r="B33" s="512" t="s">
        <v>1062</v>
      </c>
      <c r="C33" s="98" t="n">
        <f aca="false">N(AND(C28,C31))</f>
        <v>0</v>
      </c>
      <c r="D33" s="19"/>
      <c r="E33" s="199" t="n">
        <f aca="false">C33*(-C38)</f>
        <v>0</v>
      </c>
      <c r="F33" s="19" t="s">
        <v>215</v>
      </c>
      <c r="G33" s="19" t="s">
        <v>1063</v>
      </c>
      <c r="H33" s="19"/>
      <c r="I33" s="19"/>
      <c r="J33" s="516"/>
      <c r="K33" s="112"/>
      <c r="L33" s="112"/>
      <c r="M33" s="112"/>
      <c r="N33" s="112"/>
      <c r="O33" s="112"/>
      <c r="P33" s="112"/>
      <c r="Q33" s="112"/>
      <c r="R33" s="112"/>
      <c r="S33" s="112"/>
      <c r="T33" s="112"/>
      <c r="U33" s="112"/>
    </row>
    <row r="34" customFormat="false" ht="12" hidden="false" customHeight="true" outlineLevel="0" collapsed="false">
      <c r="A34" s="112"/>
      <c r="B34" s="512" t="s">
        <v>1064</v>
      </c>
      <c r="C34" s="98" t="n">
        <f aca="false">N(AND(C27,C31))</f>
        <v>1</v>
      </c>
      <c r="D34" s="19"/>
      <c r="E34" s="199" t="n">
        <f aca="false">C34*(180-C38)</f>
        <v>146.9348358</v>
      </c>
      <c r="F34" s="19" t="s">
        <v>215</v>
      </c>
      <c r="G34" s="19" t="s">
        <v>1065</v>
      </c>
      <c r="H34" s="19"/>
      <c r="I34" s="19"/>
      <c r="J34" s="516"/>
      <c r="K34" s="112"/>
      <c r="L34" s="112"/>
      <c r="M34" s="112"/>
      <c r="N34" s="112"/>
      <c r="O34" s="112"/>
      <c r="P34" s="112"/>
      <c r="Q34" s="112"/>
      <c r="R34" s="112"/>
      <c r="S34" s="112"/>
      <c r="T34" s="112"/>
      <c r="U34" s="112"/>
    </row>
    <row r="35" customFormat="false" ht="12" hidden="false" customHeight="true" outlineLevel="0" collapsed="false">
      <c r="A35" s="112"/>
      <c r="B35" s="512" t="s">
        <v>1066</v>
      </c>
      <c r="C35" s="98" t="n">
        <f aca="false">N(AND(C27,C30))</f>
        <v>0</v>
      </c>
      <c r="D35" s="19"/>
      <c r="E35" s="199" t="n">
        <f aca="false">C35*(180-C38)</f>
        <v>0</v>
      </c>
      <c r="F35" s="19" t="s">
        <v>215</v>
      </c>
      <c r="G35" s="19" t="s">
        <v>1067</v>
      </c>
      <c r="H35" s="19"/>
      <c r="I35" s="19"/>
      <c r="J35" s="516"/>
      <c r="K35" s="112"/>
      <c r="L35" s="112"/>
      <c r="M35" s="112"/>
      <c r="N35" s="112"/>
      <c r="O35" s="112"/>
      <c r="P35" s="112"/>
      <c r="Q35" s="112"/>
      <c r="R35" s="112"/>
      <c r="S35" s="112"/>
      <c r="T35" s="112"/>
      <c r="U35" s="112"/>
    </row>
    <row r="36" customFormat="false" ht="12" hidden="false" customHeight="true" outlineLevel="0" collapsed="false">
      <c r="A36" s="112"/>
      <c r="B36" s="512" t="s">
        <v>1068</v>
      </c>
      <c r="C36" s="98" t="n">
        <f aca="false">N(AND(C28,C30))</f>
        <v>0</v>
      </c>
      <c r="D36" s="19"/>
      <c r="E36" s="199" t="n">
        <f aca="false">C36*(360-C38)</f>
        <v>0</v>
      </c>
      <c r="F36" s="19" t="s">
        <v>215</v>
      </c>
      <c r="G36" s="19" t="s">
        <v>1069</v>
      </c>
      <c r="H36" s="19"/>
      <c r="I36" s="19"/>
      <c r="J36" s="516"/>
      <c r="K36" s="112"/>
      <c r="L36" s="112"/>
      <c r="M36" s="112"/>
      <c r="N36" s="112"/>
      <c r="O36" s="112"/>
      <c r="P36" s="112"/>
      <c r="Q36" s="112"/>
      <c r="R36" s="112"/>
      <c r="S36" s="112"/>
      <c r="T36" s="112"/>
      <c r="U36" s="112"/>
    </row>
    <row r="37" customFormat="false" ht="12" hidden="false" customHeight="true" outlineLevel="0" collapsed="false">
      <c r="A37" s="112"/>
      <c r="B37" s="512"/>
      <c r="C37" s="19"/>
      <c r="D37" s="19"/>
      <c r="E37" s="19"/>
      <c r="F37" s="19"/>
      <c r="G37" s="19"/>
      <c r="H37" s="19"/>
      <c r="I37" s="19"/>
      <c r="J37" s="516"/>
      <c r="K37" s="112"/>
      <c r="L37" s="112"/>
      <c r="M37" s="112"/>
      <c r="N37" s="112"/>
      <c r="O37" s="112"/>
      <c r="P37" s="112"/>
      <c r="Q37" s="112"/>
      <c r="R37" s="112"/>
      <c r="S37" s="112"/>
      <c r="T37" s="112"/>
      <c r="U37" s="112"/>
    </row>
    <row r="38" customFormat="false" ht="12" hidden="false" customHeight="true" outlineLevel="0" collapsed="false">
      <c r="A38" s="112"/>
      <c r="B38" s="835" t="s">
        <v>1070</v>
      </c>
      <c r="C38" s="837" t="n">
        <f aca="false">Orbit!O107</f>
        <v>33.06516416</v>
      </c>
      <c r="D38" s="19" t="s">
        <v>215</v>
      </c>
      <c r="E38" s="19"/>
      <c r="F38" s="19"/>
      <c r="G38" s="19"/>
      <c r="H38" s="19"/>
      <c r="I38" s="19"/>
      <c r="J38" s="516"/>
      <c r="K38" s="112"/>
      <c r="L38" s="112"/>
      <c r="M38" s="112"/>
      <c r="N38" s="112"/>
      <c r="O38" s="112"/>
      <c r="P38" s="112"/>
      <c r="Q38" s="112"/>
      <c r="R38" s="112"/>
      <c r="S38" s="112"/>
      <c r="T38" s="112"/>
      <c r="U38" s="112"/>
    </row>
    <row r="39" customFormat="false" ht="12" hidden="false" customHeight="true" outlineLevel="0" collapsed="false">
      <c r="A39" s="112"/>
      <c r="B39" s="512"/>
      <c r="C39" s="19"/>
      <c r="D39" s="19"/>
      <c r="E39" s="19"/>
      <c r="F39" s="19"/>
      <c r="G39" s="19"/>
      <c r="H39" s="19"/>
      <c r="I39" s="19"/>
      <c r="J39" s="516"/>
      <c r="K39" s="112"/>
      <c r="L39" s="112"/>
      <c r="M39" s="112"/>
      <c r="N39" s="112"/>
      <c r="O39" s="112"/>
      <c r="P39" s="112"/>
      <c r="Q39" s="112"/>
      <c r="R39" s="112"/>
      <c r="S39" s="112"/>
      <c r="T39" s="112"/>
      <c r="U39" s="112"/>
    </row>
    <row r="40" customFormat="false" ht="12" hidden="false" customHeight="true" outlineLevel="0" collapsed="false">
      <c r="A40" s="112"/>
      <c r="B40" s="835" t="s">
        <v>1071</v>
      </c>
      <c r="C40" s="19"/>
      <c r="D40" s="19"/>
      <c r="E40" s="838" t="n">
        <f aca="false">SUM(E33:E36)</f>
        <v>146.9348358</v>
      </c>
      <c r="F40" s="545" t="s">
        <v>215</v>
      </c>
      <c r="G40" s="19"/>
      <c r="H40" s="19"/>
      <c r="I40" s="19"/>
      <c r="J40" s="516"/>
      <c r="K40" s="112"/>
      <c r="L40" s="112"/>
      <c r="M40" s="112"/>
      <c r="N40" s="112"/>
      <c r="O40" s="112"/>
      <c r="P40" s="112"/>
      <c r="Q40" s="112"/>
      <c r="R40" s="112"/>
      <c r="S40" s="112"/>
      <c r="T40" s="112"/>
      <c r="U40" s="112"/>
    </row>
    <row r="41" customFormat="false" ht="12" hidden="false" customHeight="true" outlineLevel="0" collapsed="false">
      <c r="A41" s="112"/>
      <c r="B41" s="512"/>
      <c r="C41" s="19"/>
      <c r="D41" s="19"/>
      <c r="E41" s="19"/>
      <c r="F41" s="19"/>
      <c r="G41" s="19"/>
      <c r="H41" s="19"/>
      <c r="I41" s="19"/>
      <c r="J41" s="516"/>
      <c r="K41" s="112"/>
      <c r="L41" s="112"/>
      <c r="M41" s="112"/>
      <c r="N41" s="112"/>
      <c r="O41" s="112"/>
      <c r="P41" s="112"/>
      <c r="Q41" s="112"/>
      <c r="R41" s="112"/>
      <c r="S41" s="112"/>
      <c r="T41" s="112"/>
      <c r="U41" s="112"/>
    </row>
    <row r="42" customFormat="false" ht="12.75" hidden="false" customHeight="true" outlineLevel="0" collapsed="false">
      <c r="A42" s="112"/>
      <c r="B42" s="526"/>
      <c r="C42" s="107"/>
      <c r="D42" s="107"/>
      <c r="E42" s="107"/>
      <c r="F42" s="107"/>
      <c r="G42" s="107"/>
      <c r="H42" s="107"/>
      <c r="I42" s="107"/>
      <c r="J42" s="527"/>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1073</v>
      </c>
      <c r="B1" s="43"/>
      <c r="C1" s="43"/>
      <c r="D1" s="43"/>
    </row>
    <row r="2" customFormat="false" ht="12" hidden="false" customHeight="true" outlineLevel="0" collapsed="false">
      <c r="A2" s="23" t="s">
        <v>60</v>
      </c>
      <c r="B2" s="43" t="s">
        <v>1074</v>
      </c>
      <c r="C2" s="43" t="s">
        <v>87</v>
      </c>
      <c r="D2" s="43" t="s">
        <v>1075</v>
      </c>
      <c r="E2" s="43" t="s">
        <v>1076</v>
      </c>
      <c r="F2" s="43" t="s">
        <v>1077</v>
      </c>
      <c r="G2" s="43" t="s">
        <v>1078</v>
      </c>
      <c r="I2" s="38" t="s">
        <v>0</v>
      </c>
    </row>
    <row r="3" customFormat="false" ht="12" hidden="false" customHeight="true" outlineLevel="0" collapsed="false">
      <c r="B3" s="43" t="n">
        <f aca="false">SQRT(D3-(C3)^2)</f>
        <v>3.51994318135961</v>
      </c>
      <c r="C3" s="715" t="n">
        <v>-1.9</v>
      </c>
      <c r="D3" s="715" t="n">
        <v>16</v>
      </c>
      <c r="E3" s="43" t="n">
        <f aca="false">SQRT(G3-(F4)^2)</f>
        <v>3.57456291034303</v>
      </c>
      <c r="F3" s="43" t="n">
        <v>-1.9</v>
      </c>
      <c r="G3" s="715" t="n">
        <v>16.2</v>
      </c>
      <c r="I3" s="38" t="s">
        <v>0</v>
      </c>
    </row>
    <row r="4" customFormat="false" ht="12" hidden="false" customHeight="true" outlineLevel="0" collapsed="false">
      <c r="B4" s="43" t="n">
        <f aca="false">SQRT(D4-(C4)^2)</f>
        <v>3.54647712526107</v>
      </c>
      <c r="C4" s="715" t="n">
        <f aca="false">C3+0.05</f>
        <v>-1.85</v>
      </c>
      <c r="D4" s="715" t="n">
        <v>16</v>
      </c>
      <c r="E4" s="43" t="n">
        <f aca="false">SQRT(G4-(F5)^2)</f>
        <v>3.6</v>
      </c>
      <c r="F4" s="43" t="n">
        <f aca="false">F3+0.05</f>
        <v>-1.85</v>
      </c>
      <c r="G4" s="715" t="n">
        <v>16.2</v>
      </c>
    </row>
    <row r="5" customFormat="false" ht="12" hidden="false" customHeight="true" outlineLevel="0" collapsed="false">
      <c r="B5" s="43" t="n">
        <f aca="false">SQRT(D5-(C5)^2)</f>
        <v>3.57211421989835</v>
      </c>
      <c r="C5" s="715" t="n">
        <f aca="false">C4+0.05</f>
        <v>-1.8</v>
      </c>
      <c r="D5" s="715" t="n">
        <v>16</v>
      </c>
      <c r="E5" s="43" t="n">
        <f aca="false">SQRT(G5-(F6)^2)</f>
        <v>3.62456893988789</v>
      </c>
      <c r="F5" s="715" t="n">
        <f aca="false">F4+0.05</f>
        <v>-1.8</v>
      </c>
      <c r="G5" s="715" t="n">
        <v>16.2</v>
      </c>
    </row>
    <row r="6" customFormat="false" ht="12" hidden="false" customHeight="true" outlineLevel="0" collapsed="false">
      <c r="B6" s="43" t="n">
        <f aca="false">SQRT(D6-(C6)^2)</f>
        <v>3.59687364248454</v>
      </c>
      <c r="C6" s="715" t="n">
        <f aca="false">C5+0.05</f>
        <v>-1.75</v>
      </c>
      <c r="D6" s="715" t="n">
        <v>16</v>
      </c>
      <c r="E6" s="43" t="n">
        <f aca="false">SQRT(G6-(F7)^2)</f>
        <v>3.64828726939094</v>
      </c>
      <c r="F6" s="715" t="n">
        <f aca="false">F5+0.05</f>
        <v>-1.75</v>
      </c>
      <c r="G6" s="715" t="n">
        <v>16.2</v>
      </c>
    </row>
    <row r="7" customFormat="false" ht="12" hidden="false" customHeight="true" outlineLevel="0" collapsed="false">
      <c r="B7" s="43" t="n">
        <f aca="false">SQRT(D7-(C7)^2)</f>
        <v>3.62077339804634</v>
      </c>
      <c r="C7" s="715" t="n">
        <f aca="false">C6+0.05</f>
        <v>-1.7</v>
      </c>
      <c r="D7" s="715" t="n">
        <v>16</v>
      </c>
      <c r="E7" s="43" t="n">
        <f aca="false">SQRT(G7-(F8)^2)</f>
        <v>3.67117147515613</v>
      </c>
      <c r="F7" s="715" t="n">
        <f aca="false">F6+0.05</f>
        <v>-1.7</v>
      </c>
      <c r="G7" s="715" t="n">
        <v>16.2</v>
      </c>
    </row>
    <row r="8" customFormat="false" ht="12" hidden="false" customHeight="true" outlineLevel="0" collapsed="false">
      <c r="B8" s="43" t="n">
        <f aca="false">SQRT(D8-(C8)^2)</f>
        <v>3.64383040220041</v>
      </c>
      <c r="C8" s="715" t="n">
        <f aca="false">C7+0.05</f>
        <v>-1.65</v>
      </c>
      <c r="D8" s="715" t="n">
        <v>16</v>
      </c>
      <c r="E8" s="43" t="n">
        <f aca="false">SQRT(G8-(F9)^2)</f>
        <v>3.69323706252388</v>
      </c>
      <c r="F8" s="715" t="n">
        <f aca="false">F7+0.05</f>
        <v>-1.65</v>
      </c>
      <c r="G8" s="715" t="n">
        <v>16.2</v>
      </c>
    </row>
    <row r="9" customFormat="false" ht="12" hidden="false" customHeight="true" outlineLevel="0" collapsed="false">
      <c r="B9" s="43" t="n">
        <f aca="false">SQRT(D9-(C9)^2)</f>
        <v>3.66606055596467</v>
      </c>
      <c r="C9" s="715" t="n">
        <f aca="false">C8+0.05</f>
        <v>-1.6</v>
      </c>
      <c r="D9" s="715" t="n">
        <v>16</v>
      </c>
      <c r="E9" s="43" t="n">
        <f aca="false">SQRT(G9-(F10)^2)</f>
        <v>3.71449862027165</v>
      </c>
      <c r="F9" s="715" t="n">
        <f aca="false">F8+0.05</f>
        <v>-1.6</v>
      </c>
      <c r="G9" s="715" t="n">
        <v>16.2</v>
      </c>
    </row>
    <row r="10" customFormat="false" ht="12" hidden="false" customHeight="true" outlineLevel="0" collapsed="false">
      <c r="B10" s="43" t="n">
        <f aca="false">SQRT(D10-(C10)^2)</f>
        <v>3.68747881349846</v>
      </c>
      <c r="C10" s="715" t="n">
        <f aca="false">C9+0.05</f>
        <v>-1.55</v>
      </c>
      <c r="D10" s="715" t="n">
        <v>16</v>
      </c>
      <c r="E10" s="43" t="n">
        <f aca="false">SQRT(G10-(F11)^2)</f>
        <v>3.73496987939662</v>
      </c>
      <c r="F10" s="715" t="n">
        <f aca="false">F9+0.05</f>
        <v>-1.55</v>
      </c>
      <c r="G10" s="715" t="n">
        <v>16.2</v>
      </c>
    </row>
    <row r="11" customFormat="false" ht="12" hidden="false" customHeight="true" outlineLevel="0" collapsed="false">
      <c r="B11" s="43" t="n">
        <f aca="false">SQRT(D11-(C11)^2)</f>
        <v>3.70809924354783</v>
      </c>
      <c r="C11" s="715" t="n">
        <f aca="false">C10+0.05</f>
        <v>-1.5</v>
      </c>
      <c r="D11" s="715" t="n">
        <v>16</v>
      </c>
      <c r="E11" s="43" t="n">
        <f aca="false">SQRT(G11-(F12)^2)</f>
        <v>3.75466376657085</v>
      </c>
      <c r="F11" s="715" t="n">
        <f aca="false">F10+0.05</f>
        <v>-1.5</v>
      </c>
      <c r="G11" s="715" t="n">
        <v>16.2</v>
      </c>
    </row>
    <row r="12" customFormat="false" ht="12" hidden="false" customHeight="true" outlineLevel="0" collapsed="false">
      <c r="B12" s="43" t="n">
        <f aca="false">SQRT(D12-(C12)^2)</f>
        <v>3.72793508527174</v>
      </c>
      <c r="C12" s="715" t="n">
        <f aca="false">C11+0.05</f>
        <v>-1.45</v>
      </c>
      <c r="D12" s="715" t="n">
        <v>16</v>
      </c>
      <c r="E12" s="43" t="n">
        <f aca="false">SQRT(G12-(F13)^2)</f>
        <v>3.77359245282264</v>
      </c>
      <c r="F12" s="715" t="n">
        <f aca="false">F11+0.05</f>
        <v>-1.45</v>
      </c>
      <c r="G12" s="715" t="n">
        <v>16.2</v>
      </c>
    </row>
    <row r="13" customFormat="false" ht="12" hidden="false" customHeight="true" outlineLevel="0" collapsed="false">
      <c r="B13" s="43" t="n">
        <f aca="false">SQRT(D13-(C13)^2)</f>
        <v>3.74699879903904</v>
      </c>
      <c r="C13" s="715" t="n">
        <f aca="false">C12+0.05</f>
        <v>-1.4</v>
      </c>
      <c r="D13" s="715" t="n">
        <v>16</v>
      </c>
      <c r="E13" s="43" t="n">
        <f aca="false">SQRT(G13-(F14)^2)</f>
        <v>3.79176739792936</v>
      </c>
      <c r="F13" s="715" t="n">
        <f aca="false">F12+0.05</f>
        <v>-1.4</v>
      </c>
      <c r="G13" s="715" t="n">
        <v>16.2</v>
      </c>
    </row>
    <row r="14" customFormat="false" ht="12" hidden="false" customHeight="true" outlineLevel="0" collapsed="false">
      <c r="B14" s="43" t="n">
        <f aca="false">SQRT(D14-(C14)^2)</f>
        <v>3.76530211271287</v>
      </c>
      <c r="C14" s="715" t="n">
        <f aca="false">C13+0.05</f>
        <v>-1.35</v>
      </c>
      <c r="D14" s="715" t="n">
        <v>16</v>
      </c>
      <c r="E14" s="43" t="n">
        <f aca="false">SQRT(G14-(F15)^2)</f>
        <v>3.80919939094818</v>
      </c>
      <c r="F14" s="715" t="n">
        <f aca="false">F13+0.05</f>
        <v>-1.35</v>
      </c>
      <c r="G14" s="715" t="n">
        <v>16.2</v>
      </c>
    </row>
    <row r="15" customFormat="false" ht="12" hidden="false" customHeight="true" outlineLevel="0" collapsed="false">
      <c r="B15" s="43" t="n">
        <f aca="false">SQRT(D15-(C15)^2)</f>
        <v>3.78285606387555</v>
      </c>
      <c r="C15" s="715" t="n">
        <f aca="false">C14+0.05</f>
        <v>-1.3</v>
      </c>
      <c r="D15" s="715" t="n">
        <v>16</v>
      </c>
      <c r="E15" s="43" t="n">
        <f aca="false">SQRT(G15-(F16)^2)</f>
        <v>3.82589858726025</v>
      </c>
      <c r="F15" s="715" t="n">
        <f aca="false">F14+0.05</f>
        <v>-1.3</v>
      </c>
      <c r="G15" s="715" t="n">
        <v>16.2</v>
      </c>
    </row>
    <row r="16" customFormat="false" ht="12" hidden="false" customHeight="true" outlineLevel="0" collapsed="false">
      <c r="B16" s="43" t="n">
        <f aca="false">SQRT(D16-(C16)^2)</f>
        <v>3.79967103839267</v>
      </c>
      <c r="C16" s="715" t="n">
        <f aca="false">C15+0.05</f>
        <v>-1.25</v>
      </c>
      <c r="D16" s="715" t="n">
        <v>16</v>
      </c>
      <c r="E16" s="43" t="n">
        <f aca="false">SQRT(G16-(F17)^2)</f>
        <v>3.84187454245971</v>
      </c>
      <c r="F16" s="715" t="n">
        <f aca="false">F15+0.05</f>
        <v>-1.25</v>
      </c>
      <c r="G16" s="715" t="n">
        <v>16.2</v>
      </c>
    </row>
    <row r="17" customFormat="false" ht="12" hidden="false" customHeight="true" outlineLevel="0" collapsed="false">
      <c r="B17" s="43" t="n">
        <f aca="false">SQRT(D17-(C17)^2)</f>
        <v>3.81575680566778</v>
      </c>
      <c r="C17" s="715" t="n">
        <f aca="false">C16+0.05</f>
        <v>-1.2</v>
      </c>
      <c r="D17" s="715" t="n">
        <v>16</v>
      </c>
      <c r="E17" s="43" t="n">
        <f aca="false">SQRT(G17-(F18)^2)</f>
        <v>3.85713624338057</v>
      </c>
      <c r="F17" s="715" t="n">
        <f aca="false">F16+0.05</f>
        <v>-1.2</v>
      </c>
      <c r="G17" s="715" t="n">
        <v>16.2</v>
      </c>
    </row>
    <row r="18" customFormat="false" ht="12" hidden="false" customHeight="true" outlineLevel="0" collapsed="false">
      <c r="B18" s="43" t="n">
        <f aca="false">SQRT(D18-(C18)^2)</f>
        <v>3.83112255089811</v>
      </c>
      <c r="C18" s="715" t="n">
        <f aca="false">C17+0.05</f>
        <v>-1.15</v>
      </c>
      <c r="D18" s="715" t="n">
        <v>16</v>
      </c>
      <c r="E18" s="43" t="n">
        <f aca="false">SQRT(G18-(F19)^2)</f>
        <v>3.87169213652119</v>
      </c>
      <c r="F18" s="715" t="n">
        <f aca="false">F17+0.05</f>
        <v>-1.15</v>
      </c>
      <c r="G18" s="715" t="n">
        <v>16.2</v>
      </c>
    </row>
    <row r="19" customFormat="false" ht="12" hidden="false" customHeight="true" outlineLevel="0" collapsed="false">
      <c r="B19" s="43" t="n">
        <f aca="false">SQRT(D19-(C19)^2)</f>
        <v>3.84577690460588</v>
      </c>
      <c r="C19" s="715" t="n">
        <f aca="false">C18+0.05</f>
        <v>-1.1</v>
      </c>
      <c r="D19" s="715" t="n">
        <v>16</v>
      </c>
      <c r="E19" s="43" t="n">
        <f aca="false">SQRT(G19-(F20)^2)</f>
        <v>3.88555015409659</v>
      </c>
      <c r="F19" s="715" t="n">
        <f aca="false">F18+0.05</f>
        <v>-1.1</v>
      </c>
      <c r="G19" s="715" t="n">
        <v>16.2</v>
      </c>
    </row>
    <row r="20" customFormat="false" ht="12" hidden="false" customHeight="true" outlineLevel="0" collapsed="false">
      <c r="B20" s="43" t="n">
        <f aca="false">SQRT(D20-(C20)^2)</f>
        <v>3.85972796968906</v>
      </c>
      <c r="C20" s="715" t="n">
        <f aca="false">C19+0.05</f>
        <v>-1.05</v>
      </c>
      <c r="D20" s="715" t="n">
        <v>16</v>
      </c>
      <c r="E20" s="43" t="n">
        <f aca="false">SQRT(G20-(F21)^2)</f>
        <v>3.89871773792359</v>
      </c>
      <c r="F20" s="715" t="n">
        <f aca="false">F19+0.05</f>
        <v>-1.05</v>
      </c>
      <c r="G20" s="715" t="n">
        <v>16.2</v>
      </c>
    </row>
    <row r="21" customFormat="false" ht="12" hidden="false" customHeight="true" outlineLevel="0" collapsed="false">
      <c r="B21" s="43" t="n">
        <f aca="false">SQRT(D21-(C21)^2)</f>
        <v>3.87298334620742</v>
      </c>
      <c r="C21" s="715" t="n">
        <f aca="false">C20+0.05</f>
        <v>-0.999999999999999</v>
      </c>
      <c r="D21" s="715" t="n">
        <v>16</v>
      </c>
      <c r="E21" s="43" t="n">
        <f aca="false">SQRT(G21-(F22)^2)</f>
        <v>3.91120186132089</v>
      </c>
      <c r="F21" s="715" t="n">
        <f aca="false">F20+0.05</f>
        <v>-0.999999999999999</v>
      </c>
      <c r="G21" s="715" t="n">
        <v>16.2</v>
      </c>
    </row>
    <row r="22" customFormat="false" ht="12" hidden="false" customHeight="true" outlineLevel="0" collapsed="false">
      <c r="B22" s="43" t="n">
        <f aca="false">SQRT(D22-(C22)^2)</f>
        <v>3.88555015409659</v>
      </c>
      <c r="C22" s="715" t="n">
        <f aca="false">C21+0.05</f>
        <v>-0.949999999999999</v>
      </c>
      <c r="D22" s="715" t="n">
        <v>16</v>
      </c>
      <c r="E22" s="43" t="n">
        <f aca="false">SQRT(G22-(F23)^2)</f>
        <v>3.92300904918661</v>
      </c>
      <c r="F22" s="715" t="n">
        <f aca="false">F21+0.05</f>
        <v>-0.949999999999999</v>
      </c>
      <c r="G22" s="715" t="n">
        <v>16.2</v>
      </c>
    </row>
    <row r="23" customFormat="false" ht="12" hidden="false" customHeight="true" outlineLevel="0" collapsed="false">
      <c r="B23" s="43" t="n">
        <f aca="false">SQRT(D23-(C23)^2)</f>
        <v>3.89743505398102</v>
      </c>
      <c r="C23" s="715" t="n">
        <f aca="false">C22+0.05</f>
        <v>-0.899999999999999</v>
      </c>
      <c r="D23" s="715" t="n">
        <v>16</v>
      </c>
      <c r="E23" s="43" t="n">
        <f aca="false">SQRT(G23-(F24)^2)</f>
        <v>3.93414539639805</v>
      </c>
      <c r="F23" s="715" t="n">
        <f aca="false">F22+0.05</f>
        <v>-0.899999999999999</v>
      </c>
      <c r="G23" s="715" t="n">
        <v>16.2</v>
      </c>
    </row>
    <row r="24" customFormat="false" ht="12" hidden="false" customHeight="true" outlineLevel="0" collapsed="false">
      <c r="B24" s="43" t="n">
        <f aca="false">SQRT(D24-(C24)^2)</f>
        <v>3.90864426623862</v>
      </c>
      <c r="C24" s="715" t="n">
        <f aca="false">C23+0.05</f>
        <v>-0.849999999999999</v>
      </c>
      <c r="D24" s="715" t="n">
        <v>16</v>
      </c>
      <c r="E24" s="43" t="n">
        <f aca="false">SQRT(G24-(F25)^2)</f>
        <v>3.9446165846632</v>
      </c>
      <c r="F24" s="715" t="n">
        <f aca="false">F23+0.05</f>
        <v>-0.849999999999999</v>
      </c>
      <c r="G24" s="715" t="n">
        <v>16.2</v>
      </c>
    </row>
    <row r="25" customFormat="false" ht="12" hidden="false" customHeight="true" outlineLevel="0" collapsed="false">
      <c r="B25" s="43" t="n">
        <f aca="false">SQRT(D25-(C25)^2)</f>
        <v>3.91918358845309</v>
      </c>
      <c r="C25" s="715" t="n">
        <f aca="false">C24+0.05</f>
        <v>-0.799999999999999</v>
      </c>
      <c r="D25" s="715" t="n">
        <v>16</v>
      </c>
      <c r="E25" s="43" t="n">
        <f aca="false">SQRT(G25-(F26)^2)</f>
        <v>3.95442789793922</v>
      </c>
      <c r="F25" s="715" t="n">
        <f aca="false">F24+0.05</f>
        <v>-0.799999999999999</v>
      </c>
      <c r="G25" s="715" t="n">
        <v>16.2</v>
      </c>
    </row>
    <row r="26" customFormat="false" ht="12" hidden="false" customHeight="true" outlineLevel="0" collapsed="false">
      <c r="B26" s="43" t="n">
        <f aca="false">SQRT(D26-(C26)^2)</f>
        <v>3.92905841137543</v>
      </c>
      <c r="C26" s="715" t="n">
        <f aca="false">C25+0.05</f>
        <v>-0.749999999999999</v>
      </c>
      <c r="D26" s="715" t="n">
        <v>16</v>
      </c>
      <c r="E26" s="43" t="n">
        <f aca="false">SQRT(G26-(F27)^2)</f>
        <v>3.96358423652128</v>
      </c>
      <c r="F26" s="715" t="n">
        <f aca="false">F25+0.05</f>
        <v>-0.749999999999999</v>
      </c>
      <c r="G26" s="715" t="n">
        <v>16.2</v>
      </c>
    </row>
    <row r="27" customFormat="false" ht="12" hidden="false" customHeight="true" outlineLevel="0" collapsed="false">
      <c r="B27" s="43" t="n">
        <f aca="false">SQRT(D27-(C27)^2)</f>
        <v>3.93827373350304</v>
      </c>
      <c r="C27" s="715" t="n">
        <f aca="false">C26+0.05</f>
        <v>-0.699999999999999</v>
      </c>
      <c r="D27" s="715" t="n">
        <v>16</v>
      </c>
      <c r="E27" s="43" t="n">
        <f aca="false">SQRT(G27-(F28)^2)</f>
        <v>3.97209012989383</v>
      </c>
      <c r="F27" s="715" t="n">
        <f aca="false">F26+0.05</f>
        <v>-0.699999999999999</v>
      </c>
      <c r="G27" s="715" t="n">
        <v>16.2</v>
      </c>
    </row>
    <row r="28" customFormat="false" ht="12" hidden="false" customHeight="true" outlineLevel="0" collapsed="false">
      <c r="B28" s="43" t="n">
        <f aca="false">SQRT(D28-(C28)^2)</f>
        <v>3.94683417437318</v>
      </c>
      <c r="C28" s="715" t="n">
        <f aca="false">C27+0.05</f>
        <v>-0.649999999999999</v>
      </c>
      <c r="D28" s="715" t="n">
        <v>16</v>
      </c>
      <c r="E28" s="839" t="n">
        <f aca="false">SQRT(G28-(F29)^2)</f>
        <v>3.97994974842648</v>
      </c>
      <c r="F28" s="715" t="n">
        <f aca="false">F27+0.05</f>
        <v>-0.649999999999999</v>
      </c>
      <c r="G28" s="715" t="n">
        <v>16.2</v>
      </c>
    </row>
    <row r="29" customFormat="false" ht="12" hidden="false" customHeight="true" outlineLevel="0" collapsed="false">
      <c r="B29" s="43" t="n">
        <f aca="false">SQRT(D29-(C29)^2)</f>
        <v>3.95474398665704</v>
      </c>
      <c r="C29" s="715" t="n">
        <f aca="false">C28+0.05</f>
        <v>-0.599999999999999</v>
      </c>
      <c r="D29" s="715" t="n">
        <v>16</v>
      </c>
      <c r="E29" s="43" t="n">
        <f aca="false">SQRT(G29-(F30)^2)</f>
        <v>3.98716691398793</v>
      </c>
      <c r="F29" s="715" t="n">
        <f aca="false">F28+0.05</f>
        <v>-0.599999999999999</v>
      </c>
      <c r="G29" s="715" t="n">
        <v>16.2</v>
      </c>
    </row>
    <row r="30" customFormat="false" ht="12" hidden="false" customHeight="true" outlineLevel="0" collapsed="false">
      <c r="B30" s="43" t="n">
        <f aca="false">SQRT(D30-(C30)^2)</f>
        <v>3.96200706713151</v>
      </c>
      <c r="C30" s="715" t="n">
        <f aca="false">C29+0.05</f>
        <v>-0.549999999999999</v>
      </c>
      <c r="D30" s="715" t="n">
        <v>16</v>
      </c>
      <c r="E30" s="43" t="n">
        <f aca="false">SQRT(G30-(F31)^2)</f>
        <v>3.99374510954317</v>
      </c>
      <c r="F30" s="715" t="n">
        <f aca="false">F29+0.05</f>
        <v>-0.549999999999999</v>
      </c>
      <c r="G30" s="715" t="n">
        <v>16.2</v>
      </c>
    </row>
    <row r="31" customFormat="false" ht="12" hidden="false" customHeight="true" outlineLevel="0" collapsed="false">
      <c r="B31" s="43" t="n">
        <f aca="false">SQRT(D31-(C31)^2)</f>
        <v>3.96862696659689</v>
      </c>
      <c r="C31" s="715" t="n">
        <f aca="false">C30+0.05</f>
        <v>-0.499999999999999</v>
      </c>
      <c r="D31" s="715" t="n">
        <v>16</v>
      </c>
      <c r="E31" s="43" t="n">
        <f aca="false">SQRT(G31-(F32)^2)</f>
        <v>3.99968748779202</v>
      </c>
      <c r="F31" s="715" t="n">
        <f aca="false">F30+0.05</f>
        <v>-0.499999999999999</v>
      </c>
      <c r="G31" s="715" t="n">
        <v>16.2</v>
      </c>
    </row>
    <row r="32" customFormat="false" ht="12" hidden="false" customHeight="true" outlineLevel="0" collapsed="false">
      <c r="B32" s="43" t="n">
        <f aca="false">SQRT(D32-(C32)^2)</f>
        <v>3.97460689880144</v>
      </c>
      <c r="C32" s="715" t="n">
        <f aca="false">C31+0.05</f>
        <v>-0.449999999999999</v>
      </c>
      <c r="D32" s="715" t="n">
        <v>16</v>
      </c>
      <c r="E32" s="43" t="n">
        <f aca="false">SQRT(G32-(F33)^2)</f>
        <v>4.00499687890016</v>
      </c>
      <c r="F32" s="715" t="n">
        <f aca="false">F31+0.05</f>
        <v>-0.449999999999999</v>
      </c>
      <c r="G32" s="715" t="n">
        <v>16.2</v>
      </c>
    </row>
    <row r="33" customFormat="false" ht="12" hidden="false" customHeight="true" outlineLevel="0" collapsed="false">
      <c r="B33" s="43" t="n">
        <f aca="false">SQRT(D33-(C33)^2)</f>
        <v>3.97994974842648</v>
      </c>
      <c r="C33" s="715" t="n">
        <f aca="false">C32+0.05</f>
        <v>-0.399999999999999</v>
      </c>
      <c r="D33" s="715" t="n">
        <v>16</v>
      </c>
      <c r="E33" s="43" t="n">
        <f aca="false">SQRT(G33-(F34)^2)</f>
        <v>4.00967579736816</v>
      </c>
      <c r="F33" s="715" t="n">
        <f aca="false">F32+0.05</f>
        <v>-0.399999999999999</v>
      </c>
      <c r="G33" s="715" t="n">
        <v>16.2</v>
      </c>
    </row>
    <row r="34" customFormat="false" ht="12" hidden="false" customHeight="true" outlineLevel="0" collapsed="false">
      <c r="B34" s="43" t="n">
        <f aca="false">SQRT(D34-(C34)^2)</f>
        <v>3.98465807817936</v>
      </c>
      <c r="C34" s="715" t="n">
        <f aca="false">C33+0.05</f>
        <v>-0.349999999999999</v>
      </c>
      <c r="D34" s="715" t="n">
        <v>16</v>
      </c>
      <c r="E34" s="43" t="n">
        <f aca="false">SQRT(G34-(F35)^2)</f>
        <v>4.0137264480779</v>
      </c>
      <c r="F34" s="715" t="n">
        <f aca="false">F33+0.05</f>
        <v>-0.349999999999999</v>
      </c>
      <c r="G34" s="715" t="n">
        <v>16.2</v>
      </c>
    </row>
    <row r="35" customFormat="false" ht="12" hidden="false" customHeight="true" outlineLevel="0" collapsed="false">
      <c r="B35" s="43" t="n">
        <f aca="false">SQRT(D35-(C35)^2)</f>
        <v>3.98873413503583</v>
      </c>
      <c r="C35" s="715" t="n">
        <f aca="false">C34+0.05</f>
        <v>-0.299999999999999</v>
      </c>
      <c r="D35" s="715" t="n">
        <v>16</v>
      </c>
      <c r="E35" s="43" t="n">
        <f aca="false">SQRT(G35-(F36)^2)</f>
        <v>4.01715073155091</v>
      </c>
      <c r="F35" s="715" t="n">
        <f aca="false">F34+0.05</f>
        <v>-0.299999999999999</v>
      </c>
      <c r="G35" s="715" t="n">
        <v>16.2</v>
      </c>
    </row>
    <row r="36" customFormat="false" ht="12" hidden="false" customHeight="true" outlineLevel="0" collapsed="false">
      <c r="B36" s="43" t="n">
        <f aca="false">SQRT(D36-(C36)^2)</f>
        <v>3.99217985566783</v>
      </c>
      <c r="C36" s="715" t="n">
        <f aca="false">C35+0.05</f>
        <v>-0.249999999999999</v>
      </c>
      <c r="D36" s="715" t="n">
        <v>16</v>
      </c>
      <c r="E36" s="43" t="n">
        <f aca="false">SQRT(G36-(F37)^2)</f>
        <v>4.01995024844836</v>
      </c>
      <c r="F36" s="715" t="n">
        <f aca="false">F35+0.05</f>
        <v>-0.249999999999999</v>
      </c>
      <c r="G36" s="715" t="n">
        <v>16.2</v>
      </c>
    </row>
    <row r="37" customFormat="false" ht="12" hidden="false" customHeight="true" outlineLevel="0" collapsed="false">
      <c r="B37" s="43" t="n">
        <f aca="false">SQRT(D37-(C37)^2)</f>
        <v>3.99499687108764</v>
      </c>
      <c r="C37" s="715" t="n">
        <f aca="false">C36+0.05</f>
        <v>-0.199999999999999</v>
      </c>
      <c r="D37" s="715" t="n">
        <v>16</v>
      </c>
      <c r="E37" s="43" t="n">
        <f aca="false">SQRT(G37-(F38)^2)</f>
        <v>4.02212630333758</v>
      </c>
      <c r="F37" s="715" t="n">
        <f aca="false">F36+0.05</f>
        <v>-0.199999999999999</v>
      </c>
      <c r="G37" s="715" t="n">
        <v>16.2</v>
      </c>
    </row>
    <row r="38" customFormat="false" ht="12" hidden="false" customHeight="true" outlineLevel="0" collapsed="false">
      <c r="B38" s="43" t="n">
        <f aca="false">SQRT(D38-(C38)^2)</f>
        <v>3.99718651053463</v>
      </c>
      <c r="C38" s="715" t="n">
        <f aca="false">C37+0.05</f>
        <v>-0.149999999999999</v>
      </c>
      <c r="D38" s="715" t="n">
        <v>16</v>
      </c>
      <c r="E38" s="43" t="n">
        <f aca="false">SQRT(G38-(F39)^2)</f>
        <v>4.02367990774614</v>
      </c>
      <c r="F38" s="715" t="n">
        <f aca="false">F37+0.05</f>
        <v>-0.149999999999999</v>
      </c>
      <c r="G38" s="715" t="n">
        <v>16.2</v>
      </c>
    </row>
    <row r="39" customFormat="false" ht="12" hidden="false" customHeight="true" outlineLevel="0" collapsed="false">
      <c r="B39" s="43" t="n">
        <f aca="false">SQRT(D39-(C39)^2)</f>
        <v>3.99874980462644</v>
      </c>
      <c r="C39" s="715" t="n">
        <f aca="false">C38+0.05</f>
        <v>-0.0999999999999988</v>
      </c>
      <c r="D39" s="715" t="n">
        <v>16</v>
      </c>
      <c r="E39" s="43" t="n">
        <f aca="false">SQRT(G39-(F40)^2)</f>
        <v>4.02461178252015</v>
      </c>
      <c r="F39" s="715" t="n">
        <f aca="false">F38+0.05</f>
        <v>-0.0999999999999988</v>
      </c>
      <c r="G39" s="715" t="n">
        <v>16.2</v>
      </c>
    </row>
    <row r="40" customFormat="false" ht="12" hidden="false" customHeight="true" outlineLevel="0" collapsed="false">
      <c r="B40" s="43" t="n">
        <f aca="false">SQRT(D40-(C40)^2)</f>
        <v>3.99968748779202</v>
      </c>
      <c r="C40" s="715" t="n">
        <f aca="false">C39+0.05</f>
        <v>-0.0499999999999988</v>
      </c>
      <c r="D40" s="715" t="n">
        <v>16</v>
      </c>
      <c r="E40" s="43" t="n">
        <f aca="false">SQRT(G40-(F41)^2)</f>
        <v>4.02492235949962</v>
      </c>
      <c r="F40" s="715" t="n">
        <f aca="false">F39+0.05</f>
        <v>-0.0499999999999988</v>
      </c>
      <c r="G40" s="715" t="n">
        <v>16.2</v>
      </c>
    </row>
    <row r="41" customFormat="false" ht="12" hidden="false" customHeight="true" outlineLevel="0" collapsed="false">
      <c r="B41" s="840" t="n">
        <v>4</v>
      </c>
      <c r="C41" s="841" t="n">
        <v>0</v>
      </c>
      <c r="D41" s="841" t="n">
        <v>16</v>
      </c>
      <c r="E41" s="112" t="n">
        <f aca="false">SQRT(G41-(F41)^2)</f>
        <v>4.02492235949962</v>
      </c>
      <c r="F41" s="112" t="n">
        <v>0</v>
      </c>
      <c r="G41" s="715"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5"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5"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5"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5"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5"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5"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5"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5"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5"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5"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5"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5"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5"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5"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5"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5"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5"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5"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5"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5"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5"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5"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5"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5"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5"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5"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5"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5"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5"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5"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5"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5"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5"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5"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5"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5"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5"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5"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1358</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2025-06-09T23:45:41Z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